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65496" windowWidth="16940" windowHeight="14840" tabRatio="500" firstSheet="8" activeTab="9"/>
  </bookViews>
  <sheets>
    <sheet name="EX Girders 2" sheetId="1" r:id="rId1"/>
    <sheet name="EX Girders 3,4,5" sheetId="2" r:id="rId2"/>
    <sheet name="EX North Girders Roof" sheetId="3" r:id="rId3"/>
    <sheet name="EX South Girders Roof" sheetId="4" r:id="rId4"/>
    <sheet name="Beams" sheetId="5" r:id="rId5"/>
    <sheet name="North Beams Roof" sheetId="6" r:id="rId6"/>
    <sheet name="South Beams Roof" sheetId="7" r:id="rId7"/>
    <sheet name="Interior Girders Roof" sheetId="8" r:id="rId8"/>
    <sheet name="Interior Girders 2,3,4,5" sheetId="9" r:id="rId9"/>
    <sheet name="Stairs 2,3,4,5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<sst xmlns="http://schemas.openxmlformats.org/spreadsheetml/2006/main" count="712" uniqueCount="139">
  <si>
    <t>Trib width</t>
  </si>
  <si>
    <t>beam #</t>
  </si>
  <si>
    <t>LL</t>
  </si>
  <si>
    <t>DL</t>
  </si>
  <si>
    <t>length</t>
  </si>
  <si>
    <t>FL (5ft)</t>
  </si>
  <si>
    <t>FL (rest)</t>
  </si>
  <si>
    <t>WOB 10%</t>
  </si>
  <si>
    <t>WOB 20%</t>
  </si>
  <si>
    <t>h 8%</t>
  </si>
  <si>
    <t>h 10%</t>
  </si>
  <si>
    <t>bw 8%</t>
  </si>
  <si>
    <t>bw 10%</t>
  </si>
  <si>
    <t>WOB #1</t>
  </si>
  <si>
    <t>Wob #2</t>
  </si>
  <si>
    <t>Trial WOB</t>
  </si>
  <si>
    <t>LL(5ft)</t>
  </si>
  <si>
    <t>FL #2</t>
  </si>
  <si>
    <t>Shear(k)</t>
  </si>
  <si>
    <t>Ay</t>
  </si>
  <si>
    <t>By</t>
  </si>
  <si>
    <t>FL(5ft)</t>
  </si>
  <si>
    <t>Moment(max)</t>
  </si>
  <si>
    <t>h (min)</t>
  </si>
  <si>
    <t>d (min)</t>
  </si>
  <si>
    <t>bd^2</t>
  </si>
  <si>
    <t>kn</t>
  </si>
  <si>
    <t>bw</t>
  </si>
  <si>
    <t>w</t>
  </si>
  <si>
    <t>Vn</t>
  </si>
  <si>
    <t>EFW 1</t>
  </si>
  <si>
    <t>EFW 2</t>
  </si>
  <si>
    <t>EFW 3</t>
  </si>
  <si>
    <t>As</t>
  </si>
  <si>
    <t>As (min1)</t>
  </si>
  <si>
    <t>a</t>
  </si>
  <si>
    <t>a/dt</t>
  </si>
  <si>
    <t>New As</t>
  </si>
  <si>
    <t>As (min2)</t>
  </si>
  <si>
    <t>As required</t>
  </si>
  <si>
    <t>spacing max</t>
  </si>
  <si>
    <t>Cc</t>
  </si>
  <si>
    <t>Steel Req(in^3)</t>
  </si>
  <si>
    <t>Concrete Req(in^3)</t>
  </si>
  <si>
    <t>girder #</t>
  </si>
  <si>
    <t>FL</t>
  </si>
  <si>
    <t>point load</t>
  </si>
  <si>
    <t>PL2</t>
  </si>
  <si>
    <t>pl dist</t>
  </si>
  <si>
    <t>pl2 dist</t>
  </si>
  <si>
    <t xml:space="preserve">FL </t>
  </si>
  <si>
    <t>New DL</t>
  </si>
  <si>
    <t>bw (1.5)</t>
  </si>
  <si>
    <t>bw (2)</t>
  </si>
  <si>
    <t>d(2)</t>
  </si>
  <si>
    <t>d (1.5)</t>
  </si>
  <si>
    <t>5--7</t>
  </si>
  <si>
    <t>21--23</t>
  </si>
  <si>
    <t>28--30</t>
  </si>
  <si>
    <t>12--14</t>
  </si>
  <si>
    <t>14--16</t>
  </si>
  <si>
    <t>32--34</t>
  </si>
  <si>
    <t>30--32</t>
  </si>
  <si>
    <t>3--5</t>
  </si>
  <si>
    <t>19--21</t>
  </si>
  <si>
    <t>7--9</t>
  </si>
  <si>
    <t>36--38</t>
  </si>
  <si>
    <t>38--40</t>
  </si>
  <si>
    <t>40--42</t>
  </si>
  <si>
    <t>42--44</t>
  </si>
  <si>
    <t>44-46</t>
  </si>
  <si>
    <t>46--48</t>
  </si>
  <si>
    <t>48--pod</t>
  </si>
  <si>
    <t>pod--36</t>
  </si>
  <si>
    <t>53--55</t>
  </si>
  <si>
    <t>55--57</t>
  </si>
  <si>
    <t>61--63</t>
  </si>
  <si>
    <t>63--65</t>
  </si>
  <si>
    <t>57--59</t>
  </si>
  <si>
    <t>59--61</t>
  </si>
  <si>
    <t>+38</t>
  </si>
  <si>
    <t>-38</t>
  </si>
  <si>
    <t>+40</t>
  </si>
  <si>
    <t>-40</t>
  </si>
  <si>
    <t>+44</t>
  </si>
  <si>
    <t>-44</t>
  </si>
  <si>
    <t>+46</t>
  </si>
  <si>
    <t>-46</t>
  </si>
  <si>
    <t>+55</t>
  </si>
  <si>
    <t>-55</t>
  </si>
  <si>
    <t>+57</t>
  </si>
  <si>
    <t>-57</t>
  </si>
  <si>
    <t>+61</t>
  </si>
  <si>
    <t>-61</t>
  </si>
  <si>
    <t>+63</t>
  </si>
  <si>
    <t>-63</t>
  </si>
  <si>
    <t>1--3</t>
  </si>
  <si>
    <t>17--19</t>
  </si>
  <si>
    <t>26--28</t>
  </si>
  <si>
    <t>9--12</t>
  </si>
  <si>
    <t>23--26</t>
  </si>
  <si>
    <t>SL</t>
  </si>
  <si>
    <t>+12</t>
  </si>
  <si>
    <t>-12</t>
  </si>
  <si>
    <t>-5</t>
  </si>
  <si>
    <t>+5</t>
  </si>
  <si>
    <t>-21</t>
  </si>
  <si>
    <t>+21</t>
  </si>
  <si>
    <t>+30</t>
  </si>
  <si>
    <t>-30</t>
  </si>
  <si>
    <t>Ny</t>
  </si>
  <si>
    <t>Sy</t>
  </si>
  <si>
    <t>16--SW</t>
  </si>
  <si>
    <t>1--SW</t>
  </si>
  <si>
    <t>36--POD</t>
  </si>
  <si>
    <t>44--46</t>
  </si>
  <si>
    <t>48--POD</t>
  </si>
  <si>
    <t>SW1</t>
  </si>
  <si>
    <t>SW3</t>
  </si>
  <si>
    <t>PL</t>
  </si>
  <si>
    <t>PL (dist)</t>
  </si>
  <si>
    <t>SW2</t>
  </si>
  <si>
    <t>SW4</t>
  </si>
  <si>
    <t>bw(1.5)</t>
  </si>
  <si>
    <t>d(1.5)</t>
  </si>
  <si>
    <t>+23</t>
  </si>
  <si>
    <t>-23</t>
  </si>
  <si>
    <t>+28</t>
  </si>
  <si>
    <t>-28</t>
  </si>
  <si>
    <t>+65</t>
  </si>
  <si>
    <t>-65</t>
  </si>
  <si>
    <t>+53</t>
  </si>
  <si>
    <t>-53</t>
  </si>
  <si>
    <t>+36</t>
  </si>
  <si>
    <t>-36</t>
  </si>
  <si>
    <t>+48</t>
  </si>
  <si>
    <t>-48</t>
  </si>
  <si>
    <t>-(23--26)</t>
  </si>
  <si>
    <t>-(26--28)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</si>
</sst>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2" fillId="12" borderId="0" applyNumberFormat="0" applyBorder="0" applyAlignment="0" applyProtection="0"/>
    <xf numFmtId="0" fontId="16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16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17" borderId="0" xfId="0" applyFill="1" applyAlignment="1">
      <alignment/>
    </xf>
    <xf numFmtId="0" fontId="0" fillId="17" borderId="0" xfId="0" applyNumberFormat="1" applyFill="1" applyAlignment="1">
      <alignment/>
    </xf>
    <xf numFmtId="0" fontId="1" fillId="17" borderId="0" xfId="0" applyFont="1" applyFill="1" applyAlignment="1">
      <alignment/>
    </xf>
    <xf numFmtId="2" fontId="0" fillId="17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quotePrefix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y.wpi.edu/@@b83adc3cbbb06235052817a393c40187/courses/1/MQP-LDA0809-A07-C08/content/_579834_1/Interior%20Beam%20Design%202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ams"/>
      <sheetName val="Interior Girders 2,3,4"/>
      <sheetName val="Interior Girders Roof"/>
    </sheetNames>
    <sheetDataSet>
      <sheetData sheetId="1">
        <row r="2">
          <cell r="U2">
            <v>23.0764</v>
          </cell>
          <cell r="V2">
            <v>23.0764</v>
          </cell>
        </row>
        <row r="3">
          <cell r="U3">
            <v>23.0764</v>
          </cell>
          <cell r="V3">
            <v>23.0764</v>
          </cell>
        </row>
        <row r="4">
          <cell r="U4">
            <v>21.97</v>
          </cell>
          <cell r="V4">
            <v>51.12</v>
          </cell>
          <cell r="X4">
            <v>129.39</v>
          </cell>
        </row>
        <row r="5">
          <cell r="U5">
            <v>69.75</v>
          </cell>
          <cell r="V5">
            <v>78.79</v>
          </cell>
        </row>
        <row r="7">
          <cell r="U7">
            <v>39.72</v>
          </cell>
          <cell r="V7">
            <v>29.43</v>
          </cell>
          <cell r="X7">
            <v>88.74</v>
          </cell>
        </row>
        <row r="9">
          <cell r="U9">
            <v>43.24</v>
          </cell>
          <cell r="V9">
            <v>48.59</v>
          </cell>
          <cell r="X9">
            <v>382.18</v>
          </cell>
        </row>
        <row r="10">
          <cell r="U10">
            <v>33.93</v>
          </cell>
          <cell r="V10">
            <v>33.93</v>
          </cell>
          <cell r="X10">
            <v>183.95</v>
          </cell>
        </row>
        <row r="11">
          <cell r="U11">
            <v>46.46</v>
          </cell>
          <cell r="V11">
            <v>46.46</v>
          </cell>
          <cell r="X11">
            <v>393.84</v>
          </cell>
        </row>
        <row r="12">
          <cell r="U12">
            <v>18.41</v>
          </cell>
          <cell r="V12">
            <v>18.41</v>
          </cell>
          <cell r="X12">
            <v>106.99</v>
          </cell>
        </row>
        <row r="13">
          <cell r="U13">
            <v>43.24</v>
          </cell>
          <cell r="V13">
            <v>48.59</v>
          </cell>
          <cell r="X13">
            <v>382.18</v>
          </cell>
        </row>
        <row r="14">
          <cell r="U14">
            <v>33.93</v>
          </cell>
          <cell r="V14">
            <v>33.93</v>
          </cell>
          <cell r="X14">
            <v>183.95</v>
          </cell>
        </row>
        <row r="15">
          <cell r="U15">
            <v>46.46</v>
          </cell>
          <cell r="V15">
            <v>46.46</v>
          </cell>
          <cell r="X15">
            <v>393.84</v>
          </cell>
        </row>
        <row r="16">
          <cell r="U16">
            <v>18.41</v>
          </cell>
          <cell r="V16">
            <v>18.41</v>
          </cell>
          <cell r="X16">
            <v>106.99</v>
          </cell>
        </row>
        <row r="18">
          <cell r="U18">
            <v>23.0764</v>
          </cell>
          <cell r="V18">
            <v>23.0764</v>
          </cell>
          <cell r="X18">
            <v>177.400728</v>
          </cell>
        </row>
        <row r="19">
          <cell r="U19">
            <v>23.0764</v>
          </cell>
          <cell r="V19">
            <v>23.0764</v>
          </cell>
          <cell r="X19">
            <v>177.400728</v>
          </cell>
        </row>
        <row r="20">
          <cell r="U20">
            <v>21.97</v>
          </cell>
          <cell r="V20">
            <v>51.12</v>
          </cell>
          <cell r="X20">
            <v>129.39</v>
          </cell>
        </row>
        <row r="21">
          <cell r="U21">
            <v>69.75</v>
          </cell>
          <cell r="V21">
            <v>78.79</v>
          </cell>
          <cell r="X21">
            <v>512.43</v>
          </cell>
        </row>
        <row r="23">
          <cell r="U23">
            <v>39.72</v>
          </cell>
          <cell r="V23">
            <v>29.43</v>
          </cell>
          <cell r="X23">
            <v>88.74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T2" sqref="T2:AG34"/>
    </sheetView>
  </sheetViews>
  <sheetFormatPr defaultColWidth="11.00390625" defaultRowHeight="12.75"/>
  <cols>
    <col min="4" max="4" width="5.00390625" style="0" bestFit="1" customWidth="1"/>
    <col min="5" max="5" width="9.00390625" style="0" bestFit="1" customWidth="1"/>
    <col min="6" max="6" width="9.00390625" style="0" customWidth="1"/>
    <col min="7" max="7" width="4.00390625" style="0" bestFit="1" customWidth="1"/>
    <col min="8" max="8" width="6.875" style="0" bestFit="1" customWidth="1"/>
    <col min="9" max="9" width="8.625" style="0" bestFit="1" customWidth="1"/>
    <col min="10" max="11" width="9.125" style="0" bestFit="1" customWidth="1"/>
    <col min="12" max="12" width="5.125" style="0" bestFit="1" customWidth="1"/>
    <col min="13" max="14" width="6.125" style="0" bestFit="1" customWidth="1"/>
    <col min="15" max="15" width="7.125" style="0" bestFit="1" customWidth="1"/>
    <col min="24" max="24" width="12.375" style="0" bestFit="1" customWidth="1"/>
    <col min="34" max="34" width="12.00390625" style="0" bestFit="1" customWidth="1"/>
    <col min="47" max="47" width="13.75390625" style="0" bestFit="1" customWidth="1"/>
    <col min="48" max="48" width="16.75390625" style="0" bestFit="1" customWidth="1"/>
  </cols>
  <sheetData>
    <row r="1" spans="1:48" ht="12.75">
      <c r="A1" t="s">
        <v>44</v>
      </c>
      <c r="B1" t="s">
        <v>4</v>
      </c>
      <c r="C1" t="s">
        <v>0</v>
      </c>
      <c r="D1" t="s">
        <v>3</v>
      </c>
      <c r="E1" t="s">
        <v>46</v>
      </c>
      <c r="F1" t="s">
        <v>48</v>
      </c>
      <c r="G1" t="s">
        <v>47</v>
      </c>
      <c r="H1" t="s">
        <v>49</v>
      </c>
      <c r="I1" t="s">
        <v>45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s="2" t="s">
        <v>15</v>
      </c>
      <c r="S1" s="1" t="s">
        <v>51</v>
      </c>
      <c r="T1" s="1" t="s">
        <v>50</v>
      </c>
      <c r="U1" s="1" t="s">
        <v>19</v>
      </c>
      <c r="V1" s="1" t="s">
        <v>20</v>
      </c>
      <c r="W1" s="1" t="s">
        <v>18</v>
      </c>
      <c r="X1" s="1" t="s">
        <v>22</v>
      </c>
      <c r="Y1" s="1" t="s">
        <v>23</v>
      </c>
      <c r="Z1" s="1" t="s">
        <v>24</v>
      </c>
      <c r="AA1" s="1" t="s">
        <v>28</v>
      </c>
      <c r="AB1" s="1" t="s">
        <v>26</v>
      </c>
      <c r="AC1" s="1" t="s">
        <v>25</v>
      </c>
      <c r="AD1" s="1" t="s">
        <v>52</v>
      </c>
      <c r="AE1" s="1" t="s">
        <v>55</v>
      </c>
      <c r="AF1" s="1" t="s">
        <v>53</v>
      </c>
      <c r="AG1" s="1" t="s">
        <v>54</v>
      </c>
      <c r="AH1" s="1"/>
      <c r="AI1" s="1"/>
      <c r="AJ1" s="1"/>
      <c r="AK1" s="1"/>
      <c r="AL1" s="1" t="s">
        <v>33</v>
      </c>
      <c r="AM1" s="1" t="s">
        <v>35</v>
      </c>
      <c r="AN1" s="1" t="s">
        <v>36</v>
      </c>
      <c r="AO1" s="1" t="s">
        <v>37</v>
      </c>
      <c r="AP1" s="1" t="s">
        <v>34</v>
      </c>
      <c r="AQ1" s="1" t="s">
        <v>38</v>
      </c>
      <c r="AR1" s="1" t="s">
        <v>39</v>
      </c>
      <c r="AS1" s="1" t="s">
        <v>41</v>
      </c>
      <c r="AT1" s="1" t="s">
        <v>40</v>
      </c>
      <c r="AU1" s="1" t="s">
        <v>42</v>
      </c>
      <c r="AV1" s="1" t="s">
        <v>43</v>
      </c>
    </row>
    <row r="2" spans="1:48" ht="13.5" customHeight="1">
      <c r="A2" t="s">
        <v>98</v>
      </c>
      <c r="B2">
        <v>17.16</v>
      </c>
      <c r="C2">
        <v>0</v>
      </c>
      <c r="D2">
        <v>0.64</v>
      </c>
      <c r="E2">
        <v>47.75</v>
      </c>
      <c r="F2">
        <v>8.58</v>
      </c>
      <c r="G2" s="1">
        <v>0</v>
      </c>
      <c r="H2" s="1"/>
      <c r="I2" s="8">
        <f>(1.2*D2*B2)+E2+G2</f>
        <v>60.92888</v>
      </c>
      <c r="J2" s="8">
        <f>(0.1*I2)/B2</f>
        <v>0.3550634032634033</v>
      </c>
      <c r="K2" s="8">
        <f>(0.2*I2)/B2</f>
        <v>0.7101268065268066</v>
      </c>
      <c r="L2" s="1">
        <f>ROUND(((0.08*B2)*12),0)</f>
        <v>16</v>
      </c>
      <c r="M2" s="1">
        <f>ROUND(((0.1*B2)*12),0)</f>
        <v>21</v>
      </c>
      <c r="N2" s="1">
        <f>ROUND((0.5*L2),0)</f>
        <v>8</v>
      </c>
      <c r="O2" s="1">
        <f>ROUND((0.5*M2),0)</f>
        <v>11</v>
      </c>
      <c r="P2" s="8">
        <f>(N2/12)*(L2/12)*150</f>
        <v>133.33333333333331</v>
      </c>
      <c r="Q2" s="8">
        <f>(O2/12)*(M2/12)*150</f>
        <v>240.62499999999997</v>
      </c>
      <c r="R2" s="2">
        <v>200</v>
      </c>
      <c r="S2" s="1">
        <f>D2+(R2/1000)</f>
        <v>0.8400000000000001</v>
      </c>
      <c r="T2" s="8">
        <f>(1.2*S2*B2)+E2+G2</f>
        <v>65.04728</v>
      </c>
      <c r="U2" s="8">
        <v>28.88</v>
      </c>
      <c r="V2" s="8">
        <v>31.23</v>
      </c>
      <c r="W2" s="8">
        <f>MAX(U2:V2)</f>
        <v>31.23</v>
      </c>
      <c r="X2" s="8">
        <v>192.65</v>
      </c>
      <c r="Y2" s="8">
        <f>(B2/16)*12</f>
        <v>12.870000000000001</v>
      </c>
      <c r="Z2" s="8">
        <f>Y2-2.5</f>
        <v>10.370000000000001</v>
      </c>
      <c r="AA2" s="8">
        <f>(60000/4000)*0.01</f>
        <v>0.15</v>
      </c>
      <c r="AB2" s="8">
        <f>4000*AA2*(1-(0.59*AA2))</f>
        <v>546.9</v>
      </c>
      <c r="AC2" s="8">
        <f>(12000*X2)/(AB2*0.9)</f>
        <v>4696.775766441154</v>
      </c>
      <c r="AD2" s="8">
        <f>(AC2/2.25)^(1/3)</f>
        <v>12.780242745978542</v>
      </c>
      <c r="AE2" s="8">
        <f>AD2*(1.5)</f>
        <v>19.170364118967814</v>
      </c>
      <c r="AF2" s="8">
        <f>(AC2/4)^(1/3)</f>
        <v>10.549857942608607</v>
      </c>
      <c r="AG2" s="8">
        <f>AF2*2</f>
        <v>21.099715885217215</v>
      </c>
      <c r="AH2" s="4"/>
      <c r="AL2">
        <f>(X2*12000)/(0.9*60000*0.95*AE2)</f>
        <v>2.350728823183485</v>
      </c>
      <c r="AM2">
        <f>(AL2*60000)/(0.85*4000*AD2)</f>
        <v>3.24590468627353</v>
      </c>
      <c r="AN2">
        <f>AM2/AE2</f>
        <v>0.16931888544891646</v>
      </c>
      <c r="AO2">
        <f>(X2*12000)/(0.9*60000*(AE2-(AM2/2)))</f>
        <v>2.4397393563235945</v>
      </c>
      <c r="AP2">
        <f>(3*(4000^0.5)*AD2*Z2)/60000</f>
        <v>0.41910019143840993</v>
      </c>
      <c r="AQ2">
        <f>(200*AD2*Z2)/60000</f>
        <v>0.44177039091932496</v>
      </c>
      <c r="AR2">
        <f>ROUND(MAX(AO2:AQ2),2)</f>
        <v>2.44</v>
      </c>
      <c r="AS2">
        <f>1.875</f>
        <v>1.875</v>
      </c>
      <c r="AT2">
        <f>(540/(0.6*60))-(2.5*AS2)</f>
        <v>10.3125</v>
      </c>
      <c r="AU2">
        <f>AR2*(B2*12)</f>
        <v>502.44480000000004</v>
      </c>
      <c r="AV2">
        <f>(Y2-6)*AD2*(12*B2)</f>
        <v>18079.831117550566</v>
      </c>
    </row>
    <row r="3" spans="1:48" ht="13.5" customHeight="1">
      <c r="A3" t="s">
        <v>100</v>
      </c>
      <c r="B3">
        <v>23.08</v>
      </c>
      <c r="C3">
        <v>0</v>
      </c>
      <c r="D3">
        <v>0.64</v>
      </c>
      <c r="E3">
        <v>65.8</v>
      </c>
      <c r="F3">
        <v>13.54</v>
      </c>
      <c r="G3" s="1">
        <v>0</v>
      </c>
      <c r="H3" s="1"/>
      <c r="I3" s="8">
        <f>(1.2*D3*B3)+E3+G3</f>
        <v>83.52544</v>
      </c>
      <c r="J3" s="8">
        <f>(0.1*I3)/B3</f>
        <v>0.3618953206239168</v>
      </c>
      <c r="K3" s="8">
        <f>(0.2*I3)/B3</f>
        <v>0.7237906412478337</v>
      </c>
      <c r="L3" s="1">
        <f>ROUND(((0.08*B3)*12),0)</f>
        <v>22</v>
      </c>
      <c r="M3" s="1">
        <f>ROUND(((0.1*B3)*12),0)</f>
        <v>28</v>
      </c>
      <c r="N3" s="1">
        <f>ROUND((0.5*L3),0)</f>
        <v>11</v>
      </c>
      <c r="O3" s="1">
        <f>ROUND((0.5*M3),0)</f>
        <v>14</v>
      </c>
      <c r="P3" s="8">
        <f>(N3/12)*(L3/12)*150</f>
        <v>252.08333333333331</v>
      </c>
      <c r="Q3" s="8">
        <f>(O3/12)*(M3/12)*150</f>
        <v>408.3333333333334</v>
      </c>
      <c r="R3" s="2">
        <v>300</v>
      </c>
      <c r="S3" s="1">
        <f>D3+(R3/1000)</f>
        <v>0.94</v>
      </c>
      <c r="T3" s="8">
        <f>(1.2*S3*B3)+E3+G3</f>
        <v>91.83424</v>
      </c>
      <c r="U3" s="8">
        <v>48.85</v>
      </c>
      <c r="V3" s="8">
        <v>34.72</v>
      </c>
      <c r="W3" s="8">
        <f>MAX(U3:V3)</f>
        <v>48.85</v>
      </c>
      <c r="X3" s="8">
        <v>246.13</v>
      </c>
      <c r="Y3" s="8">
        <f>(B3/16)*12</f>
        <v>17.31</v>
      </c>
      <c r="Z3" s="8">
        <f>Y3-2.5</f>
        <v>14.809999999999999</v>
      </c>
      <c r="AA3" s="8">
        <f>(60000/4000)*0.01</f>
        <v>0.15</v>
      </c>
      <c r="AB3" s="8">
        <f>4000*AA3*(1-(0.59*AA3))</f>
        <v>546.9</v>
      </c>
      <c r="AC3" s="8">
        <f>(12000*X3)/(AB3*0.9)</f>
        <v>6000.609495946852</v>
      </c>
      <c r="AD3" s="8">
        <f>(AC3/2.25)^(1/3)</f>
        <v>13.867695027654458</v>
      </c>
      <c r="AE3" s="8">
        <f>AD3*(1.5)</f>
        <v>20.801542541481687</v>
      </c>
      <c r="AF3" s="8">
        <f>(AC3/4)^(1/3)</f>
        <v>11.447530022793194</v>
      </c>
      <c r="AG3" s="8">
        <f>AF3*2</f>
        <v>22.895060045586387</v>
      </c>
      <c r="AH3" s="4"/>
      <c r="AL3">
        <f>(X3*12000)/(0.9*60000*0.95*AE3)</f>
        <v>2.7677884412194635</v>
      </c>
      <c r="AM3">
        <f>(AL3*60000)/(0.85*4000*AD3)</f>
        <v>3.5220939987418998</v>
      </c>
      <c r="AN3">
        <f>AM3/AE3</f>
        <v>0.16931888544891643</v>
      </c>
      <c r="AO3">
        <f>(X3*12000)/(0.9*60000*(AE3-(AM3/2)))</f>
        <v>2.872590969840498</v>
      </c>
      <c r="AP3">
        <f>(3*(4000^0.5)*AD3*Z3)/60000</f>
        <v>0.6494703673447408</v>
      </c>
      <c r="AQ3">
        <f>(200*AD3*Z3)/60000</f>
        <v>0.6846018778652083</v>
      </c>
      <c r="AR3">
        <f>ROUND(MAX(AO3:AQ3),2)</f>
        <v>2.87</v>
      </c>
      <c r="AS3">
        <f>1.875</f>
        <v>1.875</v>
      </c>
      <c r="AT3">
        <f>(540/(0.6*60))-(2.5*AS3)</f>
        <v>10.3125</v>
      </c>
      <c r="AU3">
        <f>AR3*(B3*12)</f>
        <v>794.8752</v>
      </c>
      <c r="AV3">
        <f>(Y3-6)*AD3*(12*B3)</f>
        <v>43439.4119760573</v>
      </c>
    </row>
    <row r="4" spans="7:34" ht="12.75">
      <c r="G4" s="1"/>
      <c r="H4" s="1"/>
      <c r="I4" s="8"/>
      <c r="J4" s="8"/>
      <c r="K4" s="8"/>
      <c r="L4" s="1"/>
      <c r="M4" s="1"/>
      <c r="N4" s="1"/>
      <c r="O4" s="1"/>
      <c r="P4" s="8"/>
      <c r="Q4" s="8"/>
      <c r="R4" s="2"/>
      <c r="S4" s="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4"/>
    </row>
    <row r="5" spans="1:48" ht="12.75">
      <c r="A5" t="s">
        <v>96</v>
      </c>
      <c r="B5">
        <v>14.16</v>
      </c>
      <c r="C5">
        <v>0</v>
      </c>
      <c r="D5" s="1">
        <v>0.64</v>
      </c>
      <c r="E5" s="1">
        <v>15.76</v>
      </c>
      <c r="F5" s="1">
        <v>7.08</v>
      </c>
      <c r="G5" s="1">
        <v>0</v>
      </c>
      <c r="H5" s="1"/>
      <c r="I5" s="8">
        <f>(1.2*D5*B5)+E5+G5</f>
        <v>26.634880000000003</v>
      </c>
      <c r="J5" s="8">
        <f>(0.1*I5)/B5</f>
        <v>0.18809943502824863</v>
      </c>
      <c r="K5" s="8">
        <f>(0.2*I5)/B5</f>
        <v>0.37619887005649727</v>
      </c>
      <c r="L5" s="1">
        <f>ROUND(((0.08*B5)*12),0)</f>
        <v>14</v>
      </c>
      <c r="M5" s="1">
        <f>ROUND(((0.1*B5)*12),0)</f>
        <v>17</v>
      </c>
      <c r="N5" s="1">
        <f>ROUND((0.5*L5),0)</f>
        <v>7</v>
      </c>
      <c r="O5" s="1">
        <f>ROUND((0.5*M5),0)</f>
        <v>9</v>
      </c>
      <c r="P5" s="8">
        <f>(N5/12)*(L5/12)*150</f>
        <v>102.08333333333336</v>
      </c>
      <c r="Q5" s="8">
        <f>(O5/12)*(M5/12)*150</f>
        <v>159.375</v>
      </c>
      <c r="R5" s="2">
        <v>300</v>
      </c>
      <c r="S5" s="1">
        <f aca="true" t="shared" si="0" ref="S5:S10">D5+(R5/1000)</f>
        <v>0.94</v>
      </c>
      <c r="T5" s="8">
        <f aca="true" t="shared" si="1" ref="T5:T10">(1.2*S5*B5)+E5+G5</f>
        <v>31.73248</v>
      </c>
      <c r="U5" s="8">
        <f>T5-V5</f>
        <v>15.86624</v>
      </c>
      <c r="V5" s="8">
        <f aca="true" t="shared" si="2" ref="V5:V10">((E5*F5)+(G5*H5)+((1.2*S5)*B5*(0.5*B5)))/B5</f>
        <v>15.86624</v>
      </c>
      <c r="W5" s="8">
        <f aca="true" t="shared" si="3" ref="W5:W10">MAX(U5:V5)</f>
        <v>15.86624</v>
      </c>
      <c r="X5" s="8">
        <f aca="true" t="shared" si="4" ref="X5:X10">(((U5-((S5)*F5))*F5)/2)+(F5*(U5-((S5)*F5)))</f>
        <v>97.8212448</v>
      </c>
      <c r="Y5" s="8">
        <f aca="true" t="shared" si="5" ref="Y5:Y10">(B5/16)*12</f>
        <v>10.620000000000001</v>
      </c>
      <c r="Z5" s="8">
        <f>Y5-2.5</f>
        <v>8.120000000000001</v>
      </c>
      <c r="AA5" s="8">
        <f>(60000/4000)*0.01</f>
        <v>0.15</v>
      </c>
      <c r="AB5" s="8">
        <f>4000*AA5*(1-(0.59*AA5))</f>
        <v>546.9</v>
      </c>
      <c r="AC5" s="8">
        <f aca="true" t="shared" si="6" ref="AC5:AC10">(12000*X5)/(AB5*0.9)</f>
        <v>2384.8660888645095</v>
      </c>
      <c r="AD5" s="8">
        <f>(AC5/2.25)^(1/3)</f>
        <v>10.19593739254321</v>
      </c>
      <c r="AE5" s="8">
        <f>AD5*(1.5)</f>
        <v>15.293906088814815</v>
      </c>
      <c r="AF5" s="8">
        <f>(AC5/4)^(1/3)</f>
        <v>8.416560876115513</v>
      </c>
      <c r="AG5" s="8">
        <f>AF5*2</f>
        <v>16.833121752231026</v>
      </c>
      <c r="AH5" s="4"/>
      <c r="AL5">
        <f>(X5*12000)/(0.9*60000*0.95*AE5)</f>
        <v>1.4961620918445837</v>
      </c>
      <c r="AM5">
        <f>(AL5*60000)/(0.85*4000*AD5)</f>
        <v>2.58954713311852</v>
      </c>
      <c r="AN5">
        <f>AM5/AE5</f>
        <v>0.16931888544891635</v>
      </c>
      <c r="AO5">
        <f>(X5*12000)/(0.9*60000*(AE5-(AM5/2)))</f>
        <v>1.5528143879944887</v>
      </c>
      <c r="AP5">
        <f>(3*(4000^0.5)*AD5*Z5)/60000</f>
        <v>0.26180816653222844</v>
      </c>
      <c r="AQ5">
        <f>(200*AD5*Z5)/60000</f>
        <v>0.27597003875816956</v>
      </c>
      <c r="AR5">
        <f aca="true" t="shared" si="7" ref="AR5:AR10">ROUND(MAX(AO5:AQ5),2)</f>
        <v>1.55</v>
      </c>
      <c r="AS5">
        <f>1.875</f>
        <v>1.875</v>
      </c>
      <c r="AT5">
        <f>(540/(0.6*60))-(2.5*AS5)</f>
        <v>10.3125</v>
      </c>
      <c r="AU5">
        <f>AR5*(B5*12)</f>
        <v>263.37600000000003</v>
      </c>
      <c r="AV5">
        <f>(Y5-6)*AD5*(12*B5)</f>
        <v>8004.120809643155</v>
      </c>
    </row>
    <row r="6" spans="1:48" ht="12.75">
      <c r="A6" t="s">
        <v>97</v>
      </c>
      <c r="B6">
        <v>14.16</v>
      </c>
      <c r="C6">
        <v>0</v>
      </c>
      <c r="D6" s="1">
        <v>0.64</v>
      </c>
      <c r="E6" s="1">
        <v>15.76</v>
      </c>
      <c r="F6" s="1">
        <v>7.08</v>
      </c>
      <c r="G6" s="1">
        <v>0</v>
      </c>
      <c r="H6" s="1"/>
      <c r="I6" s="8">
        <f>(1.2*D6*B6)+E6+G6</f>
        <v>26.634880000000003</v>
      </c>
      <c r="J6" s="8">
        <f>(0.1*I6)/B6</f>
        <v>0.18809943502824863</v>
      </c>
      <c r="K6" s="8">
        <f>(0.2*I6)/B6</f>
        <v>0.37619887005649727</v>
      </c>
      <c r="L6" s="1">
        <f>ROUND(((0.08*B6)*12),0)</f>
        <v>14</v>
      </c>
      <c r="M6" s="1">
        <f>ROUND(((0.1*B6)*12),0)</f>
        <v>17</v>
      </c>
      <c r="N6" s="1">
        <f>ROUND((0.5*L6),0)</f>
        <v>7</v>
      </c>
      <c r="O6" s="1">
        <f>ROUND((0.5*M6),0)</f>
        <v>9</v>
      </c>
      <c r="P6" s="8">
        <f>(N6/12)*(L6/12)*150</f>
        <v>102.08333333333336</v>
      </c>
      <c r="Q6" s="8">
        <f>(O6/12)*(M6/12)*150</f>
        <v>159.375</v>
      </c>
      <c r="R6" s="2">
        <v>300</v>
      </c>
      <c r="S6" s="1">
        <f t="shared" si="0"/>
        <v>0.94</v>
      </c>
      <c r="T6" s="8">
        <f t="shared" si="1"/>
        <v>31.73248</v>
      </c>
      <c r="U6" s="8">
        <f>T6-V6</f>
        <v>15.86624</v>
      </c>
      <c r="V6" s="8">
        <f t="shared" si="2"/>
        <v>15.86624</v>
      </c>
      <c r="W6" s="8">
        <f t="shared" si="3"/>
        <v>15.86624</v>
      </c>
      <c r="X6" s="8">
        <f t="shared" si="4"/>
        <v>97.8212448</v>
      </c>
      <c r="Y6" s="8">
        <f t="shared" si="5"/>
        <v>10.620000000000001</v>
      </c>
      <c r="Z6" s="8">
        <f>Y6-2.5</f>
        <v>8.120000000000001</v>
      </c>
      <c r="AA6" s="8">
        <f>(60000/4000)*0.01</f>
        <v>0.15</v>
      </c>
      <c r="AB6" s="8">
        <f>4000*AA6*(1-(0.59*AA6))</f>
        <v>546.9</v>
      </c>
      <c r="AC6" s="8">
        <f t="shared" si="6"/>
        <v>2384.8660888645095</v>
      </c>
      <c r="AD6" s="8">
        <f>(AC6/2.25)^(1/3)</f>
        <v>10.19593739254321</v>
      </c>
      <c r="AE6" s="8">
        <f>AD6*(1.5)</f>
        <v>15.293906088814815</v>
      </c>
      <c r="AF6" s="8">
        <f>(AC6/4)^(1/3)</f>
        <v>8.416560876115513</v>
      </c>
      <c r="AG6" s="8">
        <f>AF6*2</f>
        <v>16.833121752231026</v>
      </c>
      <c r="AH6" s="4"/>
      <c r="AL6">
        <f>(X6*12000)/(0.9*60000*0.95*AE6)</f>
        <v>1.4961620918445837</v>
      </c>
      <c r="AM6">
        <f>(AL6*60000)/(0.85*4000*AD6)</f>
        <v>2.58954713311852</v>
      </c>
      <c r="AN6">
        <f>AM6/AE6</f>
        <v>0.16931888544891635</v>
      </c>
      <c r="AO6">
        <f>(X6*12000)/(0.9*60000*(AE6-(AM6/2)))</f>
        <v>1.5528143879944887</v>
      </c>
      <c r="AP6">
        <f>(3*(4000^0.5)*AD6*Z6)/60000</f>
        <v>0.26180816653222844</v>
      </c>
      <c r="AQ6">
        <f>(200*AD6*Z6)/60000</f>
        <v>0.27597003875816956</v>
      </c>
      <c r="AR6">
        <f t="shared" si="7"/>
        <v>1.55</v>
      </c>
      <c r="AS6">
        <f>1.875</f>
        <v>1.875</v>
      </c>
      <c r="AT6">
        <f>(540/(0.6*60))-(2.5*AS6)</f>
        <v>10.3125</v>
      </c>
      <c r="AU6">
        <f>AR6*(B6*12)</f>
        <v>263.37600000000003</v>
      </c>
      <c r="AV6">
        <f>(Y6-6)*AD6*(12*B6)</f>
        <v>8004.120809643155</v>
      </c>
    </row>
    <row r="7" spans="1:48" ht="12.75">
      <c r="A7" t="s">
        <v>58</v>
      </c>
      <c r="B7">
        <v>12.92</v>
      </c>
      <c r="C7">
        <v>0</v>
      </c>
      <c r="D7" s="1">
        <v>0.64</v>
      </c>
      <c r="E7" s="1">
        <v>20.62</v>
      </c>
      <c r="F7" s="1">
        <v>6.46</v>
      </c>
      <c r="G7" s="1">
        <f>C7*60</f>
        <v>0</v>
      </c>
      <c r="H7" s="1"/>
      <c r="I7" s="8">
        <f aca="true" t="shared" si="8" ref="I7:I16">(1.2*D7*B7)+E7+G7</f>
        <v>30.54256</v>
      </c>
      <c r="J7" s="8">
        <f aca="true" t="shared" si="9" ref="J7:J16">(0.1*I7)/B7</f>
        <v>0.23639752321981428</v>
      </c>
      <c r="K7" s="8">
        <f aca="true" t="shared" si="10" ref="K7:K16">(0.2*I7)/B7</f>
        <v>0.47279504643962855</v>
      </c>
      <c r="L7" s="1">
        <f aca="true" t="shared" si="11" ref="L7:L16">ROUND(((0.08*B7)*12),0)</f>
        <v>12</v>
      </c>
      <c r="M7" s="1">
        <f aca="true" t="shared" si="12" ref="M7:M16">ROUND(((0.1*B7)*12),0)</f>
        <v>16</v>
      </c>
      <c r="N7" s="1">
        <f aca="true" t="shared" si="13" ref="N7:O10">ROUND((0.5*L7),0)</f>
        <v>6</v>
      </c>
      <c r="O7" s="1">
        <f t="shared" si="13"/>
        <v>8</v>
      </c>
      <c r="P7" s="8">
        <f aca="true" t="shared" si="14" ref="P7:Q10">(N7/12)*(L7/12)*150</f>
        <v>75</v>
      </c>
      <c r="Q7" s="8">
        <f t="shared" si="14"/>
        <v>133.33333333333331</v>
      </c>
      <c r="R7" s="2">
        <v>300</v>
      </c>
      <c r="S7" s="1">
        <f t="shared" si="0"/>
        <v>0.94</v>
      </c>
      <c r="T7" s="8">
        <f t="shared" si="1"/>
        <v>35.19376</v>
      </c>
      <c r="U7" s="8">
        <f>T7-V7</f>
        <v>17.596879999999995</v>
      </c>
      <c r="V7" s="8">
        <f t="shared" si="2"/>
        <v>17.596880000000002</v>
      </c>
      <c r="W7" s="8">
        <f t="shared" si="3"/>
        <v>17.596880000000002</v>
      </c>
      <c r="X7" s="8">
        <f t="shared" si="4"/>
        <v>111.67221119999994</v>
      </c>
      <c r="Y7" s="8">
        <f t="shared" si="5"/>
        <v>9.69</v>
      </c>
      <c r="Z7" s="8">
        <f aca="true" t="shared" si="15" ref="Z7:Z34">Y7-2.5</f>
        <v>7.1899999999999995</v>
      </c>
      <c r="AA7" s="8">
        <f aca="true" t="shared" si="16" ref="AA7:AA33">(60000/4000)*0.01</f>
        <v>0.15</v>
      </c>
      <c r="AB7" s="8">
        <f aca="true" t="shared" si="17" ref="AB7:AB33">4000*AA7*(1-(0.59*AA7))</f>
        <v>546.9</v>
      </c>
      <c r="AC7" s="8">
        <f t="shared" si="6"/>
        <v>2722.5504040958112</v>
      </c>
      <c r="AD7" s="8">
        <f aca="true" t="shared" si="18" ref="AD7:AD33">(AC7/2.25)^(1/3)</f>
        <v>10.656088128775107</v>
      </c>
      <c r="AE7" s="8">
        <f aca="true" t="shared" si="19" ref="AE7:AE33">AD7*(1.5)</f>
        <v>15.98413219316266</v>
      </c>
      <c r="AF7" s="8">
        <f aca="true" t="shared" si="20" ref="AF7:AF16">(AC7/4)^(1/3)</f>
        <v>8.796406939756272</v>
      </c>
      <c r="AG7" s="8">
        <f aca="true" t="shared" si="21" ref="AG7:AG33">AF7*2</f>
        <v>17.592813879512544</v>
      </c>
      <c r="AH7" s="4"/>
      <c r="AL7">
        <f aca="true" t="shared" si="22" ref="AL7:AL16">(X7*12000)/(0.9*60000*0.95*AE7)</f>
        <v>1.6342554197493822</v>
      </c>
      <c r="AM7">
        <f aca="true" t="shared" si="23" ref="AM7:AM16">(AL7*60000)/(0.85*4000*AD7)</f>
        <v>2.706415447814447</v>
      </c>
      <c r="AN7">
        <f aca="true" t="shared" si="24" ref="AN7:AN16">AM7/AE7</f>
        <v>0.16931888544891652</v>
      </c>
      <c r="AO7">
        <f aca="true" t="shared" si="25" ref="AO7:AO16">(X7*12000)/(0.9*60000*(AE7-(AM7/2)))</f>
        <v>1.6961366307016552</v>
      </c>
      <c r="AP7">
        <f>(3*(4000^0.5)*AD7*AE7)/60000</f>
        <v>0.5386254453799711</v>
      </c>
      <c r="AQ7">
        <f>(200*AD7*AE7)/60000</f>
        <v>0.5677610710411087</v>
      </c>
      <c r="AR7">
        <f t="shared" si="7"/>
        <v>1.7</v>
      </c>
      <c r="AS7">
        <f aca="true" t="shared" si="26" ref="AS7:AS33">1.875</f>
        <v>1.875</v>
      </c>
      <c r="AT7">
        <f aca="true" t="shared" si="27" ref="AT7:AT33">(540/(0.6*60))-(2.5*AS7)</f>
        <v>10.3125</v>
      </c>
      <c r="AU7">
        <f aca="true" t="shared" si="28" ref="AU7:AU16">AR7*(B7*12)</f>
        <v>263.568</v>
      </c>
      <c r="AV7">
        <f aca="true" t="shared" si="29" ref="AV7:AV16">(Y7-6)*AD7*(12*B7)</f>
        <v>6096.322443860728</v>
      </c>
    </row>
    <row r="8" spans="1:48" ht="12.75">
      <c r="A8" t="s">
        <v>99</v>
      </c>
      <c r="B8">
        <v>24</v>
      </c>
      <c r="C8">
        <v>0</v>
      </c>
      <c r="D8" s="1">
        <v>0.64</v>
      </c>
      <c r="E8" s="1">
        <v>34.28</v>
      </c>
      <c r="F8" s="1">
        <v>8</v>
      </c>
      <c r="G8" s="1">
        <v>34.28</v>
      </c>
      <c r="H8" s="1">
        <v>16</v>
      </c>
      <c r="I8" s="8">
        <f>(1.2*D8*B8)+E8+G8</f>
        <v>86.992</v>
      </c>
      <c r="J8" s="8">
        <f>(0.1*I8)/B8</f>
        <v>0.3624666666666667</v>
      </c>
      <c r="K8" s="8">
        <f>(0.2*I8)/B8</f>
        <v>0.7249333333333334</v>
      </c>
      <c r="L8" s="1">
        <f>ROUND(((0.08*B8)*12),0)</f>
        <v>23</v>
      </c>
      <c r="M8" s="1">
        <f>ROUND(((0.1*B8)*12),0)</f>
        <v>29</v>
      </c>
      <c r="N8" s="1">
        <f>ROUND((0.5*L8),0)</f>
        <v>12</v>
      </c>
      <c r="O8" s="1">
        <f>ROUND((0.5*M8),0)</f>
        <v>15</v>
      </c>
      <c r="P8" s="8">
        <f>(N8/12)*(L8/12)*150</f>
        <v>287.5</v>
      </c>
      <c r="Q8" s="8">
        <f>(O8/12)*(M8/12)*150</f>
        <v>453.12499999999994</v>
      </c>
      <c r="R8" s="2">
        <v>300</v>
      </c>
      <c r="S8" s="1">
        <f t="shared" si="0"/>
        <v>0.94</v>
      </c>
      <c r="T8" s="8">
        <f t="shared" si="1"/>
        <v>95.632</v>
      </c>
      <c r="U8" s="8">
        <f>T8-V8</f>
        <v>47.81600000000001</v>
      </c>
      <c r="V8" s="8">
        <f t="shared" si="2"/>
        <v>47.815999999999995</v>
      </c>
      <c r="W8" s="8">
        <f t="shared" si="3"/>
        <v>47.81600000000001</v>
      </c>
      <c r="X8" s="8">
        <f t="shared" si="4"/>
        <v>483.5520000000001</v>
      </c>
      <c r="Y8" s="8">
        <f t="shared" si="5"/>
        <v>18</v>
      </c>
      <c r="Z8" s="8">
        <f t="shared" si="15"/>
        <v>15.5</v>
      </c>
      <c r="AA8" s="8">
        <f t="shared" si="16"/>
        <v>0.15</v>
      </c>
      <c r="AB8" s="8">
        <f t="shared" si="17"/>
        <v>546.9</v>
      </c>
      <c r="AC8" s="8">
        <f t="shared" si="6"/>
        <v>11788.919363686235</v>
      </c>
      <c r="AD8" s="8">
        <f t="shared" si="18"/>
        <v>17.36856052281683</v>
      </c>
      <c r="AE8" s="8">
        <f t="shared" si="19"/>
        <v>26.052840784225243</v>
      </c>
      <c r="AF8" s="8">
        <f>(AC8/4)^(1/3)</f>
        <v>14.337430816091091</v>
      </c>
      <c r="AG8" s="8">
        <f t="shared" si="21"/>
        <v>28.674861632182182</v>
      </c>
      <c r="AH8" s="4"/>
      <c r="AL8">
        <f>(X8*12000)/(0.9*60000*0.95*AE8)</f>
        <v>4.341621701993299</v>
      </c>
      <c r="AM8">
        <f>(AL8*60000)/(0.85*4000*AD8)</f>
        <v>4.41123796436309</v>
      </c>
      <c r="AN8">
        <f>AM8/AE8</f>
        <v>0.16931888544891635</v>
      </c>
      <c r="AO8">
        <f>(X8*12000)/(0.9*60000*(AE8-(AM8/2)))</f>
        <v>4.506017551729697</v>
      </c>
      <c r="AP8">
        <f>(3*(4000^0.5)*AD8*AE8)/60000</f>
        <v>1.430931722573763</v>
      </c>
      <c r="AQ8">
        <f>(200*AD8*AE8)/60000</f>
        <v>1.5083344731737558</v>
      </c>
      <c r="AR8">
        <f t="shared" si="7"/>
        <v>4.51</v>
      </c>
      <c r="AS8">
        <f t="shared" si="26"/>
        <v>1.875</v>
      </c>
      <c r="AT8">
        <f t="shared" si="27"/>
        <v>10.3125</v>
      </c>
      <c r="AU8">
        <f>AR8*(B8*12)</f>
        <v>1298.8799999999999</v>
      </c>
      <c r="AV8">
        <f>(Y8-6)*AD8*(12*B8)</f>
        <v>60025.74516685496</v>
      </c>
    </row>
    <row r="9" spans="1:48" ht="12.75">
      <c r="A9" s="5" t="s">
        <v>56</v>
      </c>
      <c r="B9">
        <v>21.33</v>
      </c>
      <c r="C9">
        <v>0</v>
      </c>
      <c r="D9" s="1">
        <v>0.64</v>
      </c>
      <c r="E9" s="1">
        <v>43.31</v>
      </c>
      <c r="F9" s="1">
        <v>10.66</v>
      </c>
      <c r="G9" s="1">
        <f>C9*60</f>
        <v>0</v>
      </c>
      <c r="H9" s="1"/>
      <c r="I9" s="8">
        <f t="shared" si="8"/>
        <v>59.69144</v>
      </c>
      <c r="J9" s="8">
        <f t="shared" si="9"/>
        <v>0.279847351148617</v>
      </c>
      <c r="K9" s="8">
        <f t="shared" si="10"/>
        <v>0.559694702297234</v>
      </c>
      <c r="L9" s="1">
        <f t="shared" si="11"/>
        <v>20</v>
      </c>
      <c r="M9" s="1">
        <f t="shared" si="12"/>
        <v>26</v>
      </c>
      <c r="N9" s="1">
        <f t="shared" si="13"/>
        <v>10</v>
      </c>
      <c r="O9" s="1">
        <f t="shared" si="13"/>
        <v>13</v>
      </c>
      <c r="P9" s="8">
        <f t="shared" si="14"/>
        <v>208.33333333333337</v>
      </c>
      <c r="Q9" s="8">
        <f t="shared" si="14"/>
        <v>352.08333333333326</v>
      </c>
      <c r="R9" s="2">
        <v>400</v>
      </c>
      <c r="S9" s="1">
        <f t="shared" si="0"/>
        <v>1.04</v>
      </c>
      <c r="T9" s="8">
        <f t="shared" si="1"/>
        <v>69.92984</v>
      </c>
      <c r="U9" s="8">
        <f aca="true" t="shared" si="30" ref="U9:U16">T9-V9</f>
        <v>34.97507236755743</v>
      </c>
      <c r="V9" s="8">
        <f t="shared" si="2"/>
        <v>34.95476763244257</v>
      </c>
      <c r="W9" s="8">
        <f t="shared" si="3"/>
        <v>34.97507236755743</v>
      </c>
      <c r="X9" s="8">
        <f t="shared" si="4"/>
        <v>381.9798711572433</v>
      </c>
      <c r="Y9" s="8">
        <f t="shared" si="5"/>
        <v>15.997499999999999</v>
      </c>
      <c r="Z9" s="8">
        <f t="shared" si="15"/>
        <v>13.497499999999999</v>
      </c>
      <c r="AA9" s="8">
        <f t="shared" si="16"/>
        <v>0.15</v>
      </c>
      <c r="AB9" s="8">
        <f t="shared" si="17"/>
        <v>546.9</v>
      </c>
      <c r="AC9" s="8">
        <f t="shared" si="6"/>
        <v>9312.607329974848</v>
      </c>
      <c r="AD9" s="8">
        <f t="shared" si="18"/>
        <v>16.05571279974145</v>
      </c>
      <c r="AE9" s="8">
        <f t="shared" si="19"/>
        <v>24.083569199612175</v>
      </c>
      <c r="AF9" s="8">
        <f t="shared" si="20"/>
        <v>13.253698898473132</v>
      </c>
      <c r="AG9" s="8">
        <f t="shared" si="21"/>
        <v>26.507397796946265</v>
      </c>
      <c r="AH9" s="4"/>
      <c r="AL9">
        <f t="shared" si="22"/>
        <v>3.71008200256331</v>
      </c>
      <c r="AM9">
        <f t="shared" si="23"/>
        <v>4.077803094510188</v>
      </c>
      <c r="AN9">
        <f t="shared" si="24"/>
        <v>0.16931888544891655</v>
      </c>
      <c r="AO9">
        <f t="shared" si="25"/>
        <v>3.850564551543359</v>
      </c>
      <c r="AP9">
        <f>(3*(4000^0.5)*AD9*AE9)/60000</f>
        <v>1.2227859530876328</v>
      </c>
      <c r="AQ9">
        <f>(200*AD9*AE9)/60000</f>
        <v>1.2889295675389072</v>
      </c>
      <c r="AR9">
        <f t="shared" si="7"/>
        <v>3.85</v>
      </c>
      <c r="AS9">
        <f t="shared" si="26"/>
        <v>1.875</v>
      </c>
      <c r="AT9">
        <f t="shared" si="27"/>
        <v>10.3125</v>
      </c>
      <c r="AU9">
        <f t="shared" si="28"/>
        <v>985.4459999999999</v>
      </c>
      <c r="AV9">
        <f t="shared" si="29"/>
        <v>41085.928431597655</v>
      </c>
    </row>
    <row r="10" spans="1:48" ht="12.75">
      <c r="A10" t="s">
        <v>57</v>
      </c>
      <c r="B10">
        <v>12.92</v>
      </c>
      <c r="C10">
        <v>0</v>
      </c>
      <c r="D10" s="1">
        <v>0.64</v>
      </c>
      <c r="E10" s="1">
        <v>20.62</v>
      </c>
      <c r="F10" s="1">
        <v>6.46</v>
      </c>
      <c r="G10" s="1">
        <f>C10*60</f>
        <v>0</v>
      </c>
      <c r="H10" s="1"/>
      <c r="I10" s="8">
        <f t="shared" si="8"/>
        <v>30.54256</v>
      </c>
      <c r="J10" s="8">
        <f t="shared" si="9"/>
        <v>0.23639752321981428</v>
      </c>
      <c r="K10" s="8">
        <f t="shared" si="10"/>
        <v>0.47279504643962855</v>
      </c>
      <c r="L10" s="1">
        <f t="shared" si="11"/>
        <v>12</v>
      </c>
      <c r="M10" s="1">
        <f t="shared" si="12"/>
        <v>16</v>
      </c>
      <c r="N10" s="1">
        <f t="shared" si="13"/>
        <v>6</v>
      </c>
      <c r="O10" s="1">
        <f t="shared" si="13"/>
        <v>8</v>
      </c>
      <c r="P10" s="8">
        <f t="shared" si="14"/>
        <v>75</v>
      </c>
      <c r="Q10" s="8">
        <f t="shared" si="14"/>
        <v>133.33333333333331</v>
      </c>
      <c r="R10" s="2">
        <v>300</v>
      </c>
      <c r="S10" s="1">
        <f t="shared" si="0"/>
        <v>0.94</v>
      </c>
      <c r="T10" s="8">
        <f t="shared" si="1"/>
        <v>35.19376</v>
      </c>
      <c r="U10" s="8">
        <f t="shared" si="30"/>
        <v>17.596879999999995</v>
      </c>
      <c r="V10" s="8">
        <f t="shared" si="2"/>
        <v>17.596880000000002</v>
      </c>
      <c r="W10" s="8">
        <f t="shared" si="3"/>
        <v>17.596880000000002</v>
      </c>
      <c r="X10" s="8">
        <f t="shared" si="4"/>
        <v>111.67221119999994</v>
      </c>
      <c r="Y10" s="8">
        <f t="shared" si="5"/>
        <v>9.69</v>
      </c>
      <c r="Z10" s="8">
        <f t="shared" si="15"/>
        <v>7.1899999999999995</v>
      </c>
      <c r="AA10" s="8">
        <f t="shared" si="16"/>
        <v>0.15</v>
      </c>
      <c r="AB10" s="8">
        <f t="shared" si="17"/>
        <v>546.9</v>
      </c>
      <c r="AC10" s="8">
        <f t="shared" si="6"/>
        <v>2722.5504040958112</v>
      </c>
      <c r="AD10" s="8">
        <f t="shared" si="18"/>
        <v>10.656088128775107</v>
      </c>
      <c r="AE10" s="8">
        <f t="shared" si="19"/>
        <v>15.98413219316266</v>
      </c>
      <c r="AF10" s="8">
        <f t="shared" si="20"/>
        <v>8.796406939756272</v>
      </c>
      <c r="AG10" s="8">
        <f t="shared" si="21"/>
        <v>17.592813879512544</v>
      </c>
      <c r="AH10" s="4"/>
      <c r="AL10">
        <f t="shared" si="22"/>
        <v>1.6342554197493822</v>
      </c>
      <c r="AM10">
        <f t="shared" si="23"/>
        <v>2.706415447814447</v>
      </c>
      <c r="AN10">
        <f t="shared" si="24"/>
        <v>0.16931888544891652</v>
      </c>
      <c r="AO10">
        <f t="shared" si="25"/>
        <v>1.6961366307016552</v>
      </c>
      <c r="AP10">
        <f>(3*(4000^0.5)*AD10*Z10)/60000</f>
        <v>0.24228509283341498</v>
      </c>
      <c r="AQ10">
        <f>(200*AD10*Z10)/60000</f>
        <v>0.2553909121529767</v>
      </c>
      <c r="AR10">
        <f t="shared" si="7"/>
        <v>1.7</v>
      </c>
      <c r="AS10">
        <f t="shared" si="26"/>
        <v>1.875</v>
      </c>
      <c r="AT10">
        <f t="shared" si="27"/>
        <v>10.3125</v>
      </c>
      <c r="AU10">
        <f t="shared" si="28"/>
        <v>263.568</v>
      </c>
      <c r="AV10">
        <f t="shared" si="29"/>
        <v>6096.322443860728</v>
      </c>
    </row>
    <row r="11" spans="1:48" ht="12.75">
      <c r="A11" t="s">
        <v>59</v>
      </c>
      <c r="B11">
        <v>18</v>
      </c>
      <c r="C11">
        <v>0</v>
      </c>
      <c r="D11" s="1">
        <v>0.64</v>
      </c>
      <c r="E11" s="1">
        <v>27.01</v>
      </c>
      <c r="F11" s="1">
        <v>9</v>
      </c>
      <c r="G11" s="1">
        <v>0</v>
      </c>
      <c r="H11" s="1"/>
      <c r="I11" s="8">
        <f t="shared" si="8"/>
        <v>40.834</v>
      </c>
      <c r="J11" s="8">
        <f t="shared" si="9"/>
        <v>0.22685555555555556</v>
      </c>
      <c r="K11" s="8">
        <f t="shared" si="10"/>
        <v>0.4537111111111111</v>
      </c>
      <c r="L11" s="1">
        <f t="shared" si="11"/>
        <v>17</v>
      </c>
      <c r="M11" s="1">
        <f t="shared" si="12"/>
        <v>22</v>
      </c>
      <c r="N11" s="1">
        <f aca="true" t="shared" si="31" ref="N11:N16">ROUND((0.5*L11),0)</f>
        <v>9</v>
      </c>
      <c r="O11" s="1">
        <f aca="true" t="shared" si="32" ref="O11:O16">ROUND((0.5*M11),0)</f>
        <v>11</v>
      </c>
      <c r="P11" s="8">
        <f aca="true" t="shared" si="33" ref="P11:P16">(N11/12)*(L11/12)*150</f>
        <v>159.375</v>
      </c>
      <c r="Q11" s="8">
        <f aca="true" t="shared" si="34" ref="Q11:Q16">(O11/12)*(M11/12)*150</f>
        <v>252.08333333333331</v>
      </c>
      <c r="R11" s="2">
        <v>300</v>
      </c>
      <c r="S11" s="1">
        <f aca="true" t="shared" si="35" ref="S11:S16">D11+(R11/1000)</f>
        <v>0.94</v>
      </c>
      <c r="T11" s="8">
        <f aca="true" t="shared" si="36" ref="T11:T16">(1.2*S11*B11)+E11+G11</f>
        <v>47.314</v>
      </c>
      <c r="U11" s="8">
        <f t="shared" si="30"/>
        <v>23.657</v>
      </c>
      <c r="V11" s="8">
        <f aca="true" t="shared" si="37" ref="V11:V16">((E11*F11)+(G11*H11)+((1.2*S11)*B11*(0.5*B11)))/B11</f>
        <v>23.657</v>
      </c>
      <c r="W11" s="8">
        <f aca="true" t="shared" si="38" ref="W11:W16">MAX(U11:V11)</f>
        <v>23.657</v>
      </c>
      <c r="X11" s="8">
        <f aca="true" t="shared" si="39" ref="X11:X16">(((U11-((S11)*F11))*F11)/2)+(F11*(U11-((S11)*F11)))</f>
        <v>205.15949999999998</v>
      </c>
      <c r="Y11" s="8">
        <f aca="true" t="shared" si="40" ref="Y11:Y16">(B11/16)*12</f>
        <v>13.5</v>
      </c>
      <c r="Z11" s="8">
        <f t="shared" si="15"/>
        <v>11</v>
      </c>
      <c r="AA11" s="8">
        <f t="shared" si="16"/>
        <v>0.15</v>
      </c>
      <c r="AB11" s="8">
        <f t="shared" si="17"/>
        <v>546.9</v>
      </c>
      <c r="AC11" s="8">
        <f aca="true" t="shared" si="41" ref="AC11:AC16">(12000*X11)/(AB11*0.9)</f>
        <v>5001.755348326933</v>
      </c>
      <c r="AD11" s="8">
        <f t="shared" si="18"/>
        <v>13.051085726638972</v>
      </c>
      <c r="AE11" s="8">
        <f t="shared" si="19"/>
        <v>19.576628589958457</v>
      </c>
      <c r="AF11" s="8">
        <f t="shared" si="20"/>
        <v>10.773433897112238</v>
      </c>
      <c r="AG11" s="8">
        <f t="shared" si="21"/>
        <v>21.546867794224475</v>
      </c>
      <c r="AH11" s="4"/>
      <c r="AL11">
        <f t="shared" si="22"/>
        <v>2.4514193593275553</v>
      </c>
      <c r="AM11">
        <f t="shared" si="23"/>
        <v>3.314692933699159</v>
      </c>
      <c r="AN11">
        <f t="shared" si="24"/>
        <v>0.16931888544891646</v>
      </c>
      <c r="AO11">
        <f t="shared" si="25"/>
        <v>2.544242547596558</v>
      </c>
      <c r="AP11">
        <f aca="true" t="shared" si="42" ref="AP11:AP16">(3*(4000^0.5)*AD11*Z11)/60000</f>
        <v>0.453982725177221</v>
      </c>
      <c r="AQ11">
        <f aca="true" t="shared" si="43" ref="AQ11:AQ16">(200*AD11*Z11)/60000</f>
        <v>0.47853980997676226</v>
      </c>
      <c r="AR11">
        <f aca="true" t="shared" si="44" ref="AR11:AR16">ROUND(MAX(AO11:AQ11),2)</f>
        <v>2.54</v>
      </c>
      <c r="AS11">
        <f t="shared" si="26"/>
        <v>1.875</v>
      </c>
      <c r="AT11">
        <f t="shared" si="27"/>
        <v>10.3125</v>
      </c>
      <c r="AU11">
        <f t="shared" si="28"/>
        <v>548.64</v>
      </c>
      <c r="AV11">
        <f t="shared" si="29"/>
        <v>21142.758877155135</v>
      </c>
    </row>
    <row r="12" spans="1:48" ht="12.75">
      <c r="A12" t="s">
        <v>62</v>
      </c>
      <c r="B12">
        <v>18</v>
      </c>
      <c r="C12">
        <v>0</v>
      </c>
      <c r="D12" s="1">
        <v>0.64</v>
      </c>
      <c r="E12" s="1">
        <v>27.01</v>
      </c>
      <c r="F12" s="1">
        <v>9</v>
      </c>
      <c r="G12" s="1">
        <v>0</v>
      </c>
      <c r="H12" s="1"/>
      <c r="I12" s="8">
        <f t="shared" si="8"/>
        <v>40.834</v>
      </c>
      <c r="J12" s="8">
        <f t="shared" si="9"/>
        <v>0.22685555555555556</v>
      </c>
      <c r="K12" s="8">
        <f t="shared" si="10"/>
        <v>0.4537111111111111</v>
      </c>
      <c r="L12" s="1">
        <f>ROUND(((0.08*B12)*12),0)</f>
        <v>17</v>
      </c>
      <c r="M12" s="1">
        <f>ROUND(((0.1*B12)*12),0)</f>
        <v>22</v>
      </c>
      <c r="N12" s="1">
        <f t="shared" si="31"/>
        <v>9</v>
      </c>
      <c r="O12" s="1">
        <f>ROUND((0.5*M12),0)</f>
        <v>11</v>
      </c>
      <c r="P12" s="8">
        <f aca="true" t="shared" si="45" ref="P12:Q14">(N12/12)*(L12/12)*150</f>
        <v>159.375</v>
      </c>
      <c r="Q12" s="8">
        <f t="shared" si="45"/>
        <v>252.08333333333331</v>
      </c>
      <c r="R12" s="2">
        <v>300</v>
      </c>
      <c r="S12" s="1">
        <f>D12+(R12/1000)</f>
        <v>0.94</v>
      </c>
      <c r="T12" s="8">
        <f>(1.2*S12*B12)+E12+G12</f>
        <v>47.314</v>
      </c>
      <c r="U12" s="8">
        <f t="shared" si="30"/>
        <v>23.657</v>
      </c>
      <c r="V12" s="8">
        <f>((E12*F12)+(G12*H12)+((1.2*S12)*B12*(0.5*B12)))/B12</f>
        <v>23.657</v>
      </c>
      <c r="W12" s="8">
        <f>MAX(U12:V12)</f>
        <v>23.657</v>
      </c>
      <c r="X12" s="8">
        <f>(((U12-((S12)*F12))*F12)/2)+(F12*(U12-((S12)*F12)))</f>
        <v>205.15949999999998</v>
      </c>
      <c r="Y12" s="8">
        <f>(B12/16)*12</f>
        <v>13.5</v>
      </c>
      <c r="Z12" s="8">
        <f t="shared" si="15"/>
        <v>11</v>
      </c>
      <c r="AA12" s="8">
        <f t="shared" si="16"/>
        <v>0.15</v>
      </c>
      <c r="AB12" s="8">
        <f t="shared" si="17"/>
        <v>546.9</v>
      </c>
      <c r="AC12" s="8">
        <f>(12000*X12)/(AB12*0.9)</f>
        <v>5001.755348326933</v>
      </c>
      <c r="AD12" s="8">
        <f t="shared" si="18"/>
        <v>13.051085726638972</v>
      </c>
      <c r="AE12" s="8">
        <f t="shared" si="19"/>
        <v>19.576628589958457</v>
      </c>
      <c r="AF12" s="8">
        <f t="shared" si="20"/>
        <v>10.773433897112238</v>
      </c>
      <c r="AG12" s="8">
        <f t="shared" si="21"/>
        <v>21.546867794224475</v>
      </c>
      <c r="AH12" s="4"/>
      <c r="AL12">
        <f t="shared" si="22"/>
        <v>2.4514193593275553</v>
      </c>
      <c r="AM12">
        <f t="shared" si="23"/>
        <v>3.314692933699159</v>
      </c>
      <c r="AN12">
        <f t="shared" si="24"/>
        <v>0.16931888544891646</v>
      </c>
      <c r="AO12">
        <f t="shared" si="25"/>
        <v>2.544242547596558</v>
      </c>
      <c r="AP12">
        <f>(3*(4000^0.5)*AD12*Z12)/60000</f>
        <v>0.453982725177221</v>
      </c>
      <c r="AQ12">
        <f>(200*AD12*Z12)/60000</f>
        <v>0.47853980997676226</v>
      </c>
      <c r="AR12">
        <f>ROUND(MAX(AO12:AQ12),2)</f>
        <v>2.54</v>
      </c>
      <c r="AS12">
        <f t="shared" si="26"/>
        <v>1.875</v>
      </c>
      <c r="AT12">
        <f t="shared" si="27"/>
        <v>10.3125</v>
      </c>
      <c r="AU12">
        <f t="shared" si="28"/>
        <v>548.64</v>
      </c>
      <c r="AV12">
        <f t="shared" si="29"/>
        <v>21142.758877155135</v>
      </c>
    </row>
    <row r="13" spans="1:48" ht="12.75">
      <c r="A13" t="s">
        <v>63</v>
      </c>
      <c r="B13">
        <v>18</v>
      </c>
      <c r="C13">
        <v>0</v>
      </c>
      <c r="D13" s="1">
        <v>0.64</v>
      </c>
      <c r="E13" s="1">
        <v>27.01</v>
      </c>
      <c r="F13" s="1">
        <v>9</v>
      </c>
      <c r="G13" s="1">
        <v>0</v>
      </c>
      <c r="H13" s="1"/>
      <c r="I13" s="8">
        <f t="shared" si="8"/>
        <v>40.834</v>
      </c>
      <c r="J13" s="8">
        <f t="shared" si="9"/>
        <v>0.22685555555555556</v>
      </c>
      <c r="K13" s="8">
        <f t="shared" si="10"/>
        <v>0.4537111111111111</v>
      </c>
      <c r="L13" s="1">
        <f>ROUND(((0.08*B13)*12),0)</f>
        <v>17</v>
      </c>
      <c r="M13" s="1">
        <f>ROUND(((0.1*B13)*12),0)</f>
        <v>22</v>
      </c>
      <c r="N13" s="1">
        <f t="shared" si="31"/>
        <v>9</v>
      </c>
      <c r="O13" s="1">
        <f>ROUND((0.5*M13),0)</f>
        <v>11</v>
      </c>
      <c r="P13" s="8">
        <f t="shared" si="45"/>
        <v>159.375</v>
      </c>
      <c r="Q13" s="8">
        <f t="shared" si="45"/>
        <v>252.08333333333331</v>
      </c>
      <c r="R13" s="2">
        <v>300</v>
      </c>
      <c r="S13" s="1">
        <f>D13+(R13/1000)</f>
        <v>0.94</v>
      </c>
      <c r="T13" s="8">
        <f>(1.2*S13*B13)+E13+G13</f>
        <v>47.314</v>
      </c>
      <c r="U13" s="8">
        <f t="shared" si="30"/>
        <v>23.657</v>
      </c>
      <c r="V13" s="8">
        <f>((E13*F13)+(G13*H13)+((1.2*S13)*B13*(0.5*B13)))/B13</f>
        <v>23.657</v>
      </c>
      <c r="W13" s="8">
        <f>MAX(U13:V13)</f>
        <v>23.657</v>
      </c>
      <c r="X13" s="8">
        <f>(((U13-((S13)*F13))*F13)/2)+(F13*(U13-((S13)*F13)))</f>
        <v>205.15949999999998</v>
      </c>
      <c r="Y13" s="8">
        <f>(B13/16)*12</f>
        <v>13.5</v>
      </c>
      <c r="Z13" s="8">
        <f t="shared" si="15"/>
        <v>11</v>
      </c>
      <c r="AA13" s="8">
        <f t="shared" si="16"/>
        <v>0.15</v>
      </c>
      <c r="AB13" s="8">
        <f t="shared" si="17"/>
        <v>546.9</v>
      </c>
      <c r="AC13" s="8">
        <f>(12000*X13)/(AB13*0.9)</f>
        <v>5001.755348326933</v>
      </c>
      <c r="AD13" s="8">
        <f t="shared" si="18"/>
        <v>13.051085726638972</v>
      </c>
      <c r="AE13" s="8">
        <f t="shared" si="19"/>
        <v>19.576628589958457</v>
      </c>
      <c r="AF13" s="8">
        <f t="shared" si="20"/>
        <v>10.773433897112238</v>
      </c>
      <c r="AG13" s="8">
        <f t="shared" si="21"/>
        <v>21.546867794224475</v>
      </c>
      <c r="AH13" s="4"/>
      <c r="AL13">
        <f t="shared" si="22"/>
        <v>2.4514193593275553</v>
      </c>
      <c r="AM13">
        <f t="shared" si="23"/>
        <v>3.314692933699159</v>
      </c>
      <c r="AN13">
        <f t="shared" si="24"/>
        <v>0.16931888544891646</v>
      </c>
      <c r="AO13">
        <f t="shared" si="25"/>
        <v>2.544242547596558</v>
      </c>
      <c r="AP13">
        <f>(3*(4000^0.5)*AD13*Z13)/60000</f>
        <v>0.453982725177221</v>
      </c>
      <c r="AQ13">
        <f>(200*AD13*Z13)/60000</f>
        <v>0.47853980997676226</v>
      </c>
      <c r="AR13">
        <f>ROUND(MAX(AO13:AQ13),2)</f>
        <v>2.54</v>
      </c>
      <c r="AS13">
        <f t="shared" si="26"/>
        <v>1.875</v>
      </c>
      <c r="AT13">
        <f t="shared" si="27"/>
        <v>10.3125</v>
      </c>
      <c r="AU13">
        <f t="shared" si="28"/>
        <v>548.64</v>
      </c>
      <c r="AV13">
        <f t="shared" si="29"/>
        <v>21142.758877155135</v>
      </c>
    </row>
    <row r="14" spans="1:48" ht="12.75">
      <c r="A14" t="s">
        <v>64</v>
      </c>
      <c r="B14">
        <v>18</v>
      </c>
      <c r="C14">
        <v>0</v>
      </c>
      <c r="D14" s="1">
        <v>0.64</v>
      </c>
      <c r="E14" s="1">
        <v>27.01</v>
      </c>
      <c r="F14" s="1">
        <v>9</v>
      </c>
      <c r="G14" s="1">
        <v>0</v>
      </c>
      <c r="H14" s="1"/>
      <c r="I14" s="8">
        <f t="shared" si="8"/>
        <v>40.834</v>
      </c>
      <c r="J14" s="8">
        <f t="shared" si="9"/>
        <v>0.22685555555555556</v>
      </c>
      <c r="K14" s="8">
        <f t="shared" si="10"/>
        <v>0.4537111111111111</v>
      </c>
      <c r="L14" s="1">
        <f>ROUND(((0.08*B14)*12),0)</f>
        <v>17</v>
      </c>
      <c r="M14" s="1">
        <f>ROUND(((0.1*B14)*12),0)</f>
        <v>22</v>
      </c>
      <c r="N14" s="1">
        <f t="shared" si="31"/>
        <v>9</v>
      </c>
      <c r="O14" s="1">
        <f>ROUND((0.5*M14),0)</f>
        <v>11</v>
      </c>
      <c r="P14" s="8">
        <f t="shared" si="45"/>
        <v>159.375</v>
      </c>
      <c r="Q14" s="8">
        <f t="shared" si="45"/>
        <v>252.08333333333331</v>
      </c>
      <c r="R14" s="2">
        <v>300</v>
      </c>
      <c r="S14" s="1">
        <f>D14+(R14/1000)</f>
        <v>0.94</v>
      </c>
      <c r="T14" s="8">
        <f>(1.2*S14*B14)+E14+G14</f>
        <v>47.314</v>
      </c>
      <c r="U14" s="8">
        <f t="shared" si="30"/>
        <v>23.657</v>
      </c>
      <c r="V14" s="8">
        <f>((E14*F14)+(G14*H14)+((1.2*S14)*B14*(0.5*B14)))/B14</f>
        <v>23.657</v>
      </c>
      <c r="W14" s="8">
        <f>MAX(U14:V14)</f>
        <v>23.657</v>
      </c>
      <c r="X14" s="8">
        <f>(((U14-((S14)*F14))*F14)/2)+(F14*(U14-((S14)*F14)))</f>
        <v>205.15949999999998</v>
      </c>
      <c r="Y14" s="8">
        <f>(B14/16)*12</f>
        <v>13.5</v>
      </c>
      <c r="Z14" s="8">
        <f t="shared" si="15"/>
        <v>11</v>
      </c>
      <c r="AA14" s="8">
        <f t="shared" si="16"/>
        <v>0.15</v>
      </c>
      <c r="AB14" s="8">
        <f t="shared" si="17"/>
        <v>546.9</v>
      </c>
      <c r="AC14" s="8">
        <f>(12000*X14)/(AB14*0.9)</f>
        <v>5001.755348326933</v>
      </c>
      <c r="AD14" s="8">
        <f t="shared" si="18"/>
        <v>13.051085726638972</v>
      </c>
      <c r="AE14" s="8">
        <f t="shared" si="19"/>
        <v>19.576628589958457</v>
      </c>
      <c r="AF14" s="8">
        <f t="shared" si="20"/>
        <v>10.773433897112238</v>
      </c>
      <c r="AG14" s="8">
        <f t="shared" si="21"/>
        <v>21.546867794224475</v>
      </c>
      <c r="AH14" s="4"/>
      <c r="AL14">
        <f t="shared" si="22"/>
        <v>2.4514193593275553</v>
      </c>
      <c r="AM14">
        <f t="shared" si="23"/>
        <v>3.314692933699159</v>
      </c>
      <c r="AN14">
        <f t="shared" si="24"/>
        <v>0.16931888544891646</v>
      </c>
      <c r="AO14">
        <f t="shared" si="25"/>
        <v>2.544242547596558</v>
      </c>
      <c r="AP14">
        <f>(3*(4000^0.5)*AD14*Z14)/60000</f>
        <v>0.453982725177221</v>
      </c>
      <c r="AQ14">
        <f>(200*AD14*Z14)/60000</f>
        <v>0.47853980997676226</v>
      </c>
      <c r="AR14">
        <f>ROUND(MAX(AO14:AQ14),2)</f>
        <v>2.54</v>
      </c>
      <c r="AS14">
        <f t="shared" si="26"/>
        <v>1.875</v>
      </c>
      <c r="AT14">
        <f t="shared" si="27"/>
        <v>10.3125</v>
      </c>
      <c r="AU14">
        <f t="shared" si="28"/>
        <v>548.64</v>
      </c>
      <c r="AV14">
        <f t="shared" si="29"/>
        <v>21142.758877155135</v>
      </c>
    </row>
    <row r="15" spans="1:48" ht="12.75">
      <c r="A15" t="s">
        <v>60</v>
      </c>
      <c r="B15">
        <v>14.16</v>
      </c>
      <c r="C15">
        <v>0</v>
      </c>
      <c r="D15" s="1">
        <v>0.64</v>
      </c>
      <c r="E15" s="1">
        <v>15.76</v>
      </c>
      <c r="F15" s="1">
        <v>7.08</v>
      </c>
      <c r="G15" s="1">
        <v>0</v>
      </c>
      <c r="H15" s="1"/>
      <c r="I15" s="8">
        <f t="shared" si="8"/>
        <v>26.634880000000003</v>
      </c>
      <c r="J15" s="8">
        <f t="shared" si="9"/>
        <v>0.18809943502824863</v>
      </c>
      <c r="K15" s="8">
        <f t="shared" si="10"/>
        <v>0.37619887005649727</v>
      </c>
      <c r="L15" s="1">
        <f t="shared" si="11"/>
        <v>14</v>
      </c>
      <c r="M15" s="1">
        <f t="shared" si="12"/>
        <v>17</v>
      </c>
      <c r="N15" s="1">
        <f t="shared" si="31"/>
        <v>7</v>
      </c>
      <c r="O15" s="1">
        <f t="shared" si="32"/>
        <v>9</v>
      </c>
      <c r="P15" s="8">
        <f t="shared" si="33"/>
        <v>102.08333333333336</v>
      </c>
      <c r="Q15" s="8">
        <f t="shared" si="34"/>
        <v>159.375</v>
      </c>
      <c r="R15" s="2">
        <v>300</v>
      </c>
      <c r="S15" s="1">
        <f t="shared" si="35"/>
        <v>0.94</v>
      </c>
      <c r="T15" s="8">
        <f t="shared" si="36"/>
        <v>31.73248</v>
      </c>
      <c r="U15" s="8">
        <f t="shared" si="30"/>
        <v>15.86624</v>
      </c>
      <c r="V15" s="8">
        <f t="shared" si="37"/>
        <v>15.86624</v>
      </c>
      <c r="W15" s="8">
        <f t="shared" si="38"/>
        <v>15.86624</v>
      </c>
      <c r="X15" s="8">
        <f t="shared" si="39"/>
        <v>97.8212448</v>
      </c>
      <c r="Y15" s="8">
        <f t="shared" si="40"/>
        <v>10.620000000000001</v>
      </c>
      <c r="Z15" s="8">
        <f t="shared" si="15"/>
        <v>8.120000000000001</v>
      </c>
      <c r="AA15" s="8">
        <f t="shared" si="16"/>
        <v>0.15</v>
      </c>
      <c r="AB15" s="8">
        <f t="shared" si="17"/>
        <v>546.9</v>
      </c>
      <c r="AC15" s="8">
        <f t="shared" si="41"/>
        <v>2384.8660888645095</v>
      </c>
      <c r="AD15" s="8">
        <f t="shared" si="18"/>
        <v>10.19593739254321</v>
      </c>
      <c r="AE15" s="8">
        <f t="shared" si="19"/>
        <v>15.293906088814815</v>
      </c>
      <c r="AF15" s="8">
        <f t="shared" si="20"/>
        <v>8.416560876115513</v>
      </c>
      <c r="AG15" s="8">
        <f t="shared" si="21"/>
        <v>16.833121752231026</v>
      </c>
      <c r="AH15" s="4"/>
      <c r="AL15">
        <f t="shared" si="22"/>
        <v>1.4961620918445837</v>
      </c>
      <c r="AM15">
        <f t="shared" si="23"/>
        <v>2.58954713311852</v>
      </c>
      <c r="AN15">
        <f t="shared" si="24"/>
        <v>0.16931888544891635</v>
      </c>
      <c r="AO15">
        <f t="shared" si="25"/>
        <v>1.5528143879944887</v>
      </c>
      <c r="AP15">
        <f t="shared" si="42"/>
        <v>0.26180816653222844</v>
      </c>
      <c r="AQ15">
        <f t="shared" si="43"/>
        <v>0.27597003875816956</v>
      </c>
      <c r="AR15">
        <f t="shared" si="44"/>
        <v>1.55</v>
      </c>
      <c r="AS15">
        <f t="shared" si="26"/>
        <v>1.875</v>
      </c>
      <c r="AT15">
        <f t="shared" si="27"/>
        <v>10.3125</v>
      </c>
      <c r="AU15">
        <f t="shared" si="28"/>
        <v>263.37600000000003</v>
      </c>
      <c r="AV15">
        <f t="shared" si="29"/>
        <v>8004.120809643155</v>
      </c>
    </row>
    <row r="16" spans="1:48" ht="12.75" customHeight="1">
      <c r="A16" t="s">
        <v>61</v>
      </c>
      <c r="B16">
        <v>14.16</v>
      </c>
      <c r="C16">
        <v>0</v>
      </c>
      <c r="D16" s="1">
        <v>0.64</v>
      </c>
      <c r="E16" s="1">
        <v>15.76</v>
      </c>
      <c r="F16" s="1">
        <v>7.08</v>
      </c>
      <c r="G16" s="1">
        <v>0</v>
      </c>
      <c r="H16" s="1"/>
      <c r="I16" s="8">
        <f t="shared" si="8"/>
        <v>26.634880000000003</v>
      </c>
      <c r="J16" s="8">
        <f t="shared" si="9"/>
        <v>0.18809943502824863</v>
      </c>
      <c r="K16" s="8">
        <f t="shared" si="10"/>
        <v>0.37619887005649727</v>
      </c>
      <c r="L16" s="1">
        <f t="shared" si="11"/>
        <v>14</v>
      </c>
      <c r="M16" s="1">
        <f t="shared" si="12"/>
        <v>17</v>
      </c>
      <c r="N16" s="1">
        <f t="shared" si="31"/>
        <v>7</v>
      </c>
      <c r="O16" s="1">
        <f t="shared" si="32"/>
        <v>9</v>
      </c>
      <c r="P16" s="8">
        <f t="shared" si="33"/>
        <v>102.08333333333336</v>
      </c>
      <c r="Q16" s="8">
        <f t="shared" si="34"/>
        <v>159.375</v>
      </c>
      <c r="R16" s="2">
        <v>300</v>
      </c>
      <c r="S16" s="1">
        <f t="shared" si="35"/>
        <v>0.94</v>
      </c>
      <c r="T16" s="8">
        <f t="shared" si="36"/>
        <v>31.73248</v>
      </c>
      <c r="U16" s="8">
        <f t="shared" si="30"/>
        <v>15.86624</v>
      </c>
      <c r="V16" s="8">
        <f t="shared" si="37"/>
        <v>15.86624</v>
      </c>
      <c r="W16" s="8">
        <f t="shared" si="38"/>
        <v>15.86624</v>
      </c>
      <c r="X16" s="8">
        <f t="shared" si="39"/>
        <v>97.8212448</v>
      </c>
      <c r="Y16" s="8">
        <f t="shared" si="40"/>
        <v>10.620000000000001</v>
      </c>
      <c r="Z16" s="8">
        <f t="shared" si="15"/>
        <v>8.120000000000001</v>
      </c>
      <c r="AA16" s="8">
        <f t="shared" si="16"/>
        <v>0.15</v>
      </c>
      <c r="AB16" s="8">
        <f t="shared" si="17"/>
        <v>546.9</v>
      </c>
      <c r="AC16" s="8">
        <f t="shared" si="41"/>
        <v>2384.8660888645095</v>
      </c>
      <c r="AD16" s="8">
        <f t="shared" si="18"/>
        <v>10.19593739254321</v>
      </c>
      <c r="AE16" s="8">
        <f t="shared" si="19"/>
        <v>15.293906088814815</v>
      </c>
      <c r="AF16" s="8">
        <f t="shared" si="20"/>
        <v>8.416560876115513</v>
      </c>
      <c r="AG16" s="8">
        <f t="shared" si="21"/>
        <v>16.833121752231026</v>
      </c>
      <c r="AH16" s="4"/>
      <c r="AL16">
        <f t="shared" si="22"/>
        <v>1.4961620918445837</v>
      </c>
      <c r="AM16">
        <f t="shared" si="23"/>
        <v>2.58954713311852</v>
      </c>
      <c r="AN16">
        <f t="shared" si="24"/>
        <v>0.16931888544891635</v>
      </c>
      <c r="AO16">
        <f t="shared" si="25"/>
        <v>1.5528143879944887</v>
      </c>
      <c r="AP16">
        <f t="shared" si="42"/>
        <v>0.26180816653222844</v>
      </c>
      <c r="AQ16">
        <f t="shared" si="43"/>
        <v>0.27597003875816956</v>
      </c>
      <c r="AR16">
        <f t="shared" si="44"/>
        <v>1.55</v>
      </c>
      <c r="AS16">
        <f t="shared" si="26"/>
        <v>1.875</v>
      </c>
      <c r="AT16">
        <f t="shared" si="27"/>
        <v>10.3125</v>
      </c>
      <c r="AU16">
        <f t="shared" si="28"/>
        <v>263.37600000000003</v>
      </c>
      <c r="AV16">
        <f t="shared" si="29"/>
        <v>8004.120809643155</v>
      </c>
    </row>
    <row r="17" spans="4:34" ht="12.75">
      <c r="D17" s="1"/>
      <c r="E17" s="1"/>
      <c r="F17" s="1"/>
      <c r="G17" s="1"/>
      <c r="H17" s="1"/>
      <c r="I17" s="8"/>
      <c r="J17" s="8"/>
      <c r="K17" s="8"/>
      <c r="L17" s="1"/>
      <c r="M17" s="1"/>
      <c r="N17" s="1"/>
      <c r="O17" s="1"/>
      <c r="P17" s="8"/>
      <c r="Q17" s="8"/>
      <c r="R17" s="2"/>
      <c r="S17" s="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4"/>
    </row>
    <row r="18" spans="4:34" ht="12.75">
      <c r="D18" s="1"/>
      <c r="E18" s="1"/>
      <c r="F18" s="1"/>
      <c r="G18" s="1"/>
      <c r="H18" s="1"/>
      <c r="I18" s="8"/>
      <c r="J18" s="8"/>
      <c r="K18" s="8"/>
      <c r="L18" s="1"/>
      <c r="M18" s="1"/>
      <c r="N18" s="1"/>
      <c r="O18" s="1"/>
      <c r="P18" s="8"/>
      <c r="Q18" s="8"/>
      <c r="R18" s="2"/>
      <c r="S18" s="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"/>
    </row>
    <row r="19" spans="1:48" ht="12.75">
      <c r="A19" t="s">
        <v>65</v>
      </c>
      <c r="B19">
        <v>20.75</v>
      </c>
      <c r="C19">
        <v>0</v>
      </c>
      <c r="D19" s="1">
        <v>0.64</v>
      </c>
      <c r="E19" s="1">
        <v>42.36</v>
      </c>
      <c r="F19" s="1">
        <v>9.38</v>
      </c>
      <c r="G19" s="1">
        <v>0</v>
      </c>
      <c r="H19" s="1"/>
      <c r="I19" s="8">
        <f aca="true" t="shared" si="46" ref="I19:I33">(1.2*D19*B19)+E19+G19</f>
        <v>58.296</v>
      </c>
      <c r="J19" s="8">
        <f aca="true" t="shared" si="47" ref="J19:J33">(0.1*I19)/B19</f>
        <v>0.28094457831325303</v>
      </c>
      <c r="K19" s="8">
        <f aca="true" t="shared" si="48" ref="K19:K33">(0.2*I19)/B19</f>
        <v>0.5618891566265061</v>
      </c>
      <c r="L19" s="1">
        <f aca="true" t="shared" si="49" ref="L19:L34">ROUND(((0.08*B19)*12),0)</f>
        <v>20</v>
      </c>
      <c r="M19" s="1">
        <f aca="true" t="shared" si="50" ref="M19:M34">ROUND(((0.1*B19)*12),0)</f>
        <v>25</v>
      </c>
      <c r="N19" s="1">
        <f aca="true" t="shared" si="51" ref="N19:N34">ROUND((0.5*L19),0)</f>
        <v>10</v>
      </c>
      <c r="O19" s="1">
        <f aca="true" t="shared" si="52" ref="O19:O34">ROUND((0.5*M19),0)</f>
        <v>13</v>
      </c>
      <c r="P19" s="8">
        <f aca="true" t="shared" si="53" ref="P19:P34">(N19/12)*(L19/12)*150</f>
        <v>208.33333333333337</v>
      </c>
      <c r="Q19" s="8">
        <f aca="true" t="shared" si="54" ref="Q19:Q34">(O19/12)*(M19/12)*150</f>
        <v>338.5416666666667</v>
      </c>
      <c r="R19" s="2">
        <v>300</v>
      </c>
      <c r="S19" s="1">
        <f aca="true" t="shared" si="55" ref="S19:S33">D19+(R19/1000)</f>
        <v>0.94</v>
      </c>
      <c r="T19" s="8">
        <f aca="true" t="shared" si="56" ref="T19:T33">(1.2*S19*B19)+E19+G19</f>
        <v>65.76599999999999</v>
      </c>
      <c r="U19" s="8">
        <f aca="true" t="shared" si="57" ref="U19:U33">T19-V19</f>
        <v>34.91423855421685</v>
      </c>
      <c r="V19" s="8">
        <f aca="true" t="shared" si="58" ref="V19:V33">((E19*F19)+(G19*H19)+((1.2*S19)*B19*(0.5*B19)))/B19</f>
        <v>30.851761445783136</v>
      </c>
      <c r="W19" s="8">
        <f aca="true" t="shared" si="59" ref="W19:W33">MAX(U19:V19)</f>
        <v>34.91423855421685</v>
      </c>
      <c r="X19" s="8">
        <f aca="true" t="shared" si="60" ref="X19:X33">(((U19-((S19)*F19))*F19)/2)+(F19*(U19-((S19)*F19)))</f>
        <v>367.1853324578311</v>
      </c>
      <c r="Y19" s="8">
        <f aca="true" t="shared" si="61" ref="Y19:Y34">(B19/16)*12</f>
        <v>15.5625</v>
      </c>
      <c r="Z19" s="8">
        <f t="shared" si="15"/>
        <v>13.0625</v>
      </c>
      <c r="AA19" s="8">
        <f t="shared" si="16"/>
        <v>0.15</v>
      </c>
      <c r="AB19" s="8">
        <f t="shared" si="17"/>
        <v>546.9</v>
      </c>
      <c r="AC19" s="8">
        <f aca="true" t="shared" si="62" ref="AC19:AC33">(12000*X19)/(AB19*0.9)</f>
        <v>8951.918875061405</v>
      </c>
      <c r="AD19" s="8">
        <f t="shared" si="18"/>
        <v>15.845691871669935</v>
      </c>
      <c r="AE19" s="8">
        <f t="shared" si="19"/>
        <v>23.768537807504902</v>
      </c>
      <c r="AF19" s="8">
        <f aca="true" t="shared" si="63" ref="AF19:AF33">(AC19/4)^(1/3)</f>
        <v>13.080330442163763</v>
      </c>
      <c r="AG19" s="8">
        <f t="shared" si="21"/>
        <v>26.160660884327527</v>
      </c>
      <c r="AH19" s="4"/>
      <c r="AL19">
        <f aca="true" t="shared" si="64" ref="AL19:AL33">(X19*12000)/(0.9*60000*0.95*AE19)</f>
        <v>3.6136554353364145</v>
      </c>
      <c r="AM19">
        <f aca="true" t="shared" si="65" ref="AM19:AM33">(AL19*60000)/(0.85*4000*AD19)</f>
        <v>4.024462330317162</v>
      </c>
      <c r="AN19">
        <f aca="true" t="shared" si="66" ref="AN19:AN33">AM19/AE19</f>
        <v>0.16931888544891643</v>
      </c>
      <c r="AO19">
        <f aca="true" t="shared" si="67" ref="AO19:AO33">(X19*12000)/(0.9*60000*(AE19-(AM19/2)))</f>
        <v>3.750486784708457</v>
      </c>
      <c r="AP19">
        <f aca="true" t="shared" si="68" ref="AP19:AP33">(3*(4000^0.5)*AD19*Z19)/60000</f>
        <v>0.6545419862424965</v>
      </c>
      <c r="AQ19">
        <f aca="true" t="shared" si="69" ref="AQ19:AQ33">(200*AD19*Z19)/60000</f>
        <v>0.6899478335789617</v>
      </c>
      <c r="AR19">
        <f aca="true" t="shared" si="70" ref="AR19:AR33">ROUND(MAX(AO19:AQ19),2)</f>
        <v>3.75</v>
      </c>
      <c r="AS19">
        <f t="shared" si="26"/>
        <v>1.875</v>
      </c>
      <c r="AT19">
        <f t="shared" si="27"/>
        <v>10.3125</v>
      </c>
      <c r="AU19">
        <f aca="true" t="shared" si="71" ref="AU19:AU33">AR19*(B19*12)</f>
        <v>933.75</v>
      </c>
      <c r="AV19">
        <f aca="true" t="shared" si="72" ref="AV19:AV33">(Y19-6)*AD19*(12*B19)</f>
        <v>37729.58270218809</v>
      </c>
    </row>
    <row r="20" spans="1:48" ht="12.75">
      <c r="A20" t="s">
        <v>73</v>
      </c>
      <c r="B20">
        <v>13</v>
      </c>
      <c r="C20">
        <v>0</v>
      </c>
      <c r="D20" s="1">
        <v>0.64</v>
      </c>
      <c r="E20" s="1">
        <v>20.04</v>
      </c>
      <c r="F20" s="1">
        <v>6.5</v>
      </c>
      <c r="G20" s="1">
        <v>0</v>
      </c>
      <c r="H20" s="1"/>
      <c r="I20" s="8">
        <f t="shared" si="46"/>
        <v>30.024</v>
      </c>
      <c r="J20" s="8">
        <f t="shared" si="47"/>
        <v>0.23095384615384618</v>
      </c>
      <c r="K20" s="8">
        <f t="shared" si="48"/>
        <v>0.46190769230769235</v>
      </c>
      <c r="L20" s="1">
        <f t="shared" si="49"/>
        <v>12</v>
      </c>
      <c r="M20" s="1">
        <f t="shared" si="50"/>
        <v>16</v>
      </c>
      <c r="N20" s="1">
        <f t="shared" si="51"/>
        <v>6</v>
      </c>
      <c r="O20" s="1">
        <f t="shared" si="52"/>
        <v>8</v>
      </c>
      <c r="P20" s="8">
        <f t="shared" si="53"/>
        <v>75</v>
      </c>
      <c r="Q20" s="8">
        <f t="shared" si="54"/>
        <v>133.33333333333331</v>
      </c>
      <c r="R20" s="2">
        <v>300</v>
      </c>
      <c r="S20" s="1">
        <f t="shared" si="55"/>
        <v>0.94</v>
      </c>
      <c r="T20" s="8">
        <f t="shared" si="56"/>
        <v>34.70399999999999</v>
      </c>
      <c r="U20" s="8">
        <f t="shared" si="57"/>
        <v>17.351999999999997</v>
      </c>
      <c r="V20" s="8">
        <f t="shared" si="58"/>
        <v>17.351999999999997</v>
      </c>
      <c r="W20" s="8">
        <f t="shared" si="59"/>
        <v>17.351999999999997</v>
      </c>
      <c r="X20" s="8">
        <f t="shared" si="60"/>
        <v>109.60949999999997</v>
      </c>
      <c r="Y20" s="8">
        <f t="shared" si="61"/>
        <v>9.75</v>
      </c>
      <c r="Z20" s="8">
        <f t="shared" si="15"/>
        <v>7.25</v>
      </c>
      <c r="AA20" s="8">
        <f t="shared" si="16"/>
        <v>0.15</v>
      </c>
      <c r="AB20" s="8">
        <f t="shared" si="17"/>
        <v>546.9</v>
      </c>
      <c r="AC20" s="8">
        <f t="shared" si="62"/>
        <v>2672.2618394587666</v>
      </c>
      <c r="AD20" s="8">
        <f t="shared" si="18"/>
        <v>10.590069995219679</v>
      </c>
      <c r="AE20" s="8">
        <f t="shared" si="19"/>
        <v>15.885104992829518</v>
      </c>
      <c r="AF20" s="8">
        <f t="shared" si="63"/>
        <v>8.74191017122931</v>
      </c>
      <c r="AG20" s="8">
        <f t="shared" si="21"/>
        <v>17.48382034245862</v>
      </c>
      <c r="AH20" s="4"/>
      <c r="AL20">
        <f t="shared" si="64"/>
        <v>1.614068596611773</v>
      </c>
      <c r="AM20">
        <f t="shared" si="65"/>
        <v>2.6896482726249125</v>
      </c>
      <c r="AN20">
        <f t="shared" si="66"/>
        <v>0.1693188854489165</v>
      </c>
      <c r="AO20">
        <f t="shared" si="67"/>
        <v>1.6751854319065214</v>
      </c>
      <c r="AP20">
        <f t="shared" si="68"/>
        <v>0.24279337779989418</v>
      </c>
      <c r="AQ20">
        <f t="shared" si="69"/>
        <v>0.2559266915511422</v>
      </c>
      <c r="AR20">
        <f t="shared" si="70"/>
        <v>1.68</v>
      </c>
      <c r="AS20">
        <f t="shared" si="26"/>
        <v>1.875</v>
      </c>
      <c r="AT20">
        <f t="shared" si="27"/>
        <v>10.3125</v>
      </c>
      <c r="AU20">
        <f t="shared" si="71"/>
        <v>262.08</v>
      </c>
      <c r="AV20">
        <f t="shared" si="72"/>
        <v>6195.190947203513</v>
      </c>
    </row>
    <row r="21" spans="1:48" ht="12.75">
      <c r="A21" t="s">
        <v>66</v>
      </c>
      <c r="B21">
        <v>18</v>
      </c>
      <c r="C21">
        <v>0</v>
      </c>
      <c r="D21" s="1">
        <v>0.64</v>
      </c>
      <c r="E21" s="1">
        <v>37.05</v>
      </c>
      <c r="F21" s="1">
        <v>9</v>
      </c>
      <c r="G21" s="1">
        <v>0</v>
      </c>
      <c r="H21" s="1"/>
      <c r="I21" s="8">
        <f t="shared" si="46"/>
        <v>50.873999999999995</v>
      </c>
      <c r="J21" s="8">
        <f t="shared" si="47"/>
        <v>0.2826333333333333</v>
      </c>
      <c r="K21" s="8">
        <f t="shared" si="48"/>
        <v>0.5652666666666666</v>
      </c>
      <c r="L21" s="1">
        <f t="shared" si="49"/>
        <v>17</v>
      </c>
      <c r="M21" s="1">
        <f t="shared" si="50"/>
        <v>22</v>
      </c>
      <c r="N21" s="1">
        <f t="shared" si="51"/>
        <v>9</v>
      </c>
      <c r="O21" s="1">
        <f t="shared" si="52"/>
        <v>11</v>
      </c>
      <c r="P21" s="8">
        <f t="shared" si="53"/>
        <v>159.375</v>
      </c>
      <c r="Q21" s="8">
        <f t="shared" si="54"/>
        <v>252.08333333333331</v>
      </c>
      <c r="R21" s="2">
        <v>300</v>
      </c>
      <c r="S21" s="1">
        <f t="shared" si="55"/>
        <v>0.94</v>
      </c>
      <c r="T21" s="8">
        <f t="shared" si="56"/>
        <v>57.354</v>
      </c>
      <c r="U21" s="8">
        <f t="shared" si="57"/>
        <v>28.677000000000003</v>
      </c>
      <c r="V21" s="8">
        <f t="shared" si="58"/>
        <v>28.676999999999996</v>
      </c>
      <c r="W21" s="8">
        <f t="shared" si="59"/>
        <v>28.677000000000003</v>
      </c>
      <c r="X21" s="8">
        <f t="shared" si="60"/>
        <v>272.9295000000001</v>
      </c>
      <c r="Y21" s="8">
        <f t="shared" si="61"/>
        <v>13.5</v>
      </c>
      <c r="Z21" s="8">
        <f t="shared" si="15"/>
        <v>11</v>
      </c>
      <c r="AA21" s="8">
        <f t="shared" si="16"/>
        <v>0.15</v>
      </c>
      <c r="AB21" s="8">
        <f t="shared" si="17"/>
        <v>546.9</v>
      </c>
      <c r="AC21" s="8">
        <f t="shared" si="62"/>
        <v>6653.976961053211</v>
      </c>
      <c r="AD21" s="8">
        <f t="shared" si="18"/>
        <v>14.353779098002663</v>
      </c>
      <c r="AE21" s="8">
        <f t="shared" si="19"/>
        <v>21.530668647003996</v>
      </c>
      <c r="AF21" s="8">
        <f t="shared" si="63"/>
        <v>11.848783582077287</v>
      </c>
      <c r="AG21" s="8">
        <f t="shared" si="21"/>
        <v>23.697567164154574</v>
      </c>
      <c r="AH21" s="4"/>
      <c r="AL21">
        <f t="shared" si="64"/>
        <v>2.9652194709531545</v>
      </c>
      <c r="AM21">
        <f t="shared" si="65"/>
        <v>3.6455488182806484</v>
      </c>
      <c r="AN21">
        <f t="shared" si="66"/>
        <v>0.16931888544891655</v>
      </c>
      <c r="AO21">
        <f t="shared" si="67"/>
        <v>3.0774977411576856</v>
      </c>
      <c r="AP21">
        <f t="shared" si="68"/>
        <v>0.4992969847866621</v>
      </c>
      <c r="AQ21">
        <f t="shared" si="69"/>
        <v>0.526305233593431</v>
      </c>
      <c r="AR21">
        <f t="shared" si="70"/>
        <v>3.08</v>
      </c>
      <c r="AS21">
        <f t="shared" si="26"/>
        <v>1.875</v>
      </c>
      <c r="AT21">
        <f t="shared" si="27"/>
        <v>10.3125</v>
      </c>
      <c r="AU21">
        <f t="shared" si="71"/>
        <v>665.28</v>
      </c>
      <c r="AV21">
        <f t="shared" si="72"/>
        <v>23253.122138764316</v>
      </c>
    </row>
    <row r="22" spans="1:48" ht="12.75">
      <c r="A22" t="s">
        <v>67</v>
      </c>
      <c r="B22">
        <v>11.42</v>
      </c>
      <c r="C22">
        <v>0</v>
      </c>
      <c r="D22" s="1">
        <v>0.64</v>
      </c>
      <c r="E22" s="1">
        <v>27.8</v>
      </c>
      <c r="F22" s="1">
        <v>5.71</v>
      </c>
      <c r="G22" s="1">
        <v>0</v>
      </c>
      <c r="H22" s="1"/>
      <c r="I22" s="8">
        <f t="shared" si="46"/>
        <v>36.57056</v>
      </c>
      <c r="J22" s="8">
        <f t="shared" si="47"/>
        <v>0.32023257443082315</v>
      </c>
      <c r="K22" s="8">
        <f t="shared" si="48"/>
        <v>0.6404651488616463</v>
      </c>
      <c r="L22" s="1">
        <f t="shared" si="49"/>
        <v>11</v>
      </c>
      <c r="M22" s="1">
        <f t="shared" si="50"/>
        <v>14</v>
      </c>
      <c r="N22" s="1">
        <f t="shared" si="51"/>
        <v>6</v>
      </c>
      <c r="O22" s="1">
        <f t="shared" si="52"/>
        <v>7</v>
      </c>
      <c r="P22" s="8">
        <f t="shared" si="53"/>
        <v>68.75</v>
      </c>
      <c r="Q22" s="8">
        <f t="shared" si="54"/>
        <v>102.08333333333336</v>
      </c>
      <c r="R22" s="2">
        <v>300</v>
      </c>
      <c r="S22" s="1">
        <f t="shared" si="55"/>
        <v>0.94</v>
      </c>
      <c r="T22" s="8">
        <f t="shared" si="56"/>
        <v>40.68176</v>
      </c>
      <c r="U22" s="8">
        <f t="shared" si="57"/>
        <v>20.34088</v>
      </c>
      <c r="V22" s="8">
        <f t="shared" si="58"/>
        <v>20.34088</v>
      </c>
      <c r="W22" s="8">
        <f t="shared" si="59"/>
        <v>20.34088</v>
      </c>
      <c r="X22" s="8">
        <f t="shared" si="60"/>
        <v>128.2478562</v>
      </c>
      <c r="Y22" s="8">
        <f t="shared" si="61"/>
        <v>8.565</v>
      </c>
      <c r="Z22" s="8">
        <f t="shared" si="15"/>
        <v>6.0649999999999995</v>
      </c>
      <c r="AA22" s="8">
        <f t="shared" si="16"/>
        <v>0.15</v>
      </c>
      <c r="AB22" s="8">
        <f t="shared" si="17"/>
        <v>546.9</v>
      </c>
      <c r="AC22" s="8">
        <f t="shared" si="62"/>
        <v>3126.6619418540868</v>
      </c>
      <c r="AD22" s="8">
        <f t="shared" si="18"/>
        <v>11.159193366203274</v>
      </c>
      <c r="AE22" s="8">
        <f t="shared" si="19"/>
        <v>16.73879004930491</v>
      </c>
      <c r="AF22" s="8">
        <f t="shared" si="63"/>
        <v>9.211711162887687</v>
      </c>
      <c r="AG22" s="8">
        <f t="shared" si="21"/>
        <v>18.423422325775373</v>
      </c>
      <c r="AH22" s="4"/>
      <c r="AL22">
        <f t="shared" si="64"/>
        <v>1.7922142782095256</v>
      </c>
      <c r="AM22">
        <f t="shared" si="65"/>
        <v>2.8341932749117205</v>
      </c>
      <c r="AN22">
        <f t="shared" si="66"/>
        <v>0.16931888544891643</v>
      </c>
      <c r="AO22">
        <f t="shared" si="67"/>
        <v>1.8600766138526084</v>
      </c>
      <c r="AP22">
        <f t="shared" si="68"/>
        <v>0.21402455773734658</v>
      </c>
      <c r="AQ22">
        <f t="shared" si="69"/>
        <v>0.22560169255340948</v>
      </c>
      <c r="AR22">
        <f t="shared" si="70"/>
        <v>1.86</v>
      </c>
      <c r="AS22">
        <f t="shared" si="26"/>
        <v>1.875</v>
      </c>
      <c r="AT22">
        <f t="shared" si="27"/>
        <v>10.3125</v>
      </c>
      <c r="AU22">
        <f t="shared" si="71"/>
        <v>254.8944</v>
      </c>
      <c r="AV22">
        <f t="shared" si="72"/>
        <v>3922.541278090033</v>
      </c>
    </row>
    <row r="23" spans="1:48" ht="12.75">
      <c r="A23" t="s">
        <v>68</v>
      </c>
      <c r="B23">
        <v>17.75</v>
      </c>
      <c r="C23">
        <v>0</v>
      </c>
      <c r="D23" s="1">
        <v>0.64</v>
      </c>
      <c r="E23" s="1">
        <v>37.53</v>
      </c>
      <c r="F23" s="1">
        <v>9.46</v>
      </c>
      <c r="G23" s="1">
        <v>0</v>
      </c>
      <c r="H23" s="1"/>
      <c r="I23" s="8">
        <f t="shared" si="46"/>
        <v>51.162</v>
      </c>
      <c r="J23" s="8">
        <f t="shared" si="47"/>
        <v>0.2882366197183099</v>
      </c>
      <c r="K23" s="8">
        <f t="shared" si="48"/>
        <v>0.5764732394366198</v>
      </c>
      <c r="L23" s="1">
        <f t="shared" si="49"/>
        <v>17</v>
      </c>
      <c r="M23" s="1">
        <f t="shared" si="50"/>
        <v>21</v>
      </c>
      <c r="N23" s="1">
        <f t="shared" si="51"/>
        <v>9</v>
      </c>
      <c r="O23" s="1">
        <f t="shared" si="52"/>
        <v>11</v>
      </c>
      <c r="P23" s="8">
        <f t="shared" si="53"/>
        <v>159.375</v>
      </c>
      <c r="Q23" s="8">
        <f t="shared" si="54"/>
        <v>240.62499999999997</v>
      </c>
      <c r="R23" s="2">
        <v>300</v>
      </c>
      <c r="S23" s="1">
        <f t="shared" si="55"/>
        <v>0.94</v>
      </c>
      <c r="T23" s="8">
        <f t="shared" si="56"/>
        <v>57.552</v>
      </c>
      <c r="U23" s="8">
        <f t="shared" si="57"/>
        <v>27.539095774647887</v>
      </c>
      <c r="V23" s="8">
        <f t="shared" si="58"/>
        <v>30.012904225352113</v>
      </c>
      <c r="W23" s="8">
        <f t="shared" si="59"/>
        <v>30.012904225352113</v>
      </c>
      <c r="X23" s="8">
        <f t="shared" si="60"/>
        <v>264.5966130422536</v>
      </c>
      <c r="Y23" s="8">
        <f t="shared" si="61"/>
        <v>13.3125</v>
      </c>
      <c r="Z23" s="8">
        <f t="shared" si="15"/>
        <v>10.8125</v>
      </c>
      <c r="AA23" s="8">
        <f t="shared" si="16"/>
        <v>0.15</v>
      </c>
      <c r="AB23" s="8">
        <f t="shared" si="17"/>
        <v>546.9</v>
      </c>
      <c r="AC23" s="8">
        <f t="shared" si="62"/>
        <v>6450.822528000331</v>
      </c>
      <c r="AD23" s="8">
        <f t="shared" si="18"/>
        <v>14.206186940054067</v>
      </c>
      <c r="AE23" s="8">
        <f t="shared" si="19"/>
        <v>21.3092804100811</v>
      </c>
      <c r="AF23" s="8">
        <f t="shared" si="63"/>
        <v>11.726948940063876</v>
      </c>
      <c r="AG23" s="8">
        <f t="shared" si="21"/>
        <v>23.45389788012775</v>
      </c>
      <c r="AH23" s="4"/>
      <c r="AL23">
        <f t="shared" si="64"/>
        <v>2.9045534799948616</v>
      </c>
      <c r="AM23">
        <f t="shared" si="65"/>
        <v>3.6080636087533637</v>
      </c>
      <c r="AN23">
        <f t="shared" si="66"/>
        <v>0.16931888544891657</v>
      </c>
      <c r="AO23">
        <f t="shared" si="67"/>
        <v>3.014534627645138</v>
      </c>
      <c r="AP23">
        <f t="shared" si="68"/>
        <v>0.4857397508894135</v>
      </c>
      <c r="AQ23">
        <f t="shared" si="69"/>
        <v>0.512014654297782</v>
      </c>
      <c r="AR23">
        <f t="shared" si="70"/>
        <v>3.01</v>
      </c>
      <c r="AS23">
        <f t="shared" si="26"/>
        <v>1.875</v>
      </c>
      <c r="AT23">
        <f t="shared" si="27"/>
        <v>10.3125</v>
      </c>
      <c r="AU23">
        <f t="shared" si="71"/>
        <v>641.13</v>
      </c>
      <c r="AV23">
        <f t="shared" si="72"/>
        <v>22127.02404581796</v>
      </c>
    </row>
    <row r="24" spans="1:48" ht="12.75">
      <c r="A24" t="s">
        <v>69</v>
      </c>
      <c r="B24">
        <v>17.75</v>
      </c>
      <c r="C24">
        <v>0</v>
      </c>
      <c r="D24" s="1">
        <v>0.64</v>
      </c>
      <c r="E24" s="1">
        <v>37.53</v>
      </c>
      <c r="F24" s="1">
        <v>9.46</v>
      </c>
      <c r="G24" s="1">
        <v>0</v>
      </c>
      <c r="H24" s="1"/>
      <c r="I24" s="8">
        <f t="shared" si="46"/>
        <v>51.162</v>
      </c>
      <c r="J24" s="8">
        <f t="shared" si="47"/>
        <v>0.2882366197183099</v>
      </c>
      <c r="K24" s="8">
        <f t="shared" si="48"/>
        <v>0.5764732394366198</v>
      </c>
      <c r="L24" s="1">
        <f t="shared" si="49"/>
        <v>17</v>
      </c>
      <c r="M24" s="1">
        <f t="shared" si="50"/>
        <v>21</v>
      </c>
      <c r="N24" s="1">
        <f t="shared" si="51"/>
        <v>9</v>
      </c>
      <c r="O24" s="1">
        <f t="shared" si="52"/>
        <v>11</v>
      </c>
      <c r="P24" s="8">
        <f t="shared" si="53"/>
        <v>159.375</v>
      </c>
      <c r="Q24" s="8">
        <f t="shared" si="54"/>
        <v>240.62499999999997</v>
      </c>
      <c r="R24" s="2">
        <v>300</v>
      </c>
      <c r="S24" s="1">
        <f t="shared" si="55"/>
        <v>0.94</v>
      </c>
      <c r="T24" s="8">
        <f t="shared" si="56"/>
        <v>57.552</v>
      </c>
      <c r="U24" s="8">
        <f t="shared" si="57"/>
        <v>27.539095774647887</v>
      </c>
      <c r="V24" s="8">
        <f t="shared" si="58"/>
        <v>30.012904225352113</v>
      </c>
      <c r="W24" s="8">
        <f t="shared" si="59"/>
        <v>30.012904225352113</v>
      </c>
      <c r="X24" s="8">
        <f t="shared" si="60"/>
        <v>264.5966130422536</v>
      </c>
      <c r="Y24" s="8">
        <f t="shared" si="61"/>
        <v>13.3125</v>
      </c>
      <c r="Z24" s="8">
        <f t="shared" si="15"/>
        <v>10.8125</v>
      </c>
      <c r="AA24" s="8">
        <f t="shared" si="16"/>
        <v>0.15</v>
      </c>
      <c r="AB24" s="8">
        <f t="shared" si="17"/>
        <v>546.9</v>
      </c>
      <c r="AC24" s="8">
        <f t="shared" si="62"/>
        <v>6450.822528000331</v>
      </c>
      <c r="AD24" s="8">
        <f t="shared" si="18"/>
        <v>14.206186940054067</v>
      </c>
      <c r="AE24" s="8">
        <f t="shared" si="19"/>
        <v>21.3092804100811</v>
      </c>
      <c r="AF24" s="8">
        <f t="shared" si="63"/>
        <v>11.726948940063876</v>
      </c>
      <c r="AG24" s="8">
        <f t="shared" si="21"/>
        <v>23.45389788012775</v>
      </c>
      <c r="AH24" s="4"/>
      <c r="AL24">
        <f t="shared" si="64"/>
        <v>2.9045534799948616</v>
      </c>
      <c r="AM24">
        <f t="shared" si="65"/>
        <v>3.6080636087533637</v>
      </c>
      <c r="AN24">
        <f t="shared" si="66"/>
        <v>0.16931888544891657</v>
      </c>
      <c r="AO24">
        <f t="shared" si="67"/>
        <v>3.014534627645138</v>
      </c>
      <c r="AP24">
        <f t="shared" si="68"/>
        <v>0.4857397508894135</v>
      </c>
      <c r="AQ24">
        <f t="shared" si="69"/>
        <v>0.512014654297782</v>
      </c>
      <c r="AR24">
        <f t="shared" si="70"/>
        <v>3.01</v>
      </c>
      <c r="AS24">
        <f t="shared" si="26"/>
        <v>1.875</v>
      </c>
      <c r="AT24">
        <f t="shared" si="27"/>
        <v>10.3125</v>
      </c>
      <c r="AU24">
        <f t="shared" si="71"/>
        <v>641.13</v>
      </c>
      <c r="AV24">
        <f t="shared" si="72"/>
        <v>22127.02404581796</v>
      </c>
    </row>
    <row r="25" spans="1:48" ht="12.75">
      <c r="A25" t="s">
        <v>70</v>
      </c>
      <c r="B25">
        <v>11.42</v>
      </c>
      <c r="C25">
        <v>0</v>
      </c>
      <c r="D25" s="1">
        <v>0.64</v>
      </c>
      <c r="E25" s="1">
        <v>27.8</v>
      </c>
      <c r="F25" s="1">
        <v>5.71</v>
      </c>
      <c r="G25" s="1">
        <v>0</v>
      </c>
      <c r="H25" s="1"/>
      <c r="I25" s="8">
        <f t="shared" si="46"/>
        <v>36.57056</v>
      </c>
      <c r="J25" s="8">
        <f t="shared" si="47"/>
        <v>0.32023257443082315</v>
      </c>
      <c r="K25" s="8">
        <f t="shared" si="48"/>
        <v>0.6404651488616463</v>
      </c>
      <c r="L25" s="1">
        <f t="shared" si="49"/>
        <v>11</v>
      </c>
      <c r="M25" s="1">
        <f t="shared" si="50"/>
        <v>14</v>
      </c>
      <c r="N25" s="1">
        <f t="shared" si="51"/>
        <v>6</v>
      </c>
      <c r="O25" s="1">
        <f t="shared" si="52"/>
        <v>7</v>
      </c>
      <c r="P25" s="8">
        <f t="shared" si="53"/>
        <v>68.75</v>
      </c>
      <c r="Q25" s="8">
        <f t="shared" si="54"/>
        <v>102.08333333333336</v>
      </c>
      <c r="R25" s="2">
        <v>300</v>
      </c>
      <c r="S25" s="1">
        <f t="shared" si="55"/>
        <v>0.94</v>
      </c>
      <c r="T25" s="8">
        <f t="shared" si="56"/>
        <v>40.68176</v>
      </c>
      <c r="U25" s="8">
        <f t="shared" si="57"/>
        <v>20.34088</v>
      </c>
      <c r="V25" s="8">
        <f t="shared" si="58"/>
        <v>20.34088</v>
      </c>
      <c r="W25" s="8">
        <f t="shared" si="59"/>
        <v>20.34088</v>
      </c>
      <c r="X25" s="8">
        <f t="shared" si="60"/>
        <v>128.2478562</v>
      </c>
      <c r="Y25" s="8">
        <f t="shared" si="61"/>
        <v>8.565</v>
      </c>
      <c r="Z25" s="8">
        <f t="shared" si="15"/>
        <v>6.0649999999999995</v>
      </c>
      <c r="AA25" s="8">
        <f t="shared" si="16"/>
        <v>0.15</v>
      </c>
      <c r="AB25" s="8">
        <f t="shared" si="17"/>
        <v>546.9</v>
      </c>
      <c r="AC25" s="8">
        <f t="shared" si="62"/>
        <v>3126.6619418540868</v>
      </c>
      <c r="AD25" s="8">
        <f t="shared" si="18"/>
        <v>11.159193366203274</v>
      </c>
      <c r="AE25" s="8">
        <f t="shared" si="19"/>
        <v>16.73879004930491</v>
      </c>
      <c r="AF25" s="8">
        <f t="shared" si="63"/>
        <v>9.211711162887687</v>
      </c>
      <c r="AG25" s="8">
        <f t="shared" si="21"/>
        <v>18.423422325775373</v>
      </c>
      <c r="AH25" s="4"/>
      <c r="AL25">
        <f t="shared" si="64"/>
        <v>1.7922142782095256</v>
      </c>
      <c r="AM25">
        <f t="shared" si="65"/>
        <v>2.8341932749117205</v>
      </c>
      <c r="AN25">
        <f t="shared" si="66"/>
        <v>0.16931888544891643</v>
      </c>
      <c r="AO25">
        <f t="shared" si="67"/>
        <v>1.8600766138526084</v>
      </c>
      <c r="AP25">
        <f t="shared" si="68"/>
        <v>0.21402455773734658</v>
      </c>
      <c r="AQ25">
        <f t="shared" si="69"/>
        <v>0.22560169255340948</v>
      </c>
      <c r="AR25">
        <f t="shared" si="70"/>
        <v>1.86</v>
      </c>
      <c r="AS25">
        <f t="shared" si="26"/>
        <v>1.875</v>
      </c>
      <c r="AT25">
        <f t="shared" si="27"/>
        <v>10.3125</v>
      </c>
      <c r="AU25">
        <f t="shared" si="71"/>
        <v>254.8944</v>
      </c>
      <c r="AV25">
        <f t="shared" si="72"/>
        <v>3922.541278090033</v>
      </c>
    </row>
    <row r="26" spans="1:48" ht="12.75">
      <c r="A26" t="s">
        <v>71</v>
      </c>
      <c r="B26">
        <v>18</v>
      </c>
      <c r="C26">
        <v>0</v>
      </c>
      <c r="D26" s="1">
        <v>0.64</v>
      </c>
      <c r="E26" s="1">
        <v>37.05</v>
      </c>
      <c r="F26" s="1">
        <v>9</v>
      </c>
      <c r="G26" s="1">
        <v>0</v>
      </c>
      <c r="H26" s="1"/>
      <c r="I26" s="8">
        <f t="shared" si="46"/>
        <v>50.873999999999995</v>
      </c>
      <c r="J26" s="8">
        <f t="shared" si="47"/>
        <v>0.2826333333333333</v>
      </c>
      <c r="K26" s="8">
        <f t="shared" si="48"/>
        <v>0.5652666666666666</v>
      </c>
      <c r="L26" s="1">
        <f t="shared" si="49"/>
        <v>17</v>
      </c>
      <c r="M26" s="1">
        <f t="shared" si="50"/>
        <v>22</v>
      </c>
      <c r="N26" s="1">
        <f t="shared" si="51"/>
        <v>9</v>
      </c>
      <c r="O26" s="1">
        <f t="shared" si="52"/>
        <v>11</v>
      </c>
      <c r="P26" s="8">
        <f t="shared" si="53"/>
        <v>159.375</v>
      </c>
      <c r="Q26" s="8">
        <f t="shared" si="54"/>
        <v>252.08333333333331</v>
      </c>
      <c r="R26" s="2">
        <v>300</v>
      </c>
      <c r="S26" s="1">
        <f t="shared" si="55"/>
        <v>0.94</v>
      </c>
      <c r="T26" s="8">
        <f t="shared" si="56"/>
        <v>57.354</v>
      </c>
      <c r="U26" s="8">
        <f t="shared" si="57"/>
        <v>28.677000000000003</v>
      </c>
      <c r="V26" s="8">
        <f t="shared" si="58"/>
        <v>28.676999999999996</v>
      </c>
      <c r="W26" s="8">
        <f t="shared" si="59"/>
        <v>28.677000000000003</v>
      </c>
      <c r="X26" s="8">
        <f t="shared" si="60"/>
        <v>272.9295000000001</v>
      </c>
      <c r="Y26" s="8">
        <f t="shared" si="61"/>
        <v>13.5</v>
      </c>
      <c r="Z26" s="8">
        <f t="shared" si="15"/>
        <v>11</v>
      </c>
      <c r="AA26" s="8">
        <f t="shared" si="16"/>
        <v>0.15</v>
      </c>
      <c r="AB26" s="8">
        <f t="shared" si="17"/>
        <v>546.9</v>
      </c>
      <c r="AC26" s="8">
        <f t="shared" si="62"/>
        <v>6653.976961053211</v>
      </c>
      <c r="AD26" s="8">
        <f t="shared" si="18"/>
        <v>14.353779098002663</v>
      </c>
      <c r="AE26" s="8">
        <f t="shared" si="19"/>
        <v>21.530668647003996</v>
      </c>
      <c r="AF26" s="8">
        <f t="shared" si="63"/>
        <v>11.848783582077287</v>
      </c>
      <c r="AG26" s="8">
        <f t="shared" si="21"/>
        <v>23.697567164154574</v>
      </c>
      <c r="AH26" s="4"/>
      <c r="AL26">
        <f t="shared" si="64"/>
        <v>2.9652194709531545</v>
      </c>
      <c r="AM26">
        <f t="shared" si="65"/>
        <v>3.6455488182806484</v>
      </c>
      <c r="AN26">
        <f t="shared" si="66"/>
        <v>0.16931888544891655</v>
      </c>
      <c r="AO26">
        <f t="shared" si="67"/>
        <v>3.0774977411576856</v>
      </c>
      <c r="AP26">
        <f t="shared" si="68"/>
        <v>0.4992969847866621</v>
      </c>
      <c r="AQ26">
        <f t="shared" si="69"/>
        <v>0.526305233593431</v>
      </c>
      <c r="AR26">
        <f t="shared" si="70"/>
        <v>3.08</v>
      </c>
      <c r="AS26">
        <f t="shared" si="26"/>
        <v>1.875</v>
      </c>
      <c r="AT26">
        <f t="shared" si="27"/>
        <v>10.3125</v>
      </c>
      <c r="AU26">
        <f t="shared" si="71"/>
        <v>665.28</v>
      </c>
      <c r="AV26">
        <f t="shared" si="72"/>
        <v>23253.122138764316</v>
      </c>
    </row>
    <row r="27" spans="1:48" ht="12.75">
      <c r="A27" t="s">
        <v>72</v>
      </c>
      <c r="B27">
        <v>13</v>
      </c>
      <c r="C27">
        <v>0</v>
      </c>
      <c r="D27" s="1">
        <v>0.64</v>
      </c>
      <c r="E27" s="1">
        <v>20.04</v>
      </c>
      <c r="F27" s="1">
        <v>6.5</v>
      </c>
      <c r="G27" s="1">
        <v>0</v>
      </c>
      <c r="H27" s="1"/>
      <c r="I27" s="8">
        <f t="shared" si="46"/>
        <v>30.024</v>
      </c>
      <c r="J27" s="8">
        <f t="shared" si="47"/>
        <v>0.23095384615384618</v>
      </c>
      <c r="K27" s="8">
        <f t="shared" si="48"/>
        <v>0.46190769230769235</v>
      </c>
      <c r="L27" s="1">
        <f t="shared" si="49"/>
        <v>12</v>
      </c>
      <c r="M27" s="1">
        <f t="shared" si="50"/>
        <v>16</v>
      </c>
      <c r="N27" s="1">
        <f t="shared" si="51"/>
        <v>6</v>
      </c>
      <c r="O27" s="1">
        <f t="shared" si="52"/>
        <v>8</v>
      </c>
      <c r="P27" s="8">
        <f t="shared" si="53"/>
        <v>75</v>
      </c>
      <c r="Q27" s="8">
        <f t="shared" si="54"/>
        <v>133.33333333333331</v>
      </c>
      <c r="R27" s="2">
        <v>300</v>
      </c>
      <c r="S27" s="1">
        <f t="shared" si="55"/>
        <v>0.94</v>
      </c>
      <c r="T27" s="8">
        <f t="shared" si="56"/>
        <v>34.70399999999999</v>
      </c>
      <c r="U27" s="8">
        <f t="shared" si="57"/>
        <v>17.351999999999997</v>
      </c>
      <c r="V27" s="8">
        <f t="shared" si="58"/>
        <v>17.351999999999997</v>
      </c>
      <c r="W27" s="8">
        <f t="shared" si="59"/>
        <v>17.351999999999997</v>
      </c>
      <c r="X27" s="8">
        <f t="shared" si="60"/>
        <v>109.60949999999997</v>
      </c>
      <c r="Y27" s="8">
        <f t="shared" si="61"/>
        <v>9.75</v>
      </c>
      <c r="Z27" s="8">
        <f t="shared" si="15"/>
        <v>7.25</v>
      </c>
      <c r="AA27" s="8">
        <f t="shared" si="16"/>
        <v>0.15</v>
      </c>
      <c r="AB27" s="8">
        <f t="shared" si="17"/>
        <v>546.9</v>
      </c>
      <c r="AC27" s="8">
        <f t="shared" si="62"/>
        <v>2672.2618394587666</v>
      </c>
      <c r="AD27" s="8">
        <f t="shared" si="18"/>
        <v>10.590069995219679</v>
      </c>
      <c r="AE27" s="8">
        <f t="shared" si="19"/>
        <v>15.885104992829518</v>
      </c>
      <c r="AF27" s="8">
        <f t="shared" si="63"/>
        <v>8.74191017122931</v>
      </c>
      <c r="AG27" s="8">
        <f t="shared" si="21"/>
        <v>17.48382034245862</v>
      </c>
      <c r="AH27" s="4"/>
      <c r="AL27">
        <f t="shared" si="64"/>
        <v>1.614068596611773</v>
      </c>
      <c r="AM27">
        <f t="shared" si="65"/>
        <v>2.6896482726249125</v>
      </c>
      <c r="AN27">
        <f t="shared" si="66"/>
        <v>0.1693188854489165</v>
      </c>
      <c r="AO27">
        <f t="shared" si="67"/>
        <v>1.6751854319065214</v>
      </c>
      <c r="AP27">
        <f t="shared" si="68"/>
        <v>0.24279337779989418</v>
      </c>
      <c r="AQ27">
        <f t="shared" si="69"/>
        <v>0.2559266915511422</v>
      </c>
      <c r="AR27">
        <f t="shared" si="70"/>
        <v>1.68</v>
      </c>
      <c r="AS27">
        <f t="shared" si="26"/>
        <v>1.875</v>
      </c>
      <c r="AT27">
        <f t="shared" si="27"/>
        <v>10.3125</v>
      </c>
      <c r="AU27">
        <f t="shared" si="71"/>
        <v>262.08</v>
      </c>
      <c r="AV27">
        <f t="shared" si="72"/>
        <v>6195.190947203513</v>
      </c>
    </row>
    <row r="28" spans="1:48" ht="12.75">
      <c r="A28" t="s">
        <v>74</v>
      </c>
      <c r="B28">
        <v>18</v>
      </c>
      <c r="C28">
        <v>0</v>
      </c>
      <c r="D28" s="1">
        <v>0.64</v>
      </c>
      <c r="E28" s="1"/>
      <c r="F28" s="1">
        <v>9</v>
      </c>
      <c r="G28" s="1">
        <v>0</v>
      </c>
      <c r="H28" s="1"/>
      <c r="I28" s="8">
        <f t="shared" si="46"/>
        <v>13.824</v>
      </c>
      <c r="J28" s="8">
        <f t="shared" si="47"/>
        <v>0.07680000000000001</v>
      </c>
      <c r="K28" s="8">
        <f t="shared" si="48"/>
        <v>0.15360000000000001</v>
      </c>
      <c r="L28" s="1">
        <f t="shared" si="49"/>
        <v>17</v>
      </c>
      <c r="M28" s="1">
        <f t="shared" si="50"/>
        <v>22</v>
      </c>
      <c r="N28" s="1">
        <f t="shared" si="51"/>
        <v>9</v>
      </c>
      <c r="O28" s="1">
        <f t="shared" si="52"/>
        <v>11</v>
      </c>
      <c r="P28" s="8">
        <f t="shared" si="53"/>
        <v>159.375</v>
      </c>
      <c r="Q28" s="8">
        <f t="shared" si="54"/>
        <v>252.08333333333331</v>
      </c>
      <c r="R28" s="2">
        <v>300</v>
      </c>
      <c r="S28" s="1">
        <f t="shared" si="55"/>
        <v>0.94</v>
      </c>
      <c r="T28" s="8">
        <f t="shared" si="56"/>
        <v>20.304</v>
      </c>
      <c r="U28" s="8">
        <f t="shared" si="57"/>
        <v>10.152</v>
      </c>
      <c r="V28" s="8">
        <f t="shared" si="58"/>
        <v>10.152</v>
      </c>
      <c r="W28" s="8">
        <f t="shared" si="59"/>
        <v>10.152</v>
      </c>
      <c r="X28" s="8">
        <f t="shared" si="60"/>
        <v>22.842000000000002</v>
      </c>
      <c r="Y28" s="8">
        <f t="shared" si="61"/>
        <v>13.5</v>
      </c>
      <c r="Z28" s="8">
        <f t="shared" si="15"/>
        <v>11</v>
      </c>
      <c r="AA28" s="8">
        <f t="shared" si="16"/>
        <v>0.15</v>
      </c>
      <c r="AB28" s="8">
        <f t="shared" si="17"/>
        <v>546.9</v>
      </c>
      <c r="AC28" s="8">
        <f t="shared" si="62"/>
        <v>556.8842567196929</v>
      </c>
      <c r="AD28" s="8">
        <f t="shared" si="18"/>
        <v>6.278570966593543</v>
      </c>
      <c r="AE28" s="8">
        <f t="shared" si="19"/>
        <v>9.417856449890316</v>
      </c>
      <c r="AF28" s="8">
        <f t="shared" si="63"/>
        <v>5.182846139678474</v>
      </c>
      <c r="AG28" s="8">
        <f t="shared" si="21"/>
        <v>10.365692279356947</v>
      </c>
      <c r="AH28" s="4"/>
      <c r="AL28">
        <f t="shared" si="64"/>
        <v>0.567343314603088</v>
      </c>
      <c r="AM28">
        <f t="shared" si="65"/>
        <v>1.5946209574133163</v>
      </c>
      <c r="AN28">
        <f t="shared" si="66"/>
        <v>0.16931888544891635</v>
      </c>
      <c r="AO28">
        <f t="shared" si="67"/>
        <v>0.5888258141616327</v>
      </c>
      <c r="AP28">
        <f t="shared" si="68"/>
        <v>0.21840043175984605</v>
      </c>
      <c r="AQ28">
        <f t="shared" si="69"/>
        <v>0.23021426877509657</v>
      </c>
      <c r="AR28">
        <f t="shared" si="70"/>
        <v>0.59</v>
      </c>
      <c r="AS28">
        <f t="shared" si="26"/>
        <v>1.875</v>
      </c>
      <c r="AT28">
        <f t="shared" si="27"/>
        <v>10.3125</v>
      </c>
      <c r="AU28">
        <f t="shared" si="71"/>
        <v>127.44</v>
      </c>
      <c r="AV28">
        <f t="shared" si="72"/>
        <v>10171.28496588154</v>
      </c>
    </row>
    <row r="29" spans="1:48" ht="12.75">
      <c r="A29" t="s">
        <v>75</v>
      </c>
      <c r="B29">
        <v>11.42</v>
      </c>
      <c r="C29">
        <v>0</v>
      </c>
      <c r="D29" s="1">
        <v>0.64</v>
      </c>
      <c r="E29" s="1">
        <v>20.89</v>
      </c>
      <c r="F29" s="1">
        <v>5.71</v>
      </c>
      <c r="G29" s="1">
        <v>0</v>
      </c>
      <c r="H29" s="1"/>
      <c r="I29" s="8">
        <f t="shared" si="46"/>
        <v>29.66056</v>
      </c>
      <c r="J29" s="8">
        <f t="shared" si="47"/>
        <v>0.2597246935201401</v>
      </c>
      <c r="K29" s="8">
        <f t="shared" si="48"/>
        <v>0.5194493870402802</v>
      </c>
      <c r="L29" s="1">
        <f t="shared" si="49"/>
        <v>11</v>
      </c>
      <c r="M29" s="1">
        <f t="shared" si="50"/>
        <v>14</v>
      </c>
      <c r="N29" s="1">
        <f t="shared" si="51"/>
        <v>6</v>
      </c>
      <c r="O29" s="1">
        <f t="shared" si="52"/>
        <v>7</v>
      </c>
      <c r="P29" s="8">
        <f t="shared" si="53"/>
        <v>68.75</v>
      </c>
      <c r="Q29" s="8">
        <f t="shared" si="54"/>
        <v>102.08333333333336</v>
      </c>
      <c r="R29" s="2">
        <v>300</v>
      </c>
      <c r="S29" s="1">
        <f t="shared" si="55"/>
        <v>0.94</v>
      </c>
      <c r="T29" s="8">
        <f t="shared" si="56"/>
        <v>33.77176</v>
      </c>
      <c r="U29" s="8">
        <f t="shared" si="57"/>
        <v>16.88588</v>
      </c>
      <c r="V29" s="8">
        <f t="shared" si="58"/>
        <v>16.88588</v>
      </c>
      <c r="W29" s="8">
        <f t="shared" si="59"/>
        <v>16.88588</v>
      </c>
      <c r="X29" s="8">
        <f t="shared" si="60"/>
        <v>98.6557812</v>
      </c>
      <c r="Y29" s="8">
        <f t="shared" si="61"/>
        <v>8.565</v>
      </c>
      <c r="Z29" s="8">
        <f t="shared" si="15"/>
        <v>6.0649999999999995</v>
      </c>
      <c r="AA29" s="8">
        <f t="shared" si="16"/>
        <v>0.15</v>
      </c>
      <c r="AB29" s="8">
        <f t="shared" si="17"/>
        <v>546.9</v>
      </c>
      <c r="AC29" s="8">
        <f t="shared" si="62"/>
        <v>2405.211950996526</v>
      </c>
      <c r="AD29" s="8">
        <f t="shared" si="18"/>
        <v>10.224849986602125</v>
      </c>
      <c r="AE29" s="8">
        <f t="shared" si="19"/>
        <v>15.337274979903189</v>
      </c>
      <c r="AF29" s="8">
        <f t="shared" si="63"/>
        <v>8.440427696655354</v>
      </c>
      <c r="AG29" s="8">
        <f t="shared" si="21"/>
        <v>16.880855393310707</v>
      </c>
      <c r="AH29" s="4"/>
      <c r="AL29">
        <f t="shared" si="64"/>
        <v>1.5046594489266902</v>
      </c>
      <c r="AM29">
        <f t="shared" si="65"/>
        <v>2.5968903054207604</v>
      </c>
      <c r="AN29">
        <f t="shared" si="66"/>
        <v>0.16931888544891646</v>
      </c>
      <c r="AO29">
        <f t="shared" si="67"/>
        <v>1.561633498175762</v>
      </c>
      <c r="AP29">
        <f t="shared" si="68"/>
        <v>0.1961045861021574</v>
      </c>
      <c r="AQ29">
        <f t="shared" si="69"/>
        <v>0.20671238389580626</v>
      </c>
      <c r="AR29">
        <f t="shared" si="70"/>
        <v>1.56</v>
      </c>
      <c r="AS29">
        <f t="shared" si="26"/>
        <v>1.875</v>
      </c>
      <c r="AT29">
        <f t="shared" si="27"/>
        <v>10.3125</v>
      </c>
      <c r="AU29">
        <f t="shared" si="71"/>
        <v>213.7824</v>
      </c>
      <c r="AV29">
        <f t="shared" si="72"/>
        <v>3594.1124791505445</v>
      </c>
    </row>
    <row r="30" spans="1:48" ht="12.75">
      <c r="A30" t="s">
        <v>78</v>
      </c>
      <c r="B30">
        <v>17.75</v>
      </c>
      <c r="C30">
        <v>0</v>
      </c>
      <c r="D30" s="1">
        <v>0.64</v>
      </c>
      <c r="E30" s="1">
        <v>27.67</v>
      </c>
      <c r="F30" s="1">
        <v>9.46</v>
      </c>
      <c r="G30" s="1">
        <v>0</v>
      </c>
      <c r="H30" s="1"/>
      <c r="I30" s="8">
        <f t="shared" si="46"/>
        <v>41.302</v>
      </c>
      <c r="J30" s="8">
        <f t="shared" si="47"/>
        <v>0.23268732394366198</v>
      </c>
      <c r="K30" s="8">
        <f t="shared" si="48"/>
        <v>0.46537464788732397</v>
      </c>
      <c r="L30" s="1">
        <f t="shared" si="49"/>
        <v>17</v>
      </c>
      <c r="M30" s="1">
        <f t="shared" si="50"/>
        <v>21</v>
      </c>
      <c r="N30" s="1">
        <f t="shared" si="51"/>
        <v>9</v>
      </c>
      <c r="O30" s="1">
        <f t="shared" si="52"/>
        <v>11</v>
      </c>
      <c r="P30" s="8">
        <f t="shared" si="53"/>
        <v>159.375</v>
      </c>
      <c r="Q30" s="8">
        <f t="shared" si="54"/>
        <v>240.62499999999997</v>
      </c>
      <c r="R30" s="2">
        <v>300</v>
      </c>
      <c r="S30" s="1">
        <f t="shared" si="55"/>
        <v>0.94</v>
      </c>
      <c r="T30" s="8">
        <f t="shared" si="56"/>
        <v>47.692</v>
      </c>
      <c r="U30" s="8">
        <f t="shared" si="57"/>
        <v>22.934059154929574</v>
      </c>
      <c r="V30" s="8">
        <f t="shared" si="58"/>
        <v>24.757940845070426</v>
      </c>
      <c r="W30" s="8">
        <f t="shared" si="59"/>
        <v>24.757940845070426</v>
      </c>
      <c r="X30" s="8">
        <f t="shared" si="60"/>
        <v>199.25114340845067</v>
      </c>
      <c r="Y30" s="8">
        <f t="shared" si="61"/>
        <v>13.3125</v>
      </c>
      <c r="Z30" s="8">
        <f t="shared" si="15"/>
        <v>10.8125</v>
      </c>
      <c r="AA30" s="8">
        <f t="shared" si="16"/>
        <v>0.15</v>
      </c>
      <c r="AB30" s="8">
        <f t="shared" si="17"/>
        <v>546.9</v>
      </c>
      <c r="AC30" s="8">
        <f t="shared" si="62"/>
        <v>4857.71057252272</v>
      </c>
      <c r="AD30" s="8">
        <f t="shared" si="18"/>
        <v>12.92457801809472</v>
      </c>
      <c r="AE30" s="8">
        <f t="shared" si="19"/>
        <v>19.38686702714208</v>
      </c>
      <c r="AF30" s="8">
        <f t="shared" si="63"/>
        <v>10.669004084602866</v>
      </c>
      <c r="AG30" s="8">
        <f t="shared" si="21"/>
        <v>21.338008169205732</v>
      </c>
      <c r="AH30" s="4"/>
      <c r="AL30">
        <f t="shared" si="64"/>
        <v>2.4041251499386176</v>
      </c>
      <c r="AM30">
        <f t="shared" si="65"/>
        <v>3.2825627173820444</v>
      </c>
      <c r="AN30">
        <f t="shared" si="66"/>
        <v>0.1693188854489164</v>
      </c>
      <c r="AO30">
        <f t="shared" si="67"/>
        <v>2.495157539221947</v>
      </c>
      <c r="AP30">
        <f t="shared" si="68"/>
        <v>0.4419188156083933</v>
      </c>
      <c r="AQ30">
        <f t="shared" si="69"/>
        <v>0.46582333273549725</v>
      </c>
      <c r="AR30">
        <f t="shared" si="70"/>
        <v>2.5</v>
      </c>
      <c r="AS30">
        <f t="shared" si="26"/>
        <v>1.875</v>
      </c>
      <c r="AT30">
        <f t="shared" si="27"/>
        <v>10.3125</v>
      </c>
      <c r="AU30">
        <f t="shared" si="71"/>
        <v>532.5</v>
      </c>
      <c r="AV30">
        <f t="shared" si="72"/>
        <v>20130.83804930866</v>
      </c>
    </row>
    <row r="31" spans="1:48" ht="12.75">
      <c r="A31" t="s">
        <v>79</v>
      </c>
      <c r="B31">
        <v>17.75</v>
      </c>
      <c r="C31">
        <v>0</v>
      </c>
      <c r="D31" s="1">
        <v>0.64</v>
      </c>
      <c r="E31" s="1">
        <v>27.67</v>
      </c>
      <c r="F31" s="1">
        <v>9.46</v>
      </c>
      <c r="G31" s="1">
        <v>0</v>
      </c>
      <c r="H31" s="1"/>
      <c r="I31" s="8">
        <f t="shared" si="46"/>
        <v>41.302</v>
      </c>
      <c r="J31" s="8">
        <f t="shared" si="47"/>
        <v>0.23268732394366198</v>
      </c>
      <c r="K31" s="8">
        <f t="shared" si="48"/>
        <v>0.46537464788732397</v>
      </c>
      <c r="L31" s="1">
        <f t="shared" si="49"/>
        <v>17</v>
      </c>
      <c r="M31" s="1">
        <f t="shared" si="50"/>
        <v>21</v>
      </c>
      <c r="N31" s="1">
        <f t="shared" si="51"/>
        <v>9</v>
      </c>
      <c r="O31" s="1">
        <f t="shared" si="52"/>
        <v>11</v>
      </c>
      <c r="P31" s="8">
        <f t="shared" si="53"/>
        <v>159.375</v>
      </c>
      <c r="Q31" s="8">
        <f t="shared" si="54"/>
        <v>240.62499999999997</v>
      </c>
      <c r="R31" s="2">
        <v>300</v>
      </c>
      <c r="S31" s="1">
        <f t="shared" si="55"/>
        <v>0.94</v>
      </c>
      <c r="T31" s="8">
        <f t="shared" si="56"/>
        <v>47.692</v>
      </c>
      <c r="U31" s="8">
        <f t="shared" si="57"/>
        <v>22.934059154929574</v>
      </c>
      <c r="V31" s="8">
        <f t="shared" si="58"/>
        <v>24.757940845070426</v>
      </c>
      <c r="W31" s="8">
        <f t="shared" si="59"/>
        <v>24.757940845070426</v>
      </c>
      <c r="X31" s="8">
        <f t="shared" si="60"/>
        <v>199.25114340845067</v>
      </c>
      <c r="Y31" s="8">
        <f t="shared" si="61"/>
        <v>13.3125</v>
      </c>
      <c r="Z31" s="8">
        <f t="shared" si="15"/>
        <v>10.8125</v>
      </c>
      <c r="AA31" s="8">
        <f t="shared" si="16"/>
        <v>0.15</v>
      </c>
      <c r="AB31" s="8">
        <f t="shared" si="17"/>
        <v>546.9</v>
      </c>
      <c r="AC31" s="8">
        <f t="shared" si="62"/>
        <v>4857.71057252272</v>
      </c>
      <c r="AD31" s="8">
        <f t="shared" si="18"/>
        <v>12.92457801809472</v>
      </c>
      <c r="AE31" s="8">
        <f t="shared" si="19"/>
        <v>19.38686702714208</v>
      </c>
      <c r="AF31" s="8">
        <f t="shared" si="63"/>
        <v>10.669004084602866</v>
      </c>
      <c r="AG31" s="8">
        <f t="shared" si="21"/>
        <v>21.338008169205732</v>
      </c>
      <c r="AH31" s="4"/>
      <c r="AL31">
        <f t="shared" si="64"/>
        <v>2.4041251499386176</v>
      </c>
      <c r="AM31">
        <f t="shared" si="65"/>
        <v>3.2825627173820444</v>
      </c>
      <c r="AN31">
        <f t="shared" si="66"/>
        <v>0.1693188854489164</v>
      </c>
      <c r="AO31">
        <f t="shared" si="67"/>
        <v>2.495157539221947</v>
      </c>
      <c r="AP31">
        <f t="shared" si="68"/>
        <v>0.4419188156083933</v>
      </c>
      <c r="AQ31">
        <f t="shared" si="69"/>
        <v>0.46582333273549725</v>
      </c>
      <c r="AR31">
        <f t="shared" si="70"/>
        <v>2.5</v>
      </c>
      <c r="AS31">
        <f t="shared" si="26"/>
        <v>1.875</v>
      </c>
      <c r="AT31">
        <f t="shared" si="27"/>
        <v>10.3125</v>
      </c>
      <c r="AU31">
        <f t="shared" si="71"/>
        <v>532.5</v>
      </c>
      <c r="AV31">
        <f t="shared" si="72"/>
        <v>20130.83804930866</v>
      </c>
    </row>
    <row r="32" spans="1:48" ht="12.75">
      <c r="A32" t="s">
        <v>76</v>
      </c>
      <c r="B32">
        <v>11.42</v>
      </c>
      <c r="C32">
        <v>0</v>
      </c>
      <c r="D32" s="1">
        <v>0.64</v>
      </c>
      <c r="E32" s="1">
        <v>20.89</v>
      </c>
      <c r="F32" s="1">
        <v>5.71</v>
      </c>
      <c r="G32" s="1">
        <v>0</v>
      </c>
      <c r="H32" s="1"/>
      <c r="I32" s="8">
        <f t="shared" si="46"/>
        <v>29.66056</v>
      </c>
      <c r="J32" s="8">
        <f t="shared" si="47"/>
        <v>0.2597246935201401</v>
      </c>
      <c r="K32" s="8">
        <f t="shared" si="48"/>
        <v>0.5194493870402802</v>
      </c>
      <c r="L32" s="1">
        <f t="shared" si="49"/>
        <v>11</v>
      </c>
      <c r="M32" s="1">
        <f t="shared" si="50"/>
        <v>14</v>
      </c>
      <c r="N32" s="1">
        <f t="shared" si="51"/>
        <v>6</v>
      </c>
      <c r="O32" s="1">
        <f t="shared" si="52"/>
        <v>7</v>
      </c>
      <c r="P32" s="8">
        <f t="shared" si="53"/>
        <v>68.75</v>
      </c>
      <c r="Q32" s="8">
        <f t="shared" si="54"/>
        <v>102.08333333333336</v>
      </c>
      <c r="R32" s="2">
        <v>300</v>
      </c>
      <c r="S32" s="1">
        <f t="shared" si="55"/>
        <v>0.94</v>
      </c>
      <c r="T32" s="8">
        <f t="shared" si="56"/>
        <v>33.77176</v>
      </c>
      <c r="U32" s="8">
        <f t="shared" si="57"/>
        <v>16.88588</v>
      </c>
      <c r="V32" s="8">
        <f t="shared" si="58"/>
        <v>16.88588</v>
      </c>
      <c r="W32" s="8">
        <f t="shared" si="59"/>
        <v>16.88588</v>
      </c>
      <c r="X32" s="8">
        <f t="shared" si="60"/>
        <v>98.6557812</v>
      </c>
      <c r="Y32" s="8">
        <f t="shared" si="61"/>
        <v>8.565</v>
      </c>
      <c r="Z32" s="8">
        <f t="shared" si="15"/>
        <v>6.0649999999999995</v>
      </c>
      <c r="AA32" s="8">
        <f t="shared" si="16"/>
        <v>0.15</v>
      </c>
      <c r="AB32" s="8">
        <f t="shared" si="17"/>
        <v>546.9</v>
      </c>
      <c r="AC32" s="8">
        <f t="shared" si="62"/>
        <v>2405.211950996526</v>
      </c>
      <c r="AD32" s="8">
        <f t="shared" si="18"/>
        <v>10.224849986602125</v>
      </c>
      <c r="AE32" s="8">
        <f t="shared" si="19"/>
        <v>15.337274979903189</v>
      </c>
      <c r="AF32" s="8">
        <f t="shared" si="63"/>
        <v>8.440427696655354</v>
      </c>
      <c r="AG32" s="8">
        <f t="shared" si="21"/>
        <v>16.880855393310707</v>
      </c>
      <c r="AH32" s="4"/>
      <c r="AL32">
        <f t="shared" si="64"/>
        <v>1.5046594489266902</v>
      </c>
      <c r="AM32">
        <f t="shared" si="65"/>
        <v>2.5968903054207604</v>
      </c>
      <c r="AN32">
        <f t="shared" si="66"/>
        <v>0.16931888544891646</v>
      </c>
      <c r="AO32">
        <f t="shared" si="67"/>
        <v>1.561633498175762</v>
      </c>
      <c r="AP32">
        <f t="shared" si="68"/>
        <v>0.1961045861021574</v>
      </c>
      <c r="AQ32">
        <f t="shared" si="69"/>
        <v>0.20671238389580626</v>
      </c>
      <c r="AR32">
        <f t="shared" si="70"/>
        <v>1.56</v>
      </c>
      <c r="AS32">
        <f t="shared" si="26"/>
        <v>1.875</v>
      </c>
      <c r="AT32">
        <f t="shared" si="27"/>
        <v>10.3125</v>
      </c>
      <c r="AU32">
        <f t="shared" si="71"/>
        <v>213.7824</v>
      </c>
      <c r="AV32">
        <f t="shared" si="72"/>
        <v>3594.1124791505445</v>
      </c>
    </row>
    <row r="33" spans="1:48" ht="12.75">
      <c r="A33" t="s">
        <v>77</v>
      </c>
      <c r="B33">
        <v>18</v>
      </c>
      <c r="C33">
        <v>0</v>
      </c>
      <c r="D33" s="1">
        <v>0.64</v>
      </c>
      <c r="E33" s="1">
        <v>18</v>
      </c>
      <c r="F33" s="1">
        <v>9</v>
      </c>
      <c r="G33" s="1">
        <v>0</v>
      </c>
      <c r="H33" s="1"/>
      <c r="I33" s="8">
        <f t="shared" si="46"/>
        <v>31.823999999999998</v>
      </c>
      <c r="J33" s="8">
        <f t="shared" si="47"/>
        <v>0.17679999999999998</v>
      </c>
      <c r="K33" s="8">
        <f t="shared" si="48"/>
        <v>0.35359999999999997</v>
      </c>
      <c r="L33" s="1">
        <f t="shared" si="49"/>
        <v>17</v>
      </c>
      <c r="M33" s="1">
        <f t="shared" si="50"/>
        <v>22</v>
      </c>
      <c r="N33" s="1">
        <f t="shared" si="51"/>
        <v>9</v>
      </c>
      <c r="O33" s="1">
        <f t="shared" si="52"/>
        <v>11</v>
      </c>
      <c r="P33" s="8">
        <f t="shared" si="53"/>
        <v>159.375</v>
      </c>
      <c r="Q33" s="8">
        <f t="shared" si="54"/>
        <v>252.08333333333331</v>
      </c>
      <c r="R33" s="2">
        <v>300</v>
      </c>
      <c r="S33" s="1">
        <f t="shared" si="55"/>
        <v>0.94</v>
      </c>
      <c r="T33" s="8">
        <f t="shared" si="56"/>
        <v>38.304</v>
      </c>
      <c r="U33" s="8">
        <f t="shared" si="57"/>
        <v>19.152</v>
      </c>
      <c r="V33" s="8">
        <f t="shared" si="58"/>
        <v>19.152</v>
      </c>
      <c r="W33" s="8">
        <f t="shared" si="59"/>
        <v>19.152</v>
      </c>
      <c r="X33" s="8">
        <f t="shared" si="60"/>
        <v>144.34200000000004</v>
      </c>
      <c r="Y33" s="8">
        <f t="shared" si="61"/>
        <v>13.5</v>
      </c>
      <c r="Z33" s="8">
        <f t="shared" si="15"/>
        <v>11</v>
      </c>
      <c r="AA33" s="8">
        <f t="shared" si="16"/>
        <v>0.15</v>
      </c>
      <c r="AB33" s="8">
        <f t="shared" si="17"/>
        <v>546.9</v>
      </c>
      <c r="AC33" s="8">
        <f t="shared" si="62"/>
        <v>3519.0345584201878</v>
      </c>
      <c r="AD33" s="8">
        <f t="shared" si="18"/>
        <v>11.607722165203876</v>
      </c>
      <c r="AE33" s="8">
        <f t="shared" si="19"/>
        <v>17.411583247805815</v>
      </c>
      <c r="AF33" s="8">
        <f t="shared" si="63"/>
        <v>9.581963528721204</v>
      </c>
      <c r="AG33" s="8">
        <f t="shared" si="21"/>
        <v>19.163927057442407</v>
      </c>
      <c r="AH33" s="4"/>
      <c r="AL33">
        <f t="shared" si="64"/>
        <v>1.9391809490139686</v>
      </c>
      <c r="AM33">
        <f t="shared" si="65"/>
        <v>2.9481098694195054</v>
      </c>
      <c r="AN33">
        <f t="shared" si="66"/>
        <v>0.16931888544891643</v>
      </c>
      <c r="AO33">
        <f t="shared" si="67"/>
        <v>2.0126081892913574</v>
      </c>
      <c r="AP33">
        <f t="shared" si="68"/>
        <v>0.403775245373121</v>
      </c>
      <c r="AQ33">
        <f t="shared" si="69"/>
        <v>0.42561647939080877</v>
      </c>
      <c r="AR33">
        <f t="shared" si="70"/>
        <v>2.01</v>
      </c>
      <c r="AS33">
        <f t="shared" si="26"/>
        <v>1.875</v>
      </c>
      <c r="AT33">
        <f t="shared" si="27"/>
        <v>10.3125</v>
      </c>
      <c r="AU33">
        <f t="shared" si="71"/>
        <v>434.15999999999997</v>
      </c>
      <c r="AV33">
        <f t="shared" si="72"/>
        <v>18804.50990763028</v>
      </c>
    </row>
    <row r="34" spans="1:34" ht="12.75">
      <c r="A34">
        <v>3</v>
      </c>
      <c r="B34">
        <v>22.4</v>
      </c>
      <c r="C34">
        <v>8.04</v>
      </c>
      <c r="D34" s="1"/>
      <c r="E34" s="1">
        <v>15.87</v>
      </c>
      <c r="F34" s="1">
        <v>12.4</v>
      </c>
      <c r="G34" s="1"/>
      <c r="H34" s="1"/>
      <c r="I34" s="8"/>
      <c r="J34" s="8"/>
      <c r="K34" s="8"/>
      <c r="L34" s="1">
        <f t="shared" si="49"/>
        <v>22</v>
      </c>
      <c r="M34" s="1">
        <f t="shared" si="50"/>
        <v>27</v>
      </c>
      <c r="N34" s="1">
        <f t="shared" si="51"/>
        <v>11</v>
      </c>
      <c r="O34" s="1">
        <f t="shared" si="52"/>
        <v>14</v>
      </c>
      <c r="P34" s="8">
        <f t="shared" si="53"/>
        <v>252.08333333333331</v>
      </c>
      <c r="Q34" s="8">
        <f t="shared" si="54"/>
        <v>393.75</v>
      </c>
      <c r="S34" s="1">
        <v>2.36</v>
      </c>
      <c r="T34" s="8">
        <f>(S34*B34)+E34+G34</f>
        <v>68.734</v>
      </c>
      <c r="U34" s="8">
        <f>T34-V34</f>
        <v>33.516821428571426</v>
      </c>
      <c r="V34" s="8">
        <f>((E34*F34)+(G34*H34)+((S34)*B34*(0.5*B34)))/B34</f>
        <v>35.21717857142857</v>
      </c>
      <c r="W34" s="8">
        <f>MAX(U34:V34)</f>
        <v>35.21717857142857</v>
      </c>
      <c r="X34" s="8">
        <f>(((U34-((S34)*F34))*F34)/2)+(F34*(U34-((S34)*F34)))</f>
        <v>79.10247857142852</v>
      </c>
      <c r="Y34" s="8">
        <f t="shared" si="61"/>
        <v>16.799999999999997</v>
      </c>
      <c r="Z34" s="8">
        <f t="shared" si="15"/>
        <v>14.299999999999997</v>
      </c>
      <c r="AA34" s="8"/>
      <c r="AB34" s="8"/>
      <c r="AC34" s="8"/>
      <c r="AD34" s="8"/>
      <c r="AE34" s="8"/>
      <c r="AF34" s="8"/>
      <c r="AG34" s="8"/>
      <c r="AH34" s="4"/>
    </row>
    <row r="35" spans="4:34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1"/>
      <c r="T35" s="1"/>
      <c r="AH35" s="4"/>
    </row>
    <row r="36" spans="4:34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  <c r="AH36" s="4"/>
    </row>
    <row r="37" spans="4:34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  <c r="AH37" s="4"/>
    </row>
    <row r="38" spans="4:34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  <c r="AH38" s="4"/>
    </row>
    <row r="39" spans="4:34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S39" s="1"/>
      <c r="T39" s="1"/>
      <c r="AH39" s="4"/>
    </row>
    <row r="40" spans="4:34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  <c r="AH40" s="4"/>
    </row>
    <row r="41" spans="4:34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s="1"/>
      <c r="T41" s="1"/>
      <c r="AH41" s="4"/>
    </row>
    <row r="42" spans="4:34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s="1"/>
      <c r="T42" s="1"/>
      <c r="AH42" s="4"/>
    </row>
    <row r="43" spans="4:34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  <c r="AH43" s="4"/>
    </row>
    <row r="44" spans="4:34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1"/>
      <c r="T44" s="1"/>
      <c r="AH44" s="4"/>
    </row>
    <row r="45" spans="4:34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s="1"/>
      <c r="T45" s="1"/>
      <c r="AH45" s="4"/>
    </row>
    <row r="46" spans="4:34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S46" s="1"/>
      <c r="T46" s="1"/>
      <c r="AH46" s="4"/>
    </row>
    <row r="47" spans="4:34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S47" s="1"/>
      <c r="T47" s="1"/>
      <c r="AH47" s="4"/>
    </row>
    <row r="48" spans="4:34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s="1"/>
      <c r="T48" s="1"/>
      <c r="AH48" s="4"/>
    </row>
    <row r="49" spans="4:34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"/>
      <c r="T49" s="1"/>
      <c r="AH49" s="4"/>
    </row>
    <row r="50" spans="4:34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  <c r="AH50" s="4"/>
    </row>
    <row r="51" spans="4:34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1"/>
      <c r="T51" s="1"/>
      <c r="AH51" s="4"/>
    </row>
    <row r="52" spans="4:34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1"/>
      <c r="T52" s="1"/>
      <c r="AH52" s="4"/>
    </row>
    <row r="53" spans="4:34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1"/>
      <c r="T53" s="1"/>
      <c r="AH53" s="4"/>
    </row>
    <row r="54" spans="4:34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1"/>
      <c r="AH54" s="4"/>
    </row>
    <row r="55" spans="4:34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"/>
      <c r="T55" s="1"/>
      <c r="AH55" s="4"/>
    </row>
  </sheetData>
  <sheetProtection/>
  <dataValidations count="1">
    <dataValidation allowBlank="1" showInputMessage="1" showErrorMessage="1" sqref="K14:Q33 S35:S55 I14:I33 D14:D33 E14:F26 G14:G33 H14:H26 K34:K55 J14:J55 D5:Q13 G2:Q4 S2:V34"/>
  </dataValidation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86"/>
  <sheetViews>
    <sheetView tabSelected="1" zoomScalePageLayoutView="0" workbookViewId="0" topLeftCell="A1">
      <selection activeCell="D20" sqref="D20"/>
    </sheetView>
  </sheetViews>
  <sheetFormatPr defaultColWidth="11.00390625" defaultRowHeight="12.75"/>
  <cols>
    <col min="2" max="3" width="10.75390625" style="0" customWidth="1"/>
    <col min="4" max="4" width="5.00390625" style="0" customWidth="1"/>
    <col min="5" max="5" width="4.00390625" style="0" customWidth="1"/>
    <col min="6" max="8" width="7.75390625" style="0" customWidth="1"/>
    <col min="9" max="10" width="9.00390625" style="0" customWidth="1"/>
    <col min="11" max="11" width="5.125" style="0" customWidth="1"/>
    <col min="12" max="13" width="6.125" style="0" customWidth="1"/>
    <col min="14" max="14" width="7.125" style="0" customWidth="1"/>
    <col min="15" max="17" width="10.75390625" style="0" customWidth="1"/>
    <col min="18" max="18" width="11.625" style="0" customWidth="1"/>
    <col min="19" max="21" width="11.625" style="0" bestFit="1" customWidth="1"/>
    <col min="22" max="22" width="12.625" style="0" bestFit="1" customWidth="1"/>
    <col min="23" max="24" width="11.625" style="0" bestFit="1" customWidth="1"/>
    <col min="29" max="29" width="12.00390625" style="0" bestFit="1" customWidth="1"/>
    <col min="44" max="44" width="13.75390625" style="0" bestFit="1" customWidth="1"/>
    <col min="45" max="45" width="16.75390625" style="0" bestFit="1" customWidth="1"/>
  </cols>
  <sheetData>
    <row r="1" spans="1:45" ht="12.75">
      <c r="A1" t="s">
        <v>1</v>
      </c>
      <c r="B1" t="s">
        <v>4</v>
      </c>
      <c r="C1" t="s">
        <v>0</v>
      </c>
      <c r="D1" t="s">
        <v>3</v>
      </c>
      <c r="E1" t="s">
        <v>2</v>
      </c>
      <c r="F1" t="s">
        <v>6</v>
      </c>
      <c r="G1" t="s">
        <v>119</v>
      </c>
      <c r="H1" t="s">
        <v>120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s="2" t="s">
        <v>15</v>
      </c>
      <c r="R1" s="1" t="s">
        <v>17</v>
      </c>
      <c r="S1" s="1" t="s">
        <v>19</v>
      </c>
      <c r="T1" s="1" t="s">
        <v>20</v>
      </c>
      <c r="U1" s="1" t="s">
        <v>18</v>
      </c>
      <c r="V1" s="1" t="s">
        <v>22</v>
      </c>
      <c r="W1" s="1" t="s">
        <v>23</v>
      </c>
      <c r="X1" s="1" t="s">
        <v>24</v>
      </c>
      <c r="Y1" s="1" t="s">
        <v>28</v>
      </c>
      <c r="Z1" s="1" t="s">
        <v>26</v>
      </c>
      <c r="AA1" s="1" t="s">
        <v>25</v>
      </c>
      <c r="AB1" s="1" t="s">
        <v>27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35</v>
      </c>
      <c r="AI1" s="1" t="s">
        <v>123</v>
      </c>
      <c r="AJ1" s="1" t="s">
        <v>124</v>
      </c>
      <c r="AK1" s="1" t="s">
        <v>36</v>
      </c>
      <c r="AL1" s="1" t="s">
        <v>37</v>
      </c>
      <c r="AM1" s="1" t="s">
        <v>34</v>
      </c>
      <c r="AN1" s="1" t="s">
        <v>38</v>
      </c>
      <c r="AO1" s="1" t="s">
        <v>39</v>
      </c>
      <c r="AP1" s="1" t="s">
        <v>41</v>
      </c>
      <c r="AQ1" s="1" t="s">
        <v>40</v>
      </c>
      <c r="AR1" s="1" t="s">
        <v>42</v>
      </c>
      <c r="AS1" s="1" t="s">
        <v>43</v>
      </c>
    </row>
    <row r="2" spans="1:45" ht="12.75">
      <c r="A2" t="s">
        <v>117</v>
      </c>
      <c r="B2" s="8">
        <v>9.2</v>
      </c>
      <c r="C2" s="8">
        <v>8.6</v>
      </c>
      <c r="D2" s="8">
        <f>C2*((0.5*150)+5+10+20)</f>
        <v>946</v>
      </c>
      <c r="E2" s="8">
        <f>C2*100</f>
        <v>860</v>
      </c>
      <c r="F2" s="8">
        <f>(B2*((1.2*D2)+(1.6*E2))+(G2*1000))</f>
        <v>47183.03999999999</v>
      </c>
      <c r="G2" s="8">
        <v>24.08</v>
      </c>
      <c r="H2" s="8">
        <f>0.5*B2</f>
        <v>4.6</v>
      </c>
      <c r="I2" s="8">
        <f>(0.1*F2)/B2</f>
        <v>512.8591304347825</v>
      </c>
      <c r="J2" s="8">
        <f>(0.2*F2)/B2</f>
        <v>1025.718260869565</v>
      </c>
      <c r="K2" s="8">
        <f>ROUND(((0.08*B2)*12),0)</f>
        <v>9</v>
      </c>
      <c r="L2" s="8">
        <f>ROUND(((0.1*B2)*12),0)</f>
        <v>11</v>
      </c>
      <c r="M2" s="8">
        <f aca="true" t="shared" si="0" ref="M2:N5">ROUND((0.5*K2),0)</f>
        <v>5</v>
      </c>
      <c r="N2" s="8">
        <f t="shared" si="0"/>
        <v>6</v>
      </c>
      <c r="O2" s="8">
        <f aca="true" t="shared" si="1" ref="O2:P5">(M2/12)*(K2/12)*150</f>
        <v>46.875</v>
      </c>
      <c r="P2" s="8">
        <f t="shared" si="1"/>
        <v>68.75</v>
      </c>
      <c r="Q2" s="26">
        <v>300</v>
      </c>
      <c r="R2" s="8">
        <f>((1.2*Q2*B2)+F2)/B2</f>
        <v>5488.591304347826</v>
      </c>
      <c r="S2" s="8">
        <f>((R2*(B2))/1000)-T2</f>
        <v>25.24752</v>
      </c>
      <c r="T2" s="8">
        <f>((R2/1000)*B2)/2</f>
        <v>25.247519999999994</v>
      </c>
      <c r="U2" s="8">
        <f>MAX(S2:T2)</f>
        <v>25.24752</v>
      </c>
      <c r="V2" s="8">
        <f>(((U2+(0.5+G2))/2)*(0.5*B2))*0.5</f>
        <v>57.30164799999999</v>
      </c>
      <c r="W2" s="8">
        <f>(B2/16)*12</f>
        <v>6.8999999999999995</v>
      </c>
      <c r="X2" s="8">
        <f>W2-2.5</f>
        <v>4.3999999999999995</v>
      </c>
      <c r="Y2" s="8">
        <f>(60000/4000)*0.01</f>
        <v>0.15</v>
      </c>
      <c r="Z2" s="8">
        <f>4000*Y2*(1-(0.59*Y2))</f>
        <v>546.9</v>
      </c>
      <c r="AA2" s="8">
        <f>(12000*V2)/(Z2*0.9)</f>
        <v>1397.0048881574937</v>
      </c>
      <c r="AB2" s="8">
        <f>AA2/(X2^2)</f>
        <v>72.15934339656478</v>
      </c>
      <c r="AC2" s="8">
        <f>0.75*((((2*(4000^0.5)*AB2*X2)+(8*(4000^0.5)*AB2*X2)))/1000)</f>
        <v>150.6040005329478</v>
      </c>
      <c r="AD2" s="8">
        <f>(B2/4)*12</f>
        <v>27.599999999999998</v>
      </c>
      <c r="AE2" s="8">
        <f>((8*6)*2)+AB2</f>
        <v>168.1593433965648</v>
      </c>
      <c r="AF2" s="8">
        <f>C2*12</f>
        <v>103.19999999999999</v>
      </c>
      <c r="AG2" s="8">
        <f>(V2*12000)/(0.9*60000*0.95*X2)</f>
        <v>3.0463396065922383</v>
      </c>
      <c r="AH2" s="8">
        <f>(AG2*60000)/(0.85*4000*(MIN(AD2:AF2)))</f>
        <v>1.9477874722456765</v>
      </c>
      <c r="AI2" s="8"/>
      <c r="AJ2" s="8"/>
      <c r="AK2" s="8">
        <f>AH2/X2</f>
        <v>0.44267897096492653</v>
      </c>
      <c r="AL2" s="8">
        <f>(V2*12000)/(0.9*60000*(X2-(AH2/2)))</f>
        <v>3.7166680116761563</v>
      </c>
      <c r="AM2" s="8">
        <f>(3*(4000^0.5)*AB2*X2)/60000</f>
        <v>1.0040266702196519</v>
      </c>
      <c r="AN2" s="8">
        <f>(200*AB2*X2)/60000</f>
        <v>1.05833703648295</v>
      </c>
      <c r="AO2" s="8">
        <f>ROUND(MAX(AL2:AN2),2)</f>
        <v>3.72</v>
      </c>
      <c r="AP2" s="8">
        <f>1.875</f>
        <v>1.875</v>
      </c>
      <c r="AQ2" s="8">
        <f>(540/(0.6*60))-(2.5*AP2)</f>
        <v>10.3125</v>
      </c>
      <c r="AR2" s="8">
        <f>AO2*(B2*12)</f>
        <v>410.688</v>
      </c>
      <c r="AS2" s="8">
        <f>(W2-6)*AB2*(12*B2)</f>
        <v>7169.752359882672</v>
      </c>
    </row>
    <row r="3" spans="1:45" ht="12.75">
      <c r="A3" t="s">
        <v>121</v>
      </c>
      <c r="B3" s="8">
        <v>17.2</v>
      </c>
      <c r="C3" s="8">
        <v>0</v>
      </c>
      <c r="D3" s="8">
        <v>0</v>
      </c>
      <c r="E3" s="8">
        <v>0</v>
      </c>
      <c r="F3" s="8">
        <v>0</v>
      </c>
      <c r="G3" s="8">
        <v>62.3</v>
      </c>
      <c r="H3" s="8">
        <v>8.6</v>
      </c>
      <c r="I3" s="8">
        <f>(0.1*F3)/B3</f>
        <v>0</v>
      </c>
      <c r="J3" s="8">
        <f>(0.2*F3)/B3</f>
        <v>0</v>
      </c>
      <c r="K3" s="8">
        <f>ROUND(((0.08*B3)*12),0)</f>
        <v>17</v>
      </c>
      <c r="L3" s="8">
        <f>ROUND(((0.1*B3)*12),0)</f>
        <v>21</v>
      </c>
      <c r="M3" s="8">
        <f t="shared" si="0"/>
        <v>9</v>
      </c>
      <c r="N3" s="8">
        <f t="shared" si="0"/>
        <v>11</v>
      </c>
      <c r="O3" s="8">
        <f t="shared" si="1"/>
        <v>159.375</v>
      </c>
      <c r="P3" s="8">
        <f t="shared" si="1"/>
        <v>240.62499999999997</v>
      </c>
      <c r="Q3" s="26">
        <v>300</v>
      </c>
      <c r="R3" s="8">
        <f>((1.2*Q3*B3)+F3)/B3</f>
        <v>360</v>
      </c>
      <c r="S3" s="8">
        <v>44.45</v>
      </c>
      <c r="T3" s="8">
        <v>24.04</v>
      </c>
      <c r="U3" s="8">
        <f>MAX(S3:T3)</f>
        <v>44.45</v>
      </c>
      <c r="V3" s="8">
        <v>150.39</v>
      </c>
      <c r="W3" s="8">
        <f>(B3/16)*12</f>
        <v>12.899999999999999</v>
      </c>
      <c r="X3" s="8">
        <f>W3-2.5</f>
        <v>10.399999999999999</v>
      </c>
      <c r="Y3" s="8">
        <f>(60000/4000)*0.01</f>
        <v>0.15</v>
      </c>
      <c r="Z3" s="8">
        <f>4000*Y3*(1-(0.59*Y3))</f>
        <v>546.9</v>
      </c>
      <c r="AA3" s="8">
        <f>(12000*V3)/(Z3*0.9)</f>
        <v>3666.4838178826108</v>
      </c>
      <c r="AB3" s="8">
        <f>AA3/(X3^2)</f>
        <v>33.89870393752415</v>
      </c>
      <c r="AC3" s="8">
        <f>0.75*((((2*(4000^0.5)*AB3*X3)+(8*(4000^0.5)*AB3*X3)))/1000)</f>
        <v>167.22749810565935</v>
      </c>
      <c r="AD3" s="8">
        <f>(B3/4)*12</f>
        <v>51.599999999999994</v>
      </c>
      <c r="AE3" s="8">
        <f>((8*6)*2)+AB3</f>
        <v>129.89870393752415</v>
      </c>
      <c r="AF3" s="8">
        <f>C3*12</f>
        <v>0</v>
      </c>
      <c r="AG3" s="8">
        <f>(V3*12000)/(0.9*60000*0.95*X3)</f>
        <v>3.382591093117409</v>
      </c>
      <c r="AH3" s="8">
        <f>(AG3*60000)/(0.85*4000*AI3)</f>
        <v>5.072624903508439</v>
      </c>
      <c r="AI3" s="8">
        <f>(AA3/2.25)^(1/3)</f>
        <v>11.767632169077503</v>
      </c>
      <c r="AJ3" s="8">
        <f>AI3*(1.5)</f>
        <v>17.651448253616255</v>
      </c>
      <c r="AK3" s="8">
        <f>AH3/AJ3</f>
        <v>0.2873772639289929</v>
      </c>
      <c r="AL3" s="8">
        <f>(V3*12000)/(0.9*60000*(X3-(AH3/2)))</f>
        <v>4.249914533729826</v>
      </c>
      <c r="AM3" s="8">
        <f>(3*(4000^0.5)*AB3*X3)/60000</f>
        <v>1.1148499873710624</v>
      </c>
      <c r="AN3" s="8">
        <f>(200*AB3*X3)/60000</f>
        <v>1.1751550698341702</v>
      </c>
      <c r="AO3" s="8">
        <f>ROUND(MAX(AL3:AN3),2)</f>
        <v>4.25</v>
      </c>
      <c r="AP3" s="8">
        <f>1.875</f>
        <v>1.875</v>
      </c>
      <c r="AQ3" s="8">
        <f>(540/(0.6*60))-(2.5*AP3)</f>
        <v>10.3125</v>
      </c>
      <c r="AR3" s="8">
        <f>AO3*(B3*12)</f>
        <v>877.1999999999999</v>
      </c>
      <c r="AS3" s="8">
        <f>(W3-6)*AB3*(12*B3)</f>
        <v>48277.17819966438</v>
      </c>
    </row>
    <row r="4" spans="1:45" ht="12.75">
      <c r="A4" t="s">
        <v>118</v>
      </c>
      <c r="B4" s="8">
        <v>9.2</v>
      </c>
      <c r="C4" s="8">
        <v>8.6</v>
      </c>
      <c r="D4" s="8">
        <f>C4*((0.5*150))</f>
        <v>645</v>
      </c>
      <c r="E4" s="8">
        <f>C4*100</f>
        <v>860</v>
      </c>
      <c r="F4" s="8">
        <f>(1.2*D4)+(1.6*E4)</f>
        <v>2150</v>
      </c>
      <c r="G4" s="8">
        <v>0</v>
      </c>
      <c r="H4" s="8">
        <v>0</v>
      </c>
      <c r="I4" s="8">
        <f>0.1*MAX(F4:F4)</f>
        <v>215</v>
      </c>
      <c r="J4" s="8">
        <f>0.2*MAX(F4:F4)</f>
        <v>430</v>
      </c>
      <c r="K4" s="8">
        <f>ROUND(((0.08*B4)*12),0)</f>
        <v>9</v>
      </c>
      <c r="L4" s="8">
        <f>ROUND(((0.1*B4)*12),0)</f>
        <v>11</v>
      </c>
      <c r="M4" s="8">
        <f t="shared" si="0"/>
        <v>5</v>
      </c>
      <c r="N4" s="8">
        <f t="shared" si="0"/>
        <v>6</v>
      </c>
      <c r="O4" s="8">
        <f t="shared" si="1"/>
        <v>46.875</v>
      </c>
      <c r="P4" s="8">
        <f t="shared" si="1"/>
        <v>68.75</v>
      </c>
      <c r="Q4" s="26">
        <v>300</v>
      </c>
      <c r="R4" s="8">
        <f>(1.2*Q4)+F4</f>
        <v>2510</v>
      </c>
      <c r="S4" s="8">
        <f>((R4*(B4))/1000)-T4</f>
        <v>11.546000000000001</v>
      </c>
      <c r="T4" s="8">
        <f>((R4/1000)*B4)/2</f>
        <v>11.545999999999998</v>
      </c>
      <c r="U4" s="8">
        <f>MAX(S4:T4)</f>
        <v>11.546000000000001</v>
      </c>
      <c r="V4" s="8">
        <f>(U4*(0.5*B4))*0.5</f>
        <v>26.5558</v>
      </c>
      <c r="W4" s="8">
        <f>(B4/16)*12</f>
        <v>6.8999999999999995</v>
      </c>
      <c r="X4" s="8">
        <f>W4-2.5</f>
        <v>4.3999999999999995</v>
      </c>
      <c r="Y4" s="8">
        <f>(60000/4000)*0.01</f>
        <v>0.15</v>
      </c>
      <c r="Z4" s="8">
        <f>4000*Y4*(1-(0.59*Y4))</f>
        <v>546.9</v>
      </c>
      <c r="AA4" s="8">
        <f>(12000*V4)/(Z4*0.9)</f>
        <v>647.4260986164443</v>
      </c>
      <c r="AB4" s="8">
        <f>AA4/(X4^2)</f>
        <v>33.44143071365932</v>
      </c>
      <c r="AC4" s="8">
        <f>0.75*((((2*(4000^0.5)*AB4*X4)+(8*(4000^0.5)*AB4*X4)))/1000)</f>
        <v>69.79571891811653</v>
      </c>
      <c r="AD4" s="8">
        <f>(B4/4)*12</f>
        <v>27.599999999999998</v>
      </c>
      <c r="AE4" s="8">
        <f>((8*6)*2)+AB4</f>
        <v>129.44143071365932</v>
      </c>
      <c r="AF4" s="8">
        <f>C4*12</f>
        <v>103.19999999999999</v>
      </c>
      <c r="AG4" s="8">
        <f>(V4*12000)/(0.9*60000*0.95*X4)</f>
        <v>1.4117916002126532</v>
      </c>
      <c r="AH4" s="8">
        <f>(AG4*60000)/(0.85*4000*(MIN(AD4:AF4)))</f>
        <v>0.9026800512868627</v>
      </c>
      <c r="AI4" s="8"/>
      <c r="AJ4" s="8"/>
      <c r="AK4" s="8">
        <f>AH4/X4</f>
        <v>0.20515455711065064</v>
      </c>
      <c r="AL4" s="8">
        <f>(V4*12000)/(0.9*60000*(X4-(AH4/2)))</f>
        <v>1.4945041931219976</v>
      </c>
      <c r="AM4" s="8">
        <f>(3*(4000^0.5)*AB4*X4)/60000</f>
        <v>0.4653047927874437</v>
      </c>
      <c r="AN4" s="8">
        <f>(200*AB4*X4)/60000</f>
        <v>0.49047431713367007</v>
      </c>
      <c r="AO4" s="8">
        <f>ROUND(MAX(AL4:AN4),2)</f>
        <v>1.49</v>
      </c>
      <c r="AP4" s="8">
        <f>1.875</f>
        <v>1.875</v>
      </c>
      <c r="AQ4" s="8">
        <f>(540/(0.6*60))-(2.5*AP4)</f>
        <v>10.3125</v>
      </c>
      <c r="AR4" s="8">
        <f>AO4*(B4*12)</f>
        <v>164.49599999999998</v>
      </c>
      <c r="AS4" s="8">
        <f>(W4-6)*AB4*(12*B4)</f>
        <v>3322.7405557091884</v>
      </c>
    </row>
    <row r="5" spans="1:45" ht="12.75">
      <c r="A5" t="s">
        <v>122</v>
      </c>
      <c r="B5" s="8">
        <v>17.2</v>
      </c>
      <c r="C5" s="8">
        <v>0</v>
      </c>
      <c r="D5" s="8">
        <v>0</v>
      </c>
      <c r="E5" s="8">
        <v>0</v>
      </c>
      <c r="F5" s="8">
        <v>0</v>
      </c>
      <c r="G5" s="8">
        <v>62.3</v>
      </c>
      <c r="H5" s="8">
        <v>8.6</v>
      </c>
      <c r="I5" s="8">
        <f>(0.1*F5)/B5</f>
        <v>0</v>
      </c>
      <c r="J5" s="8">
        <f>(0.2*F5)/B5</f>
        <v>0</v>
      </c>
      <c r="K5" s="8">
        <f>ROUND(((0.08*B5)*12),0)</f>
        <v>17</v>
      </c>
      <c r="L5" s="8">
        <f>ROUND(((0.1*B5)*12),0)</f>
        <v>21</v>
      </c>
      <c r="M5" s="8">
        <f t="shared" si="0"/>
        <v>9</v>
      </c>
      <c r="N5" s="8">
        <f t="shared" si="0"/>
        <v>11</v>
      </c>
      <c r="O5" s="8">
        <f t="shared" si="1"/>
        <v>159.375</v>
      </c>
      <c r="P5" s="8">
        <f t="shared" si="1"/>
        <v>240.62499999999997</v>
      </c>
      <c r="Q5" s="26">
        <v>300</v>
      </c>
      <c r="R5" s="8">
        <f>((1.2*Q5*B5)+F5)/B5</f>
        <v>360</v>
      </c>
      <c r="S5" s="8">
        <v>44.45</v>
      </c>
      <c r="T5" s="8">
        <v>24.04</v>
      </c>
      <c r="U5" s="8">
        <f>MAX(S5:T5)</f>
        <v>44.45</v>
      </c>
      <c r="V5" s="8">
        <v>150.39</v>
      </c>
      <c r="W5" s="8">
        <f>(B5/16)*12</f>
        <v>12.899999999999999</v>
      </c>
      <c r="X5" s="8">
        <f>W5-2.5</f>
        <v>10.399999999999999</v>
      </c>
      <c r="Y5" s="8">
        <f>(60000/4000)*0.01</f>
        <v>0.15</v>
      </c>
      <c r="Z5" s="8">
        <f>4000*Y5*(1-(0.59*Y5))</f>
        <v>546.9</v>
      </c>
      <c r="AA5" s="8">
        <f>(12000*V5)/(Z5*0.9)</f>
        <v>3666.4838178826108</v>
      </c>
      <c r="AB5" s="8">
        <f>AA5/(X5^2)</f>
        <v>33.89870393752415</v>
      </c>
      <c r="AC5" s="8">
        <f>0.75*((((2*(4000^0.5)*AB5*X5)+(8*(4000^0.5)*AB5*X5)))/1000)</f>
        <v>167.22749810565935</v>
      </c>
      <c r="AD5" s="8">
        <f>(B5/4)*12</f>
        <v>51.599999999999994</v>
      </c>
      <c r="AE5" s="8">
        <f>((8*6)*2)+AB5</f>
        <v>129.89870393752415</v>
      </c>
      <c r="AF5" s="8">
        <f>C5*12</f>
        <v>0</v>
      </c>
      <c r="AG5" s="8">
        <f>(V5*12000)/(0.9*60000*0.95*X5)</f>
        <v>3.382591093117409</v>
      </c>
      <c r="AH5" s="8">
        <f>(AG5*60000)/(0.85*4000*AI5)</f>
        <v>5.072624903508439</v>
      </c>
      <c r="AI5" s="8">
        <f>(AA5/2.25)^(1/3)</f>
        <v>11.767632169077503</v>
      </c>
      <c r="AJ5" s="8">
        <f>AI5*(1.5)</f>
        <v>17.651448253616255</v>
      </c>
      <c r="AK5" s="8">
        <f>AH5/AJ5</f>
        <v>0.2873772639289929</v>
      </c>
      <c r="AL5" s="8">
        <f>(V5*12000)/(0.9*60000*(X5-(AH5/2)))</f>
        <v>4.249914533729826</v>
      </c>
      <c r="AM5" s="8">
        <f>(3*(4000^0.5)*AB5*X5)/60000</f>
        <v>1.1148499873710624</v>
      </c>
      <c r="AN5" s="8">
        <f>(200*AB5*X5)/60000</f>
        <v>1.1751550698341702</v>
      </c>
      <c r="AO5" s="8">
        <f>ROUND(MAX(AL5:AN5),2)</f>
        <v>4.25</v>
      </c>
      <c r="AP5" s="8">
        <f>1.875</f>
        <v>1.875</v>
      </c>
      <c r="AQ5" s="8">
        <f>(540/(0.6*60))-(2.5*AP5)</f>
        <v>10.3125</v>
      </c>
      <c r="AR5" s="8">
        <f>AO5*(B5*12)</f>
        <v>877.1999999999999</v>
      </c>
      <c r="AS5" s="8">
        <f>(W5-6)*AB5*(12*B5)</f>
        <v>48277.17819966438</v>
      </c>
    </row>
    <row r="6" spans="4:29" ht="12.7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1"/>
      <c r="T6" s="1"/>
      <c r="AB6" s="3"/>
      <c r="AC6" s="4"/>
    </row>
    <row r="7" spans="1:29" ht="12.75">
      <c r="A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1"/>
      <c r="S7" s="1"/>
      <c r="T7" s="1"/>
      <c r="AB7" s="3"/>
      <c r="AC7" s="4"/>
    </row>
    <row r="8" spans="1:29" ht="12.75">
      <c r="A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1"/>
      <c r="S8" s="1"/>
      <c r="T8" s="1"/>
      <c r="AB8" s="3"/>
      <c r="AC8" s="4"/>
    </row>
    <row r="9" spans="4:29" ht="12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1"/>
      <c r="S9" s="1"/>
      <c r="T9" s="1"/>
      <c r="AB9" s="3"/>
      <c r="AC9" s="4"/>
    </row>
    <row r="10" spans="1:29" ht="12.75">
      <c r="A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1"/>
      <c r="S10" s="1"/>
      <c r="T10" s="1"/>
      <c r="AB10" s="3"/>
      <c r="AC10" s="4"/>
    </row>
    <row r="11" spans="1:29" ht="12.75">
      <c r="A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1"/>
      <c r="S11" s="1"/>
      <c r="T11" s="1"/>
      <c r="AB11" s="3"/>
      <c r="AC11" s="4"/>
    </row>
    <row r="12" spans="4:29" ht="12.7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1"/>
      <c r="S12" s="1"/>
      <c r="T12" s="1"/>
      <c r="AB12" s="3"/>
      <c r="AC12" s="4"/>
    </row>
    <row r="13" spans="4:29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1"/>
      <c r="S13" s="1"/>
      <c r="T13" s="1"/>
      <c r="AB13" s="3"/>
      <c r="AC13" s="4"/>
    </row>
    <row r="14" spans="4:29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1"/>
      <c r="S14" s="1"/>
      <c r="T14" s="1"/>
      <c r="AB14" s="3"/>
      <c r="AC14" s="4"/>
    </row>
    <row r="15" spans="1:29" ht="12.75">
      <c r="A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1"/>
      <c r="AB15" s="3"/>
      <c r="AC15" s="4"/>
    </row>
    <row r="16" spans="1:29" ht="12.75">
      <c r="A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1"/>
      <c r="AB16" s="3"/>
      <c r="AC16" s="4"/>
    </row>
    <row r="17" spans="4:29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1"/>
      <c r="S17" s="1"/>
      <c r="T17" s="1"/>
      <c r="AB17" s="3"/>
      <c r="AC17" s="4"/>
    </row>
    <row r="18" spans="1:29" ht="12.75">
      <c r="A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AB18" s="3"/>
      <c r="AC18" s="4"/>
    </row>
    <row r="19" spans="1:29" ht="12.75">
      <c r="A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1"/>
      <c r="AB19" s="3"/>
      <c r="AC19" s="4"/>
    </row>
    <row r="20" spans="4:29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1"/>
      <c r="S20" s="1"/>
      <c r="T20" s="1"/>
      <c r="AB20" s="3"/>
      <c r="AC20" s="4"/>
    </row>
    <row r="21" spans="4:29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1"/>
      <c r="S21" s="1"/>
      <c r="T21" s="1"/>
      <c r="AB21" s="3"/>
      <c r="AC21" s="4"/>
    </row>
    <row r="22" spans="4:29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1"/>
      <c r="S22" s="1"/>
      <c r="T22" s="1"/>
      <c r="AB22" s="3"/>
      <c r="AC22" s="4"/>
    </row>
    <row r="23" spans="4:29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1"/>
      <c r="S23" s="1"/>
      <c r="T23" s="1"/>
      <c r="AB23" s="3"/>
      <c r="AC23" s="4"/>
    </row>
    <row r="24" spans="4:29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1"/>
      <c r="S24" s="1"/>
      <c r="T24" s="1"/>
      <c r="AB24" s="3"/>
      <c r="AC24" s="4"/>
    </row>
    <row r="25" spans="4:29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1"/>
      <c r="S25" s="1"/>
      <c r="T25" s="1"/>
      <c r="AB25" s="3"/>
      <c r="AC25" s="4"/>
    </row>
    <row r="26" spans="4:29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1"/>
      <c r="S26" s="1"/>
      <c r="T26" s="1"/>
      <c r="AC26" s="4"/>
    </row>
    <row r="27" spans="4:29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  <c r="AC27" s="4"/>
    </row>
    <row r="28" spans="4:29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R28" s="1"/>
      <c r="S28" s="1"/>
      <c r="T28" s="1"/>
      <c r="AC28" s="4"/>
    </row>
    <row r="29" spans="4:29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1"/>
      <c r="S29" s="1"/>
      <c r="T29" s="1"/>
      <c r="AC29" s="4"/>
    </row>
    <row r="30" spans="4:29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R30" s="1"/>
      <c r="S30" s="1"/>
      <c r="T30" s="1"/>
      <c r="AC30" s="4"/>
    </row>
    <row r="31" spans="4:29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S31" s="1"/>
      <c r="T31" s="1"/>
      <c r="AC31" s="4"/>
    </row>
    <row r="32" spans="4:29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1"/>
      <c r="S32" s="1"/>
      <c r="T32" s="1"/>
      <c r="AC32" s="4"/>
    </row>
    <row r="33" spans="4:29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R33" s="1"/>
      <c r="S33" s="1"/>
      <c r="T33" s="1"/>
      <c r="AC33" s="4"/>
    </row>
    <row r="34" spans="4:29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  <c r="S34" s="1"/>
      <c r="T34" s="1"/>
      <c r="AC34" s="4"/>
    </row>
    <row r="35" spans="4:29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AC35" s="4"/>
    </row>
    <row r="36" spans="4:29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AC36" s="4"/>
    </row>
    <row r="37" spans="4:29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1"/>
      <c r="S37" s="1"/>
      <c r="T37" s="1"/>
      <c r="AC37" s="4"/>
    </row>
    <row r="38" spans="4:29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1"/>
      <c r="S38" s="1"/>
      <c r="T38" s="1"/>
      <c r="AC38" s="4"/>
    </row>
    <row r="39" spans="4:29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  <c r="T39" s="1"/>
      <c r="AC39" s="4"/>
    </row>
    <row r="40" spans="4:29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1"/>
      <c r="S40" s="1"/>
      <c r="T40" s="1"/>
      <c r="AC40" s="4"/>
    </row>
    <row r="41" spans="4:29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1"/>
      <c r="S41" s="1"/>
      <c r="T41" s="1"/>
      <c r="AC41" s="4"/>
    </row>
    <row r="42" spans="4:29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  <c r="S42" s="1"/>
      <c r="T42" s="1"/>
      <c r="AC42" s="4"/>
    </row>
    <row r="43" spans="4:29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1"/>
      <c r="AC43" s="4"/>
    </row>
    <row r="44" spans="4:29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  <c r="AC44" s="4"/>
    </row>
    <row r="45" spans="4:29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1"/>
      <c r="AC45" s="4"/>
    </row>
    <row r="46" spans="4:29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1"/>
      <c r="AC46" s="4"/>
    </row>
    <row r="47" spans="4:29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AC47" s="4"/>
    </row>
    <row r="48" spans="4:29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"/>
      <c r="AC48" s="4"/>
    </row>
    <row r="49" spans="4:29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1"/>
      <c r="AC49" s="4"/>
    </row>
    <row r="50" spans="4:29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1"/>
      <c r="AC50" s="4"/>
    </row>
    <row r="51" spans="1:29" ht="12.75">
      <c r="A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1"/>
      <c r="AC51" s="4"/>
    </row>
    <row r="52" spans="1:29" ht="12.75">
      <c r="A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1"/>
      <c r="AC52" s="4"/>
    </row>
    <row r="53" spans="1:29" ht="12.75">
      <c r="A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1"/>
      <c r="AC53" s="4"/>
    </row>
    <row r="54" spans="1:29" ht="12.75">
      <c r="A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AC54" s="4"/>
    </row>
    <row r="55" spans="4:29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1"/>
      <c r="AC55" s="4"/>
    </row>
    <row r="56" spans="4:29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1"/>
      <c r="AC56" s="4"/>
    </row>
    <row r="57" spans="4:29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1"/>
      <c r="S57" s="8"/>
      <c r="T57" s="8"/>
      <c r="U57" s="8"/>
      <c r="V57" s="8"/>
      <c r="W57" s="7"/>
      <c r="X57" s="7"/>
      <c r="AC57" s="4"/>
    </row>
    <row r="58" spans="4:29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S58" s="8"/>
      <c r="T58" s="8"/>
      <c r="U58" s="8"/>
      <c r="V58" s="8"/>
      <c r="W58" s="7"/>
      <c r="X58" s="7"/>
      <c r="AC58" s="4"/>
    </row>
    <row r="59" spans="4:29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  <c r="S59" s="8"/>
      <c r="T59" s="8"/>
      <c r="U59" s="8"/>
      <c r="V59" s="8"/>
      <c r="W59" s="7"/>
      <c r="X59" s="7"/>
      <c r="AC59" s="4"/>
    </row>
    <row r="60" spans="4:29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/>
      <c r="S60" s="8"/>
      <c r="T60" s="8"/>
      <c r="U60" s="8"/>
      <c r="V60" s="8"/>
      <c r="W60" s="7"/>
      <c r="X60" s="7"/>
      <c r="AC60" s="4"/>
    </row>
    <row r="61" spans="4:29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  <c r="AC61" s="4"/>
    </row>
    <row r="62" spans="4:29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R62" s="1"/>
      <c r="AC62" s="4"/>
    </row>
    <row r="63" spans="4:29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AC63" s="4"/>
    </row>
    <row r="64" spans="4:29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AC64" s="4"/>
    </row>
    <row r="65" spans="4:29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R65" s="1"/>
      <c r="AC65" s="4"/>
    </row>
    <row r="66" spans="4:29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R66" s="1"/>
      <c r="AC66" s="4"/>
    </row>
    <row r="67" spans="1:29" ht="12.75">
      <c r="A67" s="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1"/>
      <c r="AC67" s="4"/>
    </row>
    <row r="68" spans="1:29" ht="12.75">
      <c r="A68" s="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1"/>
      <c r="AC68" s="4"/>
    </row>
    <row r="69" spans="4:29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R69" s="1"/>
      <c r="AC69" s="4"/>
    </row>
    <row r="70" spans="1:29" ht="12.75">
      <c r="A70" s="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R70" s="1"/>
      <c r="AC70" s="4"/>
    </row>
    <row r="71" spans="1:29" ht="12.75">
      <c r="A71" s="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R71" s="1"/>
      <c r="AC71" s="4"/>
    </row>
    <row r="72" spans="4:29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AC72" s="4"/>
    </row>
    <row r="73" spans="4:29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1"/>
      <c r="AC73" s="4"/>
    </row>
    <row r="74" spans="4:29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AC74" s="4"/>
    </row>
    <row r="75" spans="1:29" ht="12.75">
      <c r="A75" s="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R75" s="1"/>
      <c r="AC75" s="4"/>
    </row>
    <row r="76" spans="1:29" ht="12.75">
      <c r="A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1"/>
      <c r="AC76" s="4"/>
    </row>
    <row r="77" spans="4:29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AC77" s="4"/>
    </row>
    <row r="78" spans="1:29" ht="12.75">
      <c r="A78" s="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R78" s="1"/>
      <c r="AC78" s="4"/>
    </row>
    <row r="79" spans="1:29" ht="12.75">
      <c r="A79" s="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AC79" s="4"/>
    </row>
    <row r="80" spans="4:29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R80" s="1"/>
      <c r="AC80" s="4"/>
    </row>
    <row r="81" spans="4:29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"/>
      <c r="AC81" s="4"/>
    </row>
    <row r="82" spans="4:29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1"/>
      <c r="AC82" s="4"/>
    </row>
    <row r="83" spans="4:29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1"/>
      <c r="AC83" s="4"/>
    </row>
    <row r="84" spans="4:29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AC84" s="4"/>
    </row>
    <row r="85" spans="4:10" ht="12.75">
      <c r="D85" s="1"/>
      <c r="E85" s="1"/>
      <c r="F85" s="1"/>
      <c r="G85" s="1"/>
      <c r="H85" s="1"/>
      <c r="I85" s="1"/>
      <c r="J85" s="1"/>
    </row>
    <row r="86" spans="4:10" ht="12.75">
      <c r="D86" s="1"/>
      <c r="E86" s="1"/>
      <c r="F86" s="1"/>
      <c r="G86" s="1"/>
      <c r="H86" s="1"/>
      <c r="I86" s="1"/>
      <c r="J86" s="1"/>
    </row>
  </sheetData>
  <sheetProtection/>
  <dataValidations count="1">
    <dataValidation allowBlank="1" showInputMessage="1" showErrorMessage="1" sqref="D23:H30 R17:T17 K23:P30 S20:T42 I23:J86 R18:R42 R6:R16 R2:T5 D2:P22 S6:T14"/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zoomScalePageLayoutView="0" workbookViewId="0" topLeftCell="O5">
      <selection activeCell="T2" sqref="T2:AR33"/>
    </sheetView>
  </sheetViews>
  <sheetFormatPr defaultColWidth="11.00390625" defaultRowHeight="12.75"/>
  <cols>
    <col min="4" max="4" width="5.00390625" style="0" bestFit="1" customWidth="1"/>
    <col min="5" max="5" width="9.00390625" style="0" bestFit="1" customWidth="1"/>
    <col min="6" max="6" width="9.00390625" style="0" customWidth="1"/>
    <col min="7" max="7" width="4.00390625" style="0" bestFit="1" customWidth="1"/>
    <col min="8" max="8" width="6.875" style="0" bestFit="1" customWidth="1"/>
    <col min="9" max="9" width="7.75390625" style="0" bestFit="1" customWidth="1"/>
    <col min="10" max="11" width="9.00390625" style="0" bestFit="1" customWidth="1"/>
    <col min="12" max="12" width="5.125" style="0" bestFit="1" customWidth="1"/>
    <col min="13" max="14" width="6.125" style="0" bestFit="1" customWidth="1"/>
    <col min="15" max="15" width="7.125" style="0" bestFit="1" customWidth="1"/>
    <col min="24" max="24" width="12.375" style="0" bestFit="1" customWidth="1"/>
    <col min="43" max="43" width="13.75390625" style="0" bestFit="1" customWidth="1"/>
    <col min="44" max="44" width="16.75390625" style="0" bestFit="1" customWidth="1"/>
  </cols>
  <sheetData>
    <row r="1" spans="1:44" ht="12.75">
      <c r="A1" t="s">
        <v>44</v>
      </c>
      <c r="B1" t="s">
        <v>4</v>
      </c>
      <c r="C1" t="s">
        <v>0</v>
      </c>
      <c r="D1" t="s">
        <v>3</v>
      </c>
      <c r="E1" t="s">
        <v>46</v>
      </c>
      <c r="F1" t="s">
        <v>48</v>
      </c>
      <c r="G1" t="s">
        <v>47</v>
      </c>
      <c r="H1" t="s">
        <v>49</v>
      </c>
      <c r="I1" t="s">
        <v>45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s="2" t="s">
        <v>15</v>
      </c>
      <c r="S1" s="1" t="s">
        <v>51</v>
      </c>
      <c r="T1" s="1" t="s">
        <v>50</v>
      </c>
      <c r="U1" s="1" t="s">
        <v>19</v>
      </c>
      <c r="V1" s="1" t="s">
        <v>20</v>
      </c>
      <c r="W1" s="1" t="s">
        <v>18</v>
      </c>
      <c r="X1" s="1" t="s">
        <v>22</v>
      </c>
      <c r="Y1" s="1" t="s">
        <v>23</v>
      </c>
      <c r="Z1" s="1" t="s">
        <v>24</v>
      </c>
      <c r="AA1" s="1" t="s">
        <v>28</v>
      </c>
      <c r="AB1" s="1" t="s">
        <v>26</v>
      </c>
      <c r="AC1" s="1" t="s">
        <v>25</v>
      </c>
      <c r="AD1" s="1" t="s">
        <v>52</v>
      </c>
      <c r="AE1" s="1" t="s">
        <v>55</v>
      </c>
      <c r="AF1" s="1" t="s">
        <v>53</v>
      </c>
      <c r="AG1" s="1" t="s">
        <v>54</v>
      </c>
      <c r="AH1" s="1" t="s">
        <v>33</v>
      </c>
      <c r="AI1" s="1" t="s">
        <v>35</v>
      </c>
      <c r="AJ1" s="1" t="s">
        <v>36</v>
      </c>
      <c r="AK1" s="1" t="s">
        <v>37</v>
      </c>
      <c r="AL1" s="1" t="s">
        <v>34</v>
      </c>
      <c r="AM1" s="1" t="s">
        <v>38</v>
      </c>
      <c r="AN1" s="1" t="s">
        <v>39</v>
      </c>
      <c r="AO1" s="1" t="s">
        <v>41</v>
      </c>
      <c r="AP1" s="1" t="s">
        <v>40</v>
      </c>
      <c r="AQ1" s="1" t="s">
        <v>42</v>
      </c>
      <c r="AR1" s="1" t="s">
        <v>43</v>
      </c>
    </row>
    <row r="2" spans="1:44" ht="13.5" customHeight="1">
      <c r="A2" t="s">
        <v>98</v>
      </c>
      <c r="B2">
        <v>17.16</v>
      </c>
      <c r="C2">
        <v>0</v>
      </c>
      <c r="D2">
        <v>0.5</v>
      </c>
      <c r="E2">
        <v>47.75</v>
      </c>
      <c r="F2">
        <v>8.58</v>
      </c>
      <c r="G2" s="1">
        <v>0</v>
      </c>
      <c r="H2" s="1"/>
      <c r="I2" s="8">
        <f>(1.2*D2*B2)+E2+G2</f>
        <v>58.046</v>
      </c>
      <c r="J2" s="8">
        <f>(0.1*I2)/B2</f>
        <v>0.3382634032634033</v>
      </c>
      <c r="K2" s="8">
        <f>(0.2*I2)/B2</f>
        <v>0.6765268065268066</v>
      </c>
      <c r="L2" s="1">
        <f>ROUND(((0.08*B2)*12),0)</f>
        <v>16</v>
      </c>
      <c r="M2" s="1">
        <f>ROUND(((0.1*B2)*12),0)</f>
        <v>21</v>
      </c>
      <c r="N2" s="1">
        <f>ROUND((0.5*L2),0)</f>
        <v>8</v>
      </c>
      <c r="O2" s="1">
        <f>ROUND((0.5*M2),0)</f>
        <v>11</v>
      </c>
      <c r="P2" s="8">
        <f>(N2/12)*(L2/12)*150</f>
        <v>133.33333333333331</v>
      </c>
      <c r="Q2" s="8">
        <f>(O2/12)*(M2/12)*150</f>
        <v>240.62499999999997</v>
      </c>
      <c r="R2" s="2">
        <v>200</v>
      </c>
      <c r="S2" s="1">
        <f>D2+(R2/1000)</f>
        <v>0.7</v>
      </c>
      <c r="T2" s="8">
        <f>(1.2*S2*B2)+E2+G2</f>
        <v>62.1644</v>
      </c>
      <c r="U2" s="8">
        <v>27.85</v>
      </c>
      <c r="V2" s="8">
        <v>30.2</v>
      </c>
      <c r="W2" s="8">
        <f>MAX(U2:V2)</f>
        <v>30.2</v>
      </c>
      <c r="X2" s="8">
        <v>188.25</v>
      </c>
      <c r="Y2" s="8">
        <f>(B2/16)*12</f>
        <v>12.870000000000001</v>
      </c>
      <c r="Z2" s="8">
        <f>Y2-2.5</f>
        <v>10.370000000000001</v>
      </c>
      <c r="AA2" s="8">
        <f>(60000/4000)*0.01</f>
        <v>0.15</v>
      </c>
      <c r="AB2" s="8">
        <f>4000*AA2*(1-(0.59*AA2))</f>
        <v>546.9</v>
      </c>
      <c r="AC2" s="8">
        <f>(12000*X2)/(AB2*0.9)</f>
        <v>4589.50447979521</v>
      </c>
      <c r="AD2" s="8">
        <f>(AC2/2.25)^(1/3)</f>
        <v>12.682195002913126</v>
      </c>
      <c r="AE2" s="8">
        <f>AD2*(1.5)</f>
        <v>19.02329250436969</v>
      </c>
      <c r="AF2" s="8">
        <f>(AC2/4)^(1/3)</f>
        <v>10.468921313978528</v>
      </c>
      <c r="AG2" s="8">
        <f>AF2*2</f>
        <v>20.937842627957057</v>
      </c>
      <c r="AH2" s="8">
        <f>(X2*12000)/(0.9*60000*0.95*AE2)</f>
        <v>2.314798435086003</v>
      </c>
      <c r="AI2" s="8">
        <f>(AH2*60000)/(0.85*4000*AD2)</f>
        <v>3.2210026844086013</v>
      </c>
      <c r="AJ2" s="8">
        <f>AI2/AE2</f>
        <v>0.1693188854489164</v>
      </c>
      <c r="AK2" s="8">
        <f>(X2*12000)/(0.9*60000*(AE2-(AI2/2)))</f>
        <v>2.4024484612340062</v>
      </c>
      <c r="AL2" s="8">
        <f>(3*(4000^0.5)*AD2*Z2)/60000</f>
        <v>0.4158849295137685</v>
      </c>
      <c r="AM2" s="8">
        <f>(200*AD2*Z2)/60000</f>
        <v>0.4383812072673638</v>
      </c>
      <c r="AN2" s="8">
        <f>ROUND(MAX(AK2:AM2),2)</f>
        <v>2.4</v>
      </c>
      <c r="AO2" s="8">
        <f>1.875</f>
        <v>1.875</v>
      </c>
      <c r="AP2" s="8">
        <f>(540/(0.6*60))-(2.5*AO2)</f>
        <v>10.3125</v>
      </c>
      <c r="AQ2" s="8">
        <f>AN2*(B2*12)</f>
        <v>494.208</v>
      </c>
      <c r="AR2" s="8">
        <f>(Y2-6)*AD2*(12*B2)</f>
        <v>17941.125877649116</v>
      </c>
    </row>
    <row r="3" spans="1:44" ht="13.5" customHeight="1">
      <c r="A3" t="s">
        <v>100</v>
      </c>
      <c r="B3">
        <v>23.08</v>
      </c>
      <c r="C3">
        <v>0</v>
      </c>
      <c r="D3">
        <v>0.5</v>
      </c>
      <c r="E3">
        <v>65.8</v>
      </c>
      <c r="F3">
        <v>13.54</v>
      </c>
      <c r="G3" s="1">
        <v>0</v>
      </c>
      <c r="H3" s="1"/>
      <c r="I3" s="8">
        <f>(1.2*D3*B3)+E3+G3</f>
        <v>79.648</v>
      </c>
      <c r="J3" s="8">
        <f>(0.1*I3)/B3</f>
        <v>0.34509532062391685</v>
      </c>
      <c r="K3" s="8">
        <f>(0.2*I3)/B3</f>
        <v>0.6901906412478337</v>
      </c>
      <c r="L3" s="1">
        <f>ROUND(((0.08*B3)*12),0)</f>
        <v>22</v>
      </c>
      <c r="M3" s="1">
        <f>ROUND(((0.1*B3)*12),0)</f>
        <v>28</v>
      </c>
      <c r="N3" s="1">
        <f>ROUND((0.5*L3),0)</f>
        <v>11</v>
      </c>
      <c r="O3" s="1">
        <f>ROUND((0.5*M3),0)</f>
        <v>14</v>
      </c>
      <c r="P3" s="8">
        <f>(N3/12)*(L3/12)*150</f>
        <v>252.08333333333331</v>
      </c>
      <c r="Q3" s="8">
        <f>(O3/12)*(M3/12)*150</f>
        <v>408.3333333333334</v>
      </c>
      <c r="R3" s="2">
        <v>300</v>
      </c>
      <c r="S3" s="1">
        <f>D3+(R3/1000)</f>
        <v>0.8</v>
      </c>
      <c r="T3" s="8">
        <f>(1.2*S3*B3)+E3+G3</f>
        <v>87.95679999999999</v>
      </c>
      <c r="U3" s="8">
        <v>46.89</v>
      </c>
      <c r="V3" s="8">
        <v>32.76</v>
      </c>
      <c r="W3" s="8">
        <f>MAX(U3:V3)</f>
        <v>46.89</v>
      </c>
      <c r="X3" s="8">
        <v>237.77</v>
      </c>
      <c r="Y3" s="8">
        <f>(B3/16)*12</f>
        <v>17.31</v>
      </c>
      <c r="Z3" s="8">
        <f>Y3-2.5</f>
        <v>14.809999999999999</v>
      </c>
      <c r="AA3" s="8">
        <f>(60000/4000)*0.01</f>
        <v>0.15</v>
      </c>
      <c r="AB3" s="8">
        <f>4000*AA3*(1-(0.59*AA3))</f>
        <v>546.9</v>
      </c>
      <c r="AC3" s="8">
        <f>(12000*X3)/(AB3*0.9)</f>
        <v>5796.794051319559</v>
      </c>
      <c r="AD3" s="8">
        <f>(AC3/2.25)^(1/3)</f>
        <v>13.708873984535405</v>
      </c>
      <c r="AE3" s="8">
        <f>AD3*(1.5)</f>
        <v>20.56331097680311</v>
      </c>
      <c r="AF3" s="8">
        <f>(AC3/4)^(1/3)</f>
        <v>11.316426140300031</v>
      </c>
      <c r="AG3" s="8">
        <f>AF3*2</f>
        <v>22.632852280600062</v>
      </c>
      <c r="AH3" s="8">
        <f>(X3*12000)/(0.9*60000*0.95*AE3)</f>
        <v>2.7047547699411973</v>
      </c>
      <c r="AI3" s="8">
        <f>(AH3*60000)/(0.85*4000*AD3)</f>
        <v>3.4817568957317744</v>
      </c>
      <c r="AJ3" s="8">
        <f>AI3/AE3</f>
        <v>0.16931888544891657</v>
      </c>
      <c r="AK3" s="8">
        <f>(X3*12000)/(0.9*60000*(AE3-(AI3/2)))</f>
        <v>2.807170523605069</v>
      </c>
      <c r="AL3" s="8">
        <f>(3*(4000^0.5)*AD3*Z3)/60000</f>
        <v>0.6420322486803983</v>
      </c>
      <c r="AM3" s="8">
        <f>(200*AD3*Z3)/60000</f>
        <v>0.6767614123698977</v>
      </c>
      <c r="AN3" s="8">
        <f>ROUND(MAX(AK3:AM3),2)</f>
        <v>2.81</v>
      </c>
      <c r="AO3" s="8">
        <f>1.875</f>
        <v>1.875</v>
      </c>
      <c r="AP3" s="8">
        <f>(540/(0.6*60))-(2.5*AO3)</f>
        <v>10.3125</v>
      </c>
      <c r="AQ3" s="8">
        <f>AN3*(B3*12)</f>
        <v>778.2575999999999</v>
      </c>
      <c r="AR3" s="8">
        <f>(Y3-6)*AD3*(12*B3)</f>
        <v>42941.918145340824</v>
      </c>
    </row>
    <row r="4" spans="7:44" ht="12.75">
      <c r="G4" s="1"/>
      <c r="H4" s="1"/>
      <c r="I4" s="8"/>
      <c r="J4" s="8"/>
      <c r="K4" s="8"/>
      <c r="L4" s="1"/>
      <c r="M4" s="1"/>
      <c r="N4" s="1"/>
      <c r="O4" s="1"/>
      <c r="P4" s="8"/>
      <c r="Q4" s="8"/>
      <c r="R4" s="2"/>
      <c r="S4" s="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2.75">
      <c r="A5" t="s">
        <v>96</v>
      </c>
      <c r="B5">
        <v>14.16</v>
      </c>
      <c r="C5">
        <v>0</v>
      </c>
      <c r="D5">
        <v>0.5</v>
      </c>
      <c r="E5" s="1">
        <v>15.76</v>
      </c>
      <c r="F5" s="1">
        <v>7.08</v>
      </c>
      <c r="G5" s="1">
        <v>0</v>
      </c>
      <c r="H5" s="1"/>
      <c r="I5" s="8">
        <f aca="true" t="shared" si="0" ref="I5:I16">(1.2*D5*B5)+E5+G5</f>
        <v>24.256</v>
      </c>
      <c r="J5" s="8">
        <f aca="true" t="shared" si="1" ref="J5:J16">(0.1*I5)/B5</f>
        <v>0.1712994350282486</v>
      </c>
      <c r="K5" s="8">
        <f aca="true" t="shared" si="2" ref="K5:K16">(0.2*I5)/B5</f>
        <v>0.3425988700564972</v>
      </c>
      <c r="L5" s="1">
        <f aca="true" t="shared" si="3" ref="L5:L16">ROUND(((0.08*B5)*12),0)</f>
        <v>14</v>
      </c>
      <c r="M5" s="1">
        <f aca="true" t="shared" si="4" ref="M5:M16">ROUND(((0.1*B5)*12),0)</f>
        <v>17</v>
      </c>
      <c r="N5" s="1">
        <f aca="true" t="shared" si="5" ref="N5:N16">ROUND((0.5*L5),0)</f>
        <v>7</v>
      </c>
      <c r="O5" s="1">
        <f aca="true" t="shared" si="6" ref="O5:O16">ROUND((0.5*M5),0)</f>
        <v>9</v>
      </c>
      <c r="P5" s="8">
        <f aca="true" t="shared" si="7" ref="P5:P16">(N5/12)*(L5/12)*150</f>
        <v>102.08333333333336</v>
      </c>
      <c r="Q5" s="8">
        <f aca="true" t="shared" si="8" ref="Q5:Q16">(O5/12)*(M5/12)*150</f>
        <v>159.375</v>
      </c>
      <c r="R5" s="2">
        <v>300</v>
      </c>
      <c r="S5" s="1">
        <f aca="true" t="shared" si="9" ref="S5:S16">D5+(R5/1000)</f>
        <v>0.8</v>
      </c>
      <c r="T5" s="8">
        <f aca="true" t="shared" si="10" ref="T5:T16">(1.2*S5*B5)+E5+G5</f>
        <v>29.3536</v>
      </c>
      <c r="U5" s="8">
        <f aca="true" t="shared" si="11" ref="U5:U16">T5-V5</f>
        <v>14.6768</v>
      </c>
      <c r="V5" s="8">
        <f aca="true" t="shared" si="12" ref="V5:V16">((E5*F5)+(G5*H5)+((1.2*S5)*B5*(0.5*B5)))/B5</f>
        <v>14.6768</v>
      </c>
      <c r="W5" s="8">
        <f aca="true" t="shared" si="13" ref="W5:W16">MAX(U5:V5)</f>
        <v>14.6768</v>
      </c>
      <c r="X5" s="8">
        <f aca="true" t="shared" si="14" ref="X5:X16">(((U5-((S5)*F5))*F5)/2)+(F5*(U5-((S5)*F5)))</f>
        <v>95.71593599999999</v>
      </c>
      <c r="Y5" s="8">
        <f aca="true" t="shared" si="15" ref="Y5:Y16">(B5/16)*12</f>
        <v>10.620000000000001</v>
      </c>
      <c r="Z5" s="8">
        <f aca="true" t="shared" si="16" ref="Z5:Z16">Y5-2.5</f>
        <v>8.120000000000001</v>
      </c>
      <c r="AA5" s="8">
        <f aca="true" t="shared" si="17" ref="AA5:AA16">(60000/4000)*0.01</f>
        <v>0.15</v>
      </c>
      <c r="AB5" s="8">
        <f aca="true" t="shared" si="18" ref="AB5:AB16">4000*AA5*(1-(0.59*AA5))</f>
        <v>546.9</v>
      </c>
      <c r="AC5" s="8">
        <f aca="true" t="shared" si="19" ref="AC5:AC16">(12000*X5)/(AB5*0.9)</f>
        <v>2333.539001645639</v>
      </c>
      <c r="AD5" s="8">
        <f aca="true" t="shared" si="20" ref="AD5:AD16">(AC5/2.25)^(1/3)</f>
        <v>10.12226062614767</v>
      </c>
      <c r="AE5" s="8">
        <f aca="true" t="shared" si="21" ref="AE5:AE16">AD5*(1.5)</f>
        <v>15.183390939221503</v>
      </c>
      <c r="AF5" s="8">
        <f aca="true" t="shared" si="22" ref="AF5:AF16">(AC5/4)^(1/3)</f>
        <v>8.355742045472544</v>
      </c>
      <c r="AG5" s="8">
        <f aca="true" t="shared" si="23" ref="AG5:AG16">AF5*2</f>
        <v>16.71148409094509</v>
      </c>
      <c r="AH5" s="8">
        <f aca="true" t="shared" si="24" ref="AH5:AH16">(X5*12000)/(0.9*60000*0.95*AE5)</f>
        <v>1.4746174106432464</v>
      </c>
      <c r="AI5" s="8">
        <f aca="true" t="shared" si="25" ref="AI5:AI16">(AH5*60000)/(0.85*4000*AD5)</f>
        <v>2.570834831164163</v>
      </c>
      <c r="AJ5" s="8">
        <f aca="true" t="shared" si="26" ref="AJ5:AJ16">AI5/AE5</f>
        <v>0.16931888544891652</v>
      </c>
      <c r="AK5" s="8">
        <f aca="true" t="shared" si="27" ref="AK5:AK16">(X5*12000)/(0.9*60000*(AE5-(AI5/2)))</f>
        <v>1.530453915732459</v>
      </c>
      <c r="AL5" s="8">
        <f>(3*(4000^0.5)*AD5*Z5)/60000</f>
        <v>0.25991631702556645</v>
      </c>
      <c r="AM5" s="8">
        <f>(200*AD5*Z5)/60000</f>
        <v>0.27397585428106364</v>
      </c>
      <c r="AN5" s="8">
        <f aca="true" t="shared" si="28" ref="AN5:AN16">ROUND(MAX(AK5:AM5),2)</f>
        <v>1.53</v>
      </c>
      <c r="AO5" s="8">
        <f aca="true" t="shared" si="29" ref="AO5:AO16">1.875</f>
        <v>1.875</v>
      </c>
      <c r="AP5" s="8">
        <f aca="true" t="shared" si="30" ref="AP5:AP16">(540/(0.6*60))-(2.5*AO5)</f>
        <v>10.3125</v>
      </c>
      <c r="AQ5" s="8">
        <f aca="true" t="shared" si="31" ref="AQ5:AQ16">AN5*(B5*12)</f>
        <v>259.97760000000005</v>
      </c>
      <c r="AR5" s="8">
        <f aca="true" t="shared" si="32" ref="AR5:AR16">(Y5-6)*AD5*(12*B5)</f>
        <v>7946.282308248958</v>
      </c>
    </row>
    <row r="6" spans="1:44" ht="12.75">
      <c r="A6" t="s">
        <v>97</v>
      </c>
      <c r="B6">
        <v>14.16</v>
      </c>
      <c r="C6">
        <v>0</v>
      </c>
      <c r="D6">
        <v>0.5</v>
      </c>
      <c r="E6" s="1">
        <v>15.76</v>
      </c>
      <c r="F6" s="1">
        <v>7.08</v>
      </c>
      <c r="G6" s="1">
        <v>0</v>
      </c>
      <c r="H6" s="1"/>
      <c r="I6" s="8">
        <f t="shared" si="0"/>
        <v>24.256</v>
      </c>
      <c r="J6" s="8">
        <f t="shared" si="1"/>
        <v>0.1712994350282486</v>
      </c>
      <c r="K6" s="8">
        <f t="shared" si="2"/>
        <v>0.3425988700564972</v>
      </c>
      <c r="L6" s="1">
        <f t="shared" si="3"/>
        <v>14</v>
      </c>
      <c r="M6" s="1">
        <f t="shared" si="4"/>
        <v>17</v>
      </c>
      <c r="N6" s="1">
        <f t="shared" si="5"/>
        <v>7</v>
      </c>
      <c r="O6" s="1">
        <f t="shared" si="6"/>
        <v>9</v>
      </c>
      <c r="P6" s="8">
        <f t="shared" si="7"/>
        <v>102.08333333333336</v>
      </c>
      <c r="Q6" s="8">
        <f t="shared" si="8"/>
        <v>159.375</v>
      </c>
      <c r="R6" s="2">
        <v>300</v>
      </c>
      <c r="S6" s="1">
        <f t="shared" si="9"/>
        <v>0.8</v>
      </c>
      <c r="T6" s="8">
        <f t="shared" si="10"/>
        <v>29.3536</v>
      </c>
      <c r="U6" s="8">
        <f t="shared" si="11"/>
        <v>14.6768</v>
      </c>
      <c r="V6" s="8">
        <f t="shared" si="12"/>
        <v>14.6768</v>
      </c>
      <c r="W6" s="8">
        <f t="shared" si="13"/>
        <v>14.6768</v>
      </c>
      <c r="X6" s="8">
        <f t="shared" si="14"/>
        <v>95.71593599999999</v>
      </c>
      <c r="Y6" s="8">
        <f t="shared" si="15"/>
        <v>10.620000000000001</v>
      </c>
      <c r="Z6" s="8">
        <f t="shared" si="16"/>
        <v>8.120000000000001</v>
      </c>
      <c r="AA6" s="8">
        <f t="shared" si="17"/>
        <v>0.15</v>
      </c>
      <c r="AB6" s="8">
        <f t="shared" si="18"/>
        <v>546.9</v>
      </c>
      <c r="AC6" s="8">
        <f t="shared" si="19"/>
        <v>2333.539001645639</v>
      </c>
      <c r="AD6" s="8">
        <f t="shared" si="20"/>
        <v>10.12226062614767</v>
      </c>
      <c r="AE6" s="8">
        <f t="shared" si="21"/>
        <v>15.183390939221503</v>
      </c>
      <c r="AF6" s="8">
        <f t="shared" si="22"/>
        <v>8.355742045472544</v>
      </c>
      <c r="AG6" s="8">
        <f t="shared" si="23"/>
        <v>16.71148409094509</v>
      </c>
      <c r="AH6" s="8">
        <f t="shared" si="24"/>
        <v>1.4746174106432464</v>
      </c>
      <c r="AI6" s="8">
        <f t="shared" si="25"/>
        <v>2.570834831164163</v>
      </c>
      <c r="AJ6" s="8">
        <f t="shared" si="26"/>
        <v>0.16931888544891652</v>
      </c>
      <c r="AK6" s="8">
        <f t="shared" si="27"/>
        <v>1.530453915732459</v>
      </c>
      <c r="AL6" s="8">
        <f>(3*(4000^0.5)*AD6*Z6)/60000</f>
        <v>0.25991631702556645</v>
      </c>
      <c r="AM6" s="8">
        <f>(200*AD6*Z6)/60000</f>
        <v>0.27397585428106364</v>
      </c>
      <c r="AN6" s="8">
        <f t="shared" si="28"/>
        <v>1.53</v>
      </c>
      <c r="AO6" s="8">
        <f t="shared" si="29"/>
        <v>1.875</v>
      </c>
      <c r="AP6" s="8">
        <f t="shared" si="30"/>
        <v>10.3125</v>
      </c>
      <c r="AQ6" s="8">
        <f t="shared" si="31"/>
        <v>259.97760000000005</v>
      </c>
      <c r="AR6" s="8">
        <f t="shared" si="32"/>
        <v>7946.282308248958</v>
      </c>
    </row>
    <row r="7" spans="1:44" ht="12.75">
      <c r="A7" t="s">
        <v>58</v>
      </c>
      <c r="B7">
        <v>12.92</v>
      </c>
      <c r="C7">
        <v>0</v>
      </c>
      <c r="D7">
        <v>0.5</v>
      </c>
      <c r="E7" s="1">
        <v>20.62</v>
      </c>
      <c r="F7" s="1">
        <v>6.46</v>
      </c>
      <c r="G7" s="1">
        <f>C7*60</f>
        <v>0</v>
      </c>
      <c r="H7" s="1"/>
      <c r="I7" s="8">
        <f t="shared" si="0"/>
        <v>28.372</v>
      </c>
      <c r="J7" s="8">
        <f t="shared" si="1"/>
        <v>0.21959752321981427</v>
      </c>
      <c r="K7" s="8">
        <f t="shared" si="2"/>
        <v>0.43919504643962853</v>
      </c>
      <c r="L7" s="1">
        <f t="shared" si="3"/>
        <v>12</v>
      </c>
      <c r="M7" s="1">
        <f t="shared" si="4"/>
        <v>16</v>
      </c>
      <c r="N7" s="1">
        <f t="shared" si="5"/>
        <v>6</v>
      </c>
      <c r="O7" s="1">
        <f t="shared" si="6"/>
        <v>8</v>
      </c>
      <c r="P7" s="8">
        <f t="shared" si="7"/>
        <v>75</v>
      </c>
      <c r="Q7" s="8">
        <f t="shared" si="8"/>
        <v>133.33333333333331</v>
      </c>
      <c r="R7" s="2">
        <v>300</v>
      </c>
      <c r="S7" s="1">
        <f t="shared" si="9"/>
        <v>0.8</v>
      </c>
      <c r="T7" s="8">
        <f t="shared" si="10"/>
        <v>33.0232</v>
      </c>
      <c r="U7" s="8">
        <f t="shared" si="11"/>
        <v>16.5116</v>
      </c>
      <c r="V7" s="8">
        <f t="shared" si="12"/>
        <v>16.5116</v>
      </c>
      <c r="W7" s="8">
        <f t="shared" si="13"/>
        <v>16.5116</v>
      </c>
      <c r="X7" s="8">
        <f t="shared" si="14"/>
        <v>109.91948400000003</v>
      </c>
      <c r="Y7" s="8">
        <f t="shared" si="15"/>
        <v>9.69</v>
      </c>
      <c r="Z7" s="8">
        <f t="shared" si="16"/>
        <v>7.1899999999999995</v>
      </c>
      <c r="AA7" s="8">
        <f t="shared" si="17"/>
        <v>0.15</v>
      </c>
      <c r="AB7" s="8">
        <f t="shared" si="18"/>
        <v>546.9</v>
      </c>
      <c r="AC7" s="8">
        <f t="shared" si="19"/>
        <v>2679.819199122326</v>
      </c>
      <c r="AD7" s="8">
        <f t="shared" si="20"/>
        <v>10.600043773301724</v>
      </c>
      <c r="AE7" s="8">
        <f t="shared" si="21"/>
        <v>15.900065659952586</v>
      </c>
      <c r="AF7" s="8">
        <f t="shared" si="22"/>
        <v>8.750143343635198</v>
      </c>
      <c r="AG7" s="8">
        <f t="shared" si="23"/>
        <v>17.500286687270396</v>
      </c>
      <c r="AH7" s="8">
        <f t="shared" si="24"/>
        <v>1.6171103031832812</v>
      </c>
      <c r="AI7" s="8">
        <f t="shared" si="25"/>
        <v>2.6921813961077636</v>
      </c>
      <c r="AJ7" s="8">
        <f t="shared" si="26"/>
        <v>0.16931888544891655</v>
      </c>
      <c r="AK7" s="8">
        <f t="shared" si="27"/>
        <v>1.6783423129383566</v>
      </c>
      <c r="AL7" s="8">
        <f>(3*(4000^0.5)*AD7*AE7)/60000</f>
        <v>0.5329746787158937</v>
      </c>
      <c r="AM7" s="8">
        <f>(200*AD7*AE7)/60000</f>
        <v>0.5618046399795633</v>
      </c>
      <c r="AN7" s="8">
        <f t="shared" si="28"/>
        <v>1.68</v>
      </c>
      <c r="AO7" s="8">
        <f t="shared" si="29"/>
        <v>1.875</v>
      </c>
      <c r="AP7" s="8">
        <f t="shared" si="30"/>
        <v>10.3125</v>
      </c>
      <c r="AQ7" s="8">
        <f t="shared" si="31"/>
        <v>260.4672</v>
      </c>
      <c r="AR7" s="8">
        <f t="shared" si="32"/>
        <v>6064.25960260086</v>
      </c>
    </row>
    <row r="8" spans="1:44" ht="12.75">
      <c r="A8" t="s">
        <v>99</v>
      </c>
      <c r="B8">
        <v>24</v>
      </c>
      <c r="C8">
        <v>0</v>
      </c>
      <c r="D8">
        <v>0.5</v>
      </c>
      <c r="E8" s="1">
        <v>34.28</v>
      </c>
      <c r="F8" s="1">
        <v>8</v>
      </c>
      <c r="G8" s="1">
        <v>34.28</v>
      </c>
      <c r="H8" s="1">
        <v>16</v>
      </c>
      <c r="I8" s="8">
        <f t="shared" si="0"/>
        <v>82.96000000000001</v>
      </c>
      <c r="J8" s="8">
        <f t="shared" si="1"/>
        <v>0.34566666666666673</v>
      </c>
      <c r="K8" s="8">
        <f t="shared" si="2"/>
        <v>0.6913333333333335</v>
      </c>
      <c r="L8" s="1">
        <f t="shared" si="3"/>
        <v>23</v>
      </c>
      <c r="M8" s="1">
        <f t="shared" si="4"/>
        <v>29</v>
      </c>
      <c r="N8" s="1">
        <f t="shared" si="5"/>
        <v>12</v>
      </c>
      <c r="O8" s="1">
        <f t="shared" si="6"/>
        <v>15</v>
      </c>
      <c r="P8" s="8">
        <f t="shared" si="7"/>
        <v>287.5</v>
      </c>
      <c r="Q8" s="8">
        <f t="shared" si="8"/>
        <v>453.12499999999994</v>
      </c>
      <c r="R8" s="2">
        <v>300</v>
      </c>
      <c r="S8" s="1">
        <f t="shared" si="9"/>
        <v>0.8</v>
      </c>
      <c r="T8" s="8">
        <f t="shared" si="10"/>
        <v>91.6</v>
      </c>
      <c r="U8" s="8">
        <f t="shared" si="11"/>
        <v>45.79999999999999</v>
      </c>
      <c r="V8" s="8">
        <f t="shared" si="12"/>
        <v>45.800000000000004</v>
      </c>
      <c r="W8" s="8">
        <f t="shared" si="13"/>
        <v>45.800000000000004</v>
      </c>
      <c r="X8" s="8">
        <f t="shared" si="14"/>
        <v>472.7999999999999</v>
      </c>
      <c r="Y8" s="8">
        <f t="shared" si="15"/>
        <v>18</v>
      </c>
      <c r="Z8" s="8">
        <f t="shared" si="16"/>
        <v>15.5</v>
      </c>
      <c r="AA8" s="8">
        <f t="shared" si="17"/>
        <v>0.15</v>
      </c>
      <c r="AB8" s="8">
        <f t="shared" si="18"/>
        <v>546.9</v>
      </c>
      <c r="AC8" s="8">
        <f t="shared" si="19"/>
        <v>11526.787346864143</v>
      </c>
      <c r="AD8" s="8">
        <f t="shared" si="20"/>
        <v>17.238861785218194</v>
      </c>
      <c r="AE8" s="8">
        <f t="shared" si="21"/>
        <v>25.858292677827293</v>
      </c>
      <c r="AF8" s="8">
        <f t="shared" si="22"/>
        <v>14.23036686713505</v>
      </c>
      <c r="AG8" s="8">
        <f t="shared" si="23"/>
        <v>28.4607337342701</v>
      </c>
      <c r="AH8" s="8">
        <f t="shared" si="24"/>
        <v>4.277022176444902</v>
      </c>
      <c r="AI8" s="8">
        <f t="shared" si="25"/>
        <v>4.37829729582159</v>
      </c>
      <c r="AJ8" s="8">
        <f t="shared" si="26"/>
        <v>0.1693188854489163</v>
      </c>
      <c r="AK8" s="8">
        <f t="shared" si="27"/>
        <v>4.438971960028135</v>
      </c>
      <c r="AL8" s="8">
        <f>(3*(4000^0.5)*AD8*AE8)/60000</f>
        <v>1.4096407127356707</v>
      </c>
      <c r="AM8" s="8">
        <f>(200*AD8*AE8)/60000</f>
        <v>1.485891778249281</v>
      </c>
      <c r="AN8" s="8">
        <f t="shared" si="28"/>
        <v>4.44</v>
      </c>
      <c r="AO8" s="8">
        <f t="shared" si="29"/>
        <v>1.875</v>
      </c>
      <c r="AP8" s="8">
        <f t="shared" si="30"/>
        <v>10.3125</v>
      </c>
      <c r="AQ8" s="8">
        <f t="shared" si="31"/>
        <v>1278.72</v>
      </c>
      <c r="AR8" s="8">
        <f t="shared" si="32"/>
        <v>59577.50632971409</v>
      </c>
    </row>
    <row r="9" spans="1:44" ht="12.75">
      <c r="A9" s="5" t="s">
        <v>56</v>
      </c>
      <c r="B9">
        <v>21.33</v>
      </c>
      <c r="C9">
        <v>0</v>
      </c>
      <c r="D9">
        <v>0.5</v>
      </c>
      <c r="E9" s="1">
        <v>43.31</v>
      </c>
      <c r="F9" s="1">
        <v>10.66</v>
      </c>
      <c r="G9" s="1">
        <f>C9*60</f>
        <v>0</v>
      </c>
      <c r="H9" s="1"/>
      <c r="I9" s="8">
        <f t="shared" si="0"/>
        <v>56.108000000000004</v>
      </c>
      <c r="J9" s="8">
        <f t="shared" si="1"/>
        <v>0.26304735114861705</v>
      </c>
      <c r="K9" s="8">
        <f t="shared" si="2"/>
        <v>0.5260947022972341</v>
      </c>
      <c r="L9" s="1">
        <f t="shared" si="3"/>
        <v>20</v>
      </c>
      <c r="M9" s="1">
        <f t="shared" si="4"/>
        <v>26</v>
      </c>
      <c r="N9" s="1">
        <f t="shared" si="5"/>
        <v>10</v>
      </c>
      <c r="O9" s="1">
        <f t="shared" si="6"/>
        <v>13</v>
      </c>
      <c r="P9" s="8">
        <f t="shared" si="7"/>
        <v>208.33333333333337</v>
      </c>
      <c r="Q9" s="8">
        <f t="shared" si="8"/>
        <v>352.08333333333326</v>
      </c>
      <c r="R9" s="2">
        <v>400</v>
      </c>
      <c r="S9" s="1">
        <f t="shared" si="9"/>
        <v>0.9</v>
      </c>
      <c r="T9" s="8">
        <f t="shared" si="10"/>
        <v>66.3464</v>
      </c>
      <c r="U9" s="8">
        <f t="shared" si="11"/>
        <v>33.18335236755743</v>
      </c>
      <c r="V9" s="8">
        <f t="shared" si="12"/>
        <v>33.16304763244257</v>
      </c>
      <c r="W9" s="8">
        <f t="shared" si="13"/>
        <v>33.18335236755743</v>
      </c>
      <c r="X9" s="8">
        <f t="shared" si="14"/>
        <v>377.19374435724336</v>
      </c>
      <c r="Y9" s="8">
        <f t="shared" si="15"/>
        <v>15.997499999999999</v>
      </c>
      <c r="Z9" s="8">
        <f t="shared" si="16"/>
        <v>13.497499999999999</v>
      </c>
      <c r="AA9" s="8">
        <f t="shared" si="17"/>
        <v>0.15</v>
      </c>
      <c r="AB9" s="8">
        <f t="shared" si="18"/>
        <v>546.9</v>
      </c>
      <c r="AC9" s="8">
        <f t="shared" si="19"/>
        <v>9195.922334546069</v>
      </c>
      <c r="AD9" s="8">
        <f t="shared" si="20"/>
        <v>15.988372532812399</v>
      </c>
      <c r="AE9" s="8">
        <f t="shared" si="21"/>
        <v>23.982558799218598</v>
      </c>
      <c r="AF9" s="8">
        <f t="shared" si="22"/>
        <v>13.198110732892914</v>
      </c>
      <c r="AG9" s="8">
        <f t="shared" si="23"/>
        <v>26.39622146578583</v>
      </c>
      <c r="AH9" s="8">
        <f t="shared" si="24"/>
        <v>3.6790258937375184</v>
      </c>
      <c r="AI9" s="8">
        <f t="shared" si="25"/>
        <v>4.060700126096796</v>
      </c>
      <c r="AJ9" s="8">
        <f t="shared" si="26"/>
        <v>0.1693188854489164</v>
      </c>
      <c r="AK9" s="8">
        <f t="shared" si="27"/>
        <v>3.8183325006962767</v>
      </c>
      <c r="AL9" s="8">
        <f>(3*(4000^0.5)*AD9*AE9)/60000</f>
        <v>1.2125503373779267</v>
      </c>
      <c r="AM9" s="8">
        <f>(200*AD9*AE9)/60000</f>
        <v>1.2781402812399496</v>
      </c>
      <c r="AN9" s="8">
        <f t="shared" si="28"/>
        <v>3.82</v>
      </c>
      <c r="AO9" s="8">
        <f t="shared" si="29"/>
        <v>1.875</v>
      </c>
      <c r="AP9" s="8">
        <f t="shared" si="30"/>
        <v>10.3125</v>
      </c>
      <c r="AQ9" s="8">
        <f t="shared" si="31"/>
        <v>977.7671999999999</v>
      </c>
      <c r="AR9" s="8">
        <f t="shared" si="32"/>
        <v>40913.607375402855</v>
      </c>
    </row>
    <row r="10" spans="1:44" ht="12.75">
      <c r="A10" t="s">
        <v>57</v>
      </c>
      <c r="B10">
        <v>12.92</v>
      </c>
      <c r="C10">
        <v>0</v>
      </c>
      <c r="D10">
        <v>0.5</v>
      </c>
      <c r="E10" s="1">
        <v>20.62</v>
      </c>
      <c r="F10" s="1">
        <v>6.46</v>
      </c>
      <c r="G10" s="1">
        <f>C10*60</f>
        <v>0</v>
      </c>
      <c r="H10" s="1"/>
      <c r="I10" s="8">
        <f t="shared" si="0"/>
        <v>28.372</v>
      </c>
      <c r="J10" s="8">
        <f t="shared" si="1"/>
        <v>0.21959752321981427</v>
      </c>
      <c r="K10" s="8">
        <f t="shared" si="2"/>
        <v>0.43919504643962853</v>
      </c>
      <c r="L10" s="1">
        <f t="shared" si="3"/>
        <v>12</v>
      </c>
      <c r="M10" s="1">
        <f t="shared" si="4"/>
        <v>16</v>
      </c>
      <c r="N10" s="1">
        <f t="shared" si="5"/>
        <v>6</v>
      </c>
      <c r="O10" s="1">
        <f t="shared" si="6"/>
        <v>8</v>
      </c>
      <c r="P10" s="8">
        <f t="shared" si="7"/>
        <v>75</v>
      </c>
      <c r="Q10" s="8">
        <f t="shared" si="8"/>
        <v>133.33333333333331</v>
      </c>
      <c r="R10" s="2">
        <v>300</v>
      </c>
      <c r="S10" s="1">
        <f t="shared" si="9"/>
        <v>0.8</v>
      </c>
      <c r="T10" s="8">
        <f t="shared" si="10"/>
        <v>33.0232</v>
      </c>
      <c r="U10" s="8">
        <f t="shared" si="11"/>
        <v>16.5116</v>
      </c>
      <c r="V10" s="8">
        <f t="shared" si="12"/>
        <v>16.5116</v>
      </c>
      <c r="W10" s="8">
        <f t="shared" si="13"/>
        <v>16.5116</v>
      </c>
      <c r="X10" s="8">
        <f t="shared" si="14"/>
        <v>109.91948400000003</v>
      </c>
      <c r="Y10" s="8">
        <f t="shared" si="15"/>
        <v>9.69</v>
      </c>
      <c r="Z10" s="8">
        <f t="shared" si="16"/>
        <v>7.1899999999999995</v>
      </c>
      <c r="AA10" s="8">
        <f t="shared" si="17"/>
        <v>0.15</v>
      </c>
      <c r="AB10" s="8">
        <f t="shared" si="18"/>
        <v>546.9</v>
      </c>
      <c r="AC10" s="8">
        <f t="shared" si="19"/>
        <v>2679.819199122326</v>
      </c>
      <c r="AD10" s="8">
        <f t="shared" si="20"/>
        <v>10.600043773301724</v>
      </c>
      <c r="AE10" s="8">
        <f t="shared" si="21"/>
        <v>15.900065659952586</v>
      </c>
      <c r="AF10" s="8">
        <f t="shared" si="22"/>
        <v>8.750143343635198</v>
      </c>
      <c r="AG10" s="8">
        <f t="shared" si="23"/>
        <v>17.500286687270396</v>
      </c>
      <c r="AH10" s="8">
        <f t="shared" si="24"/>
        <v>1.6171103031832812</v>
      </c>
      <c r="AI10" s="8">
        <f t="shared" si="25"/>
        <v>2.6921813961077636</v>
      </c>
      <c r="AJ10" s="8">
        <f t="shared" si="26"/>
        <v>0.16931888544891655</v>
      </c>
      <c r="AK10" s="8">
        <f t="shared" si="27"/>
        <v>1.6783423129383566</v>
      </c>
      <c r="AL10" s="8">
        <f aca="true" t="shared" si="33" ref="AL10:AL16">(3*(4000^0.5)*AD10*Z10)/60000</f>
        <v>0.2410108248558454</v>
      </c>
      <c r="AM10" s="8">
        <f aca="true" t="shared" si="34" ref="AM10:AM16">(200*AD10*Z10)/60000</f>
        <v>0.25404771576679797</v>
      </c>
      <c r="AN10" s="8">
        <f t="shared" si="28"/>
        <v>1.68</v>
      </c>
      <c r="AO10" s="8">
        <f t="shared" si="29"/>
        <v>1.875</v>
      </c>
      <c r="AP10" s="8">
        <f t="shared" si="30"/>
        <v>10.3125</v>
      </c>
      <c r="AQ10" s="8">
        <f t="shared" si="31"/>
        <v>260.4672</v>
      </c>
      <c r="AR10" s="8">
        <f t="shared" si="32"/>
        <v>6064.25960260086</v>
      </c>
    </row>
    <row r="11" spans="1:44" ht="12.75">
      <c r="A11" t="s">
        <v>59</v>
      </c>
      <c r="B11">
        <v>18</v>
      </c>
      <c r="C11">
        <v>0</v>
      </c>
      <c r="D11">
        <v>0.5</v>
      </c>
      <c r="E11" s="1">
        <v>27.01</v>
      </c>
      <c r="F11" s="1">
        <v>9</v>
      </c>
      <c r="G11" s="1">
        <v>0</v>
      </c>
      <c r="H11" s="1"/>
      <c r="I11" s="8">
        <f t="shared" si="0"/>
        <v>37.81</v>
      </c>
      <c r="J11" s="8">
        <f t="shared" si="1"/>
        <v>0.21005555555555558</v>
      </c>
      <c r="K11" s="8">
        <f t="shared" si="2"/>
        <v>0.42011111111111116</v>
      </c>
      <c r="L11" s="1">
        <f t="shared" si="3"/>
        <v>17</v>
      </c>
      <c r="M11" s="1">
        <f t="shared" si="4"/>
        <v>22</v>
      </c>
      <c r="N11" s="1">
        <f t="shared" si="5"/>
        <v>9</v>
      </c>
      <c r="O11" s="1">
        <f t="shared" si="6"/>
        <v>11</v>
      </c>
      <c r="P11" s="8">
        <f t="shared" si="7"/>
        <v>159.375</v>
      </c>
      <c r="Q11" s="8">
        <f t="shared" si="8"/>
        <v>252.08333333333331</v>
      </c>
      <c r="R11" s="2">
        <v>300</v>
      </c>
      <c r="S11" s="1">
        <f t="shared" si="9"/>
        <v>0.8</v>
      </c>
      <c r="T11" s="8">
        <f t="shared" si="10"/>
        <v>44.290000000000006</v>
      </c>
      <c r="U11" s="8">
        <f t="shared" si="11"/>
        <v>22.145000000000007</v>
      </c>
      <c r="V11" s="8">
        <f t="shared" si="12"/>
        <v>22.145</v>
      </c>
      <c r="W11" s="8">
        <f t="shared" si="13"/>
        <v>22.145000000000007</v>
      </c>
      <c r="X11" s="8">
        <f t="shared" si="14"/>
        <v>201.75750000000008</v>
      </c>
      <c r="Y11" s="8">
        <f t="shared" si="15"/>
        <v>13.5</v>
      </c>
      <c r="Z11" s="8">
        <f t="shared" si="16"/>
        <v>11</v>
      </c>
      <c r="AA11" s="8">
        <f t="shared" si="17"/>
        <v>0.15</v>
      </c>
      <c r="AB11" s="8">
        <f t="shared" si="18"/>
        <v>546.9</v>
      </c>
      <c r="AC11" s="8">
        <f t="shared" si="19"/>
        <v>4918.815139879322</v>
      </c>
      <c r="AD11" s="8">
        <f t="shared" si="20"/>
        <v>12.978544613480086</v>
      </c>
      <c r="AE11" s="8">
        <f t="shared" si="21"/>
        <v>19.46781692022013</v>
      </c>
      <c r="AF11" s="8">
        <f t="shared" si="22"/>
        <v>10.713552527561118</v>
      </c>
      <c r="AG11" s="8">
        <f t="shared" si="23"/>
        <v>21.427105055122237</v>
      </c>
      <c r="AH11" s="8">
        <f t="shared" si="24"/>
        <v>2.4242439219308025</v>
      </c>
      <c r="AI11" s="8">
        <f t="shared" si="25"/>
        <v>3.2962690630552314</v>
      </c>
      <c r="AJ11" s="8">
        <f t="shared" si="26"/>
        <v>0.16931888544891655</v>
      </c>
      <c r="AK11" s="8">
        <f t="shared" si="27"/>
        <v>2.516038110109644</v>
      </c>
      <c r="AL11" s="8">
        <f t="shared" si="33"/>
        <v>0.4514593786197739</v>
      </c>
      <c r="AM11" s="8">
        <f t="shared" si="34"/>
        <v>0.47587996916093644</v>
      </c>
      <c r="AN11" s="8">
        <f t="shared" si="28"/>
        <v>2.52</v>
      </c>
      <c r="AO11" s="8">
        <f t="shared" si="29"/>
        <v>1.875</v>
      </c>
      <c r="AP11" s="8">
        <f t="shared" si="30"/>
        <v>10.3125</v>
      </c>
      <c r="AQ11" s="8">
        <f t="shared" si="31"/>
        <v>544.32</v>
      </c>
      <c r="AR11" s="8">
        <f t="shared" si="32"/>
        <v>21025.24227383774</v>
      </c>
    </row>
    <row r="12" spans="1:44" ht="12.75">
      <c r="A12" t="s">
        <v>62</v>
      </c>
      <c r="B12">
        <v>18</v>
      </c>
      <c r="C12">
        <v>0</v>
      </c>
      <c r="D12">
        <v>0.5</v>
      </c>
      <c r="E12" s="1">
        <v>27.01</v>
      </c>
      <c r="F12" s="1">
        <v>9</v>
      </c>
      <c r="G12" s="1">
        <v>0</v>
      </c>
      <c r="H12" s="1"/>
      <c r="I12" s="8">
        <f t="shared" si="0"/>
        <v>37.81</v>
      </c>
      <c r="J12" s="8">
        <f t="shared" si="1"/>
        <v>0.21005555555555558</v>
      </c>
      <c r="K12" s="8">
        <f t="shared" si="2"/>
        <v>0.42011111111111116</v>
      </c>
      <c r="L12" s="1">
        <f t="shared" si="3"/>
        <v>17</v>
      </c>
      <c r="M12" s="1">
        <f t="shared" si="4"/>
        <v>22</v>
      </c>
      <c r="N12" s="1">
        <f t="shared" si="5"/>
        <v>9</v>
      </c>
      <c r="O12" s="1">
        <f t="shared" si="6"/>
        <v>11</v>
      </c>
      <c r="P12" s="8">
        <f t="shared" si="7"/>
        <v>159.375</v>
      </c>
      <c r="Q12" s="8">
        <f t="shared" si="8"/>
        <v>252.08333333333331</v>
      </c>
      <c r="R12" s="2">
        <v>300</v>
      </c>
      <c r="S12" s="1">
        <f t="shared" si="9"/>
        <v>0.8</v>
      </c>
      <c r="T12" s="8">
        <f t="shared" si="10"/>
        <v>44.290000000000006</v>
      </c>
      <c r="U12" s="8">
        <f t="shared" si="11"/>
        <v>22.145000000000007</v>
      </c>
      <c r="V12" s="8">
        <f t="shared" si="12"/>
        <v>22.145</v>
      </c>
      <c r="W12" s="8">
        <f t="shared" si="13"/>
        <v>22.145000000000007</v>
      </c>
      <c r="X12" s="8">
        <f t="shared" si="14"/>
        <v>201.75750000000008</v>
      </c>
      <c r="Y12" s="8">
        <f t="shared" si="15"/>
        <v>13.5</v>
      </c>
      <c r="Z12" s="8">
        <f t="shared" si="16"/>
        <v>11</v>
      </c>
      <c r="AA12" s="8">
        <f t="shared" si="17"/>
        <v>0.15</v>
      </c>
      <c r="AB12" s="8">
        <f t="shared" si="18"/>
        <v>546.9</v>
      </c>
      <c r="AC12" s="8">
        <f t="shared" si="19"/>
        <v>4918.815139879322</v>
      </c>
      <c r="AD12" s="8">
        <f t="shared" si="20"/>
        <v>12.978544613480086</v>
      </c>
      <c r="AE12" s="8">
        <f t="shared" si="21"/>
        <v>19.46781692022013</v>
      </c>
      <c r="AF12" s="8">
        <f t="shared" si="22"/>
        <v>10.713552527561118</v>
      </c>
      <c r="AG12" s="8">
        <f t="shared" si="23"/>
        <v>21.427105055122237</v>
      </c>
      <c r="AH12" s="8">
        <f t="shared" si="24"/>
        <v>2.4242439219308025</v>
      </c>
      <c r="AI12" s="8">
        <f t="shared" si="25"/>
        <v>3.2962690630552314</v>
      </c>
      <c r="AJ12" s="8">
        <f t="shared" si="26"/>
        <v>0.16931888544891655</v>
      </c>
      <c r="AK12" s="8">
        <f t="shared" si="27"/>
        <v>2.516038110109644</v>
      </c>
      <c r="AL12" s="8">
        <f t="shared" si="33"/>
        <v>0.4514593786197739</v>
      </c>
      <c r="AM12" s="8">
        <f t="shared" si="34"/>
        <v>0.47587996916093644</v>
      </c>
      <c r="AN12" s="8">
        <f t="shared" si="28"/>
        <v>2.52</v>
      </c>
      <c r="AO12" s="8">
        <f t="shared" si="29"/>
        <v>1.875</v>
      </c>
      <c r="AP12" s="8">
        <f t="shared" si="30"/>
        <v>10.3125</v>
      </c>
      <c r="AQ12" s="8">
        <f t="shared" si="31"/>
        <v>544.32</v>
      </c>
      <c r="AR12" s="8">
        <f t="shared" si="32"/>
        <v>21025.24227383774</v>
      </c>
    </row>
    <row r="13" spans="1:44" ht="12.75">
      <c r="A13" t="s">
        <v>63</v>
      </c>
      <c r="B13">
        <v>18</v>
      </c>
      <c r="C13">
        <v>0</v>
      </c>
      <c r="D13">
        <v>0.5</v>
      </c>
      <c r="E13" s="1">
        <v>27.01</v>
      </c>
      <c r="F13" s="1">
        <v>9</v>
      </c>
      <c r="G13" s="1">
        <v>0</v>
      </c>
      <c r="H13" s="1"/>
      <c r="I13" s="8">
        <f t="shared" si="0"/>
        <v>37.81</v>
      </c>
      <c r="J13" s="8">
        <f t="shared" si="1"/>
        <v>0.21005555555555558</v>
      </c>
      <c r="K13" s="8">
        <f t="shared" si="2"/>
        <v>0.42011111111111116</v>
      </c>
      <c r="L13" s="1">
        <f t="shared" si="3"/>
        <v>17</v>
      </c>
      <c r="M13" s="1">
        <f t="shared" si="4"/>
        <v>22</v>
      </c>
      <c r="N13" s="1">
        <f t="shared" si="5"/>
        <v>9</v>
      </c>
      <c r="O13" s="1">
        <f t="shared" si="6"/>
        <v>11</v>
      </c>
      <c r="P13" s="8">
        <f t="shared" si="7"/>
        <v>159.375</v>
      </c>
      <c r="Q13" s="8">
        <f t="shared" si="8"/>
        <v>252.08333333333331</v>
      </c>
      <c r="R13" s="2">
        <v>300</v>
      </c>
      <c r="S13" s="1">
        <f t="shared" si="9"/>
        <v>0.8</v>
      </c>
      <c r="T13" s="8">
        <f t="shared" si="10"/>
        <v>44.290000000000006</v>
      </c>
      <c r="U13" s="8">
        <f t="shared" si="11"/>
        <v>22.145000000000007</v>
      </c>
      <c r="V13" s="8">
        <f t="shared" si="12"/>
        <v>22.145</v>
      </c>
      <c r="W13" s="8">
        <f t="shared" si="13"/>
        <v>22.145000000000007</v>
      </c>
      <c r="X13" s="8">
        <f t="shared" si="14"/>
        <v>201.75750000000008</v>
      </c>
      <c r="Y13" s="8">
        <f t="shared" si="15"/>
        <v>13.5</v>
      </c>
      <c r="Z13" s="8">
        <f t="shared" si="16"/>
        <v>11</v>
      </c>
      <c r="AA13" s="8">
        <f t="shared" si="17"/>
        <v>0.15</v>
      </c>
      <c r="AB13" s="8">
        <f t="shared" si="18"/>
        <v>546.9</v>
      </c>
      <c r="AC13" s="8">
        <f t="shared" si="19"/>
        <v>4918.815139879322</v>
      </c>
      <c r="AD13" s="8">
        <f t="shared" si="20"/>
        <v>12.978544613480086</v>
      </c>
      <c r="AE13" s="8">
        <f t="shared" si="21"/>
        <v>19.46781692022013</v>
      </c>
      <c r="AF13" s="8">
        <f t="shared" si="22"/>
        <v>10.713552527561118</v>
      </c>
      <c r="AG13" s="8">
        <f t="shared" si="23"/>
        <v>21.427105055122237</v>
      </c>
      <c r="AH13" s="8">
        <f t="shared" si="24"/>
        <v>2.4242439219308025</v>
      </c>
      <c r="AI13" s="8">
        <f t="shared" si="25"/>
        <v>3.2962690630552314</v>
      </c>
      <c r="AJ13" s="8">
        <f t="shared" si="26"/>
        <v>0.16931888544891655</v>
      </c>
      <c r="AK13" s="8">
        <f t="shared" si="27"/>
        <v>2.516038110109644</v>
      </c>
      <c r="AL13" s="8">
        <f t="shared" si="33"/>
        <v>0.4514593786197739</v>
      </c>
      <c r="AM13" s="8">
        <f t="shared" si="34"/>
        <v>0.47587996916093644</v>
      </c>
      <c r="AN13" s="8">
        <f t="shared" si="28"/>
        <v>2.52</v>
      </c>
      <c r="AO13" s="8">
        <f t="shared" si="29"/>
        <v>1.875</v>
      </c>
      <c r="AP13" s="8">
        <f t="shared" si="30"/>
        <v>10.3125</v>
      </c>
      <c r="AQ13" s="8">
        <f t="shared" si="31"/>
        <v>544.32</v>
      </c>
      <c r="AR13" s="8">
        <f t="shared" si="32"/>
        <v>21025.24227383774</v>
      </c>
    </row>
    <row r="14" spans="1:44" ht="12.75">
      <c r="A14" t="s">
        <v>64</v>
      </c>
      <c r="B14">
        <v>18</v>
      </c>
      <c r="C14">
        <v>0</v>
      </c>
      <c r="D14">
        <v>0.5</v>
      </c>
      <c r="E14" s="1">
        <v>27.01</v>
      </c>
      <c r="F14" s="1">
        <v>9</v>
      </c>
      <c r="G14" s="1">
        <v>0</v>
      </c>
      <c r="H14" s="1"/>
      <c r="I14" s="8">
        <f t="shared" si="0"/>
        <v>37.81</v>
      </c>
      <c r="J14" s="8">
        <f t="shared" si="1"/>
        <v>0.21005555555555558</v>
      </c>
      <c r="K14" s="8">
        <f t="shared" si="2"/>
        <v>0.42011111111111116</v>
      </c>
      <c r="L14" s="1">
        <f t="shared" si="3"/>
        <v>17</v>
      </c>
      <c r="M14" s="1">
        <f t="shared" si="4"/>
        <v>22</v>
      </c>
      <c r="N14" s="1">
        <f t="shared" si="5"/>
        <v>9</v>
      </c>
      <c r="O14" s="1">
        <f t="shared" si="6"/>
        <v>11</v>
      </c>
      <c r="P14" s="8">
        <f t="shared" si="7"/>
        <v>159.375</v>
      </c>
      <c r="Q14" s="8">
        <f t="shared" si="8"/>
        <v>252.08333333333331</v>
      </c>
      <c r="R14" s="2">
        <v>300</v>
      </c>
      <c r="S14" s="1">
        <f t="shared" si="9"/>
        <v>0.8</v>
      </c>
      <c r="T14" s="8">
        <f t="shared" si="10"/>
        <v>44.290000000000006</v>
      </c>
      <c r="U14" s="8">
        <f t="shared" si="11"/>
        <v>22.145000000000007</v>
      </c>
      <c r="V14" s="8">
        <f t="shared" si="12"/>
        <v>22.145</v>
      </c>
      <c r="W14" s="8">
        <f t="shared" si="13"/>
        <v>22.145000000000007</v>
      </c>
      <c r="X14" s="8">
        <f t="shared" si="14"/>
        <v>201.75750000000008</v>
      </c>
      <c r="Y14" s="8">
        <f t="shared" si="15"/>
        <v>13.5</v>
      </c>
      <c r="Z14" s="8">
        <f t="shared" si="16"/>
        <v>11</v>
      </c>
      <c r="AA14" s="8">
        <f t="shared" si="17"/>
        <v>0.15</v>
      </c>
      <c r="AB14" s="8">
        <f t="shared" si="18"/>
        <v>546.9</v>
      </c>
      <c r="AC14" s="8">
        <f t="shared" si="19"/>
        <v>4918.815139879322</v>
      </c>
      <c r="AD14" s="8">
        <f t="shared" si="20"/>
        <v>12.978544613480086</v>
      </c>
      <c r="AE14" s="8">
        <f t="shared" si="21"/>
        <v>19.46781692022013</v>
      </c>
      <c r="AF14" s="8">
        <f t="shared" si="22"/>
        <v>10.713552527561118</v>
      </c>
      <c r="AG14" s="8">
        <f t="shared" si="23"/>
        <v>21.427105055122237</v>
      </c>
      <c r="AH14" s="8">
        <f t="shared" si="24"/>
        <v>2.4242439219308025</v>
      </c>
      <c r="AI14" s="8">
        <f t="shared" si="25"/>
        <v>3.2962690630552314</v>
      </c>
      <c r="AJ14" s="8">
        <f t="shared" si="26"/>
        <v>0.16931888544891655</v>
      </c>
      <c r="AK14" s="8">
        <f t="shared" si="27"/>
        <v>2.516038110109644</v>
      </c>
      <c r="AL14" s="8">
        <f t="shared" si="33"/>
        <v>0.4514593786197739</v>
      </c>
      <c r="AM14" s="8">
        <f t="shared" si="34"/>
        <v>0.47587996916093644</v>
      </c>
      <c r="AN14" s="8">
        <f t="shared" si="28"/>
        <v>2.52</v>
      </c>
      <c r="AO14" s="8">
        <f t="shared" si="29"/>
        <v>1.875</v>
      </c>
      <c r="AP14" s="8">
        <f t="shared" si="30"/>
        <v>10.3125</v>
      </c>
      <c r="AQ14" s="8">
        <f t="shared" si="31"/>
        <v>544.32</v>
      </c>
      <c r="AR14" s="8">
        <f t="shared" si="32"/>
        <v>21025.24227383774</v>
      </c>
    </row>
    <row r="15" spans="1:44" ht="12.75">
      <c r="A15" t="s">
        <v>60</v>
      </c>
      <c r="B15">
        <v>14.16</v>
      </c>
      <c r="C15">
        <v>0</v>
      </c>
      <c r="D15">
        <v>0.5</v>
      </c>
      <c r="E15" s="1">
        <v>15.76</v>
      </c>
      <c r="F15" s="1">
        <v>7.08</v>
      </c>
      <c r="G15" s="1">
        <v>0</v>
      </c>
      <c r="H15" s="1"/>
      <c r="I15" s="8">
        <f t="shared" si="0"/>
        <v>24.256</v>
      </c>
      <c r="J15" s="8">
        <f t="shared" si="1"/>
        <v>0.1712994350282486</v>
      </c>
      <c r="K15" s="8">
        <f t="shared" si="2"/>
        <v>0.3425988700564972</v>
      </c>
      <c r="L15" s="1">
        <f t="shared" si="3"/>
        <v>14</v>
      </c>
      <c r="M15" s="1">
        <f t="shared" si="4"/>
        <v>17</v>
      </c>
      <c r="N15" s="1">
        <f t="shared" si="5"/>
        <v>7</v>
      </c>
      <c r="O15" s="1">
        <f t="shared" si="6"/>
        <v>9</v>
      </c>
      <c r="P15" s="8">
        <f t="shared" si="7"/>
        <v>102.08333333333336</v>
      </c>
      <c r="Q15" s="8">
        <f t="shared" si="8"/>
        <v>159.375</v>
      </c>
      <c r="R15" s="2">
        <v>300</v>
      </c>
      <c r="S15" s="1">
        <f t="shared" si="9"/>
        <v>0.8</v>
      </c>
      <c r="T15" s="8">
        <f t="shared" si="10"/>
        <v>29.3536</v>
      </c>
      <c r="U15" s="8">
        <f t="shared" si="11"/>
        <v>14.6768</v>
      </c>
      <c r="V15" s="8">
        <f t="shared" si="12"/>
        <v>14.6768</v>
      </c>
      <c r="W15" s="8">
        <f t="shared" si="13"/>
        <v>14.6768</v>
      </c>
      <c r="X15" s="8">
        <f t="shared" si="14"/>
        <v>95.71593599999999</v>
      </c>
      <c r="Y15" s="8">
        <f t="shared" si="15"/>
        <v>10.620000000000001</v>
      </c>
      <c r="Z15" s="8">
        <f t="shared" si="16"/>
        <v>8.120000000000001</v>
      </c>
      <c r="AA15" s="8">
        <f t="shared" si="17"/>
        <v>0.15</v>
      </c>
      <c r="AB15" s="8">
        <f t="shared" si="18"/>
        <v>546.9</v>
      </c>
      <c r="AC15" s="8">
        <f t="shared" si="19"/>
        <v>2333.539001645639</v>
      </c>
      <c r="AD15" s="8">
        <f t="shared" si="20"/>
        <v>10.12226062614767</v>
      </c>
      <c r="AE15" s="8">
        <f t="shared" si="21"/>
        <v>15.183390939221503</v>
      </c>
      <c r="AF15" s="8">
        <f t="shared" si="22"/>
        <v>8.355742045472544</v>
      </c>
      <c r="AG15" s="8">
        <f t="shared" si="23"/>
        <v>16.71148409094509</v>
      </c>
      <c r="AH15" s="8">
        <f t="shared" si="24"/>
        <v>1.4746174106432464</v>
      </c>
      <c r="AI15" s="8">
        <f t="shared" si="25"/>
        <v>2.570834831164163</v>
      </c>
      <c r="AJ15" s="8">
        <f t="shared" si="26"/>
        <v>0.16931888544891652</v>
      </c>
      <c r="AK15" s="8">
        <f t="shared" si="27"/>
        <v>1.530453915732459</v>
      </c>
      <c r="AL15" s="8">
        <f t="shared" si="33"/>
        <v>0.25991631702556645</v>
      </c>
      <c r="AM15" s="8">
        <f t="shared" si="34"/>
        <v>0.27397585428106364</v>
      </c>
      <c r="AN15" s="8">
        <f t="shared" si="28"/>
        <v>1.53</v>
      </c>
      <c r="AO15" s="8">
        <f t="shared" si="29"/>
        <v>1.875</v>
      </c>
      <c r="AP15" s="8">
        <f t="shared" si="30"/>
        <v>10.3125</v>
      </c>
      <c r="AQ15" s="8">
        <f t="shared" si="31"/>
        <v>259.97760000000005</v>
      </c>
      <c r="AR15" s="8">
        <f t="shared" si="32"/>
        <v>7946.282308248958</v>
      </c>
    </row>
    <row r="16" spans="1:44" ht="12.75" customHeight="1">
      <c r="A16" t="s">
        <v>61</v>
      </c>
      <c r="B16">
        <v>14.16</v>
      </c>
      <c r="C16">
        <v>0</v>
      </c>
      <c r="D16">
        <v>0.5</v>
      </c>
      <c r="E16" s="1">
        <v>15.76</v>
      </c>
      <c r="F16" s="1">
        <v>7.08</v>
      </c>
      <c r="G16" s="1">
        <v>0</v>
      </c>
      <c r="H16" s="1"/>
      <c r="I16" s="8">
        <f t="shared" si="0"/>
        <v>24.256</v>
      </c>
      <c r="J16" s="8">
        <f t="shared" si="1"/>
        <v>0.1712994350282486</v>
      </c>
      <c r="K16" s="8">
        <f t="shared" si="2"/>
        <v>0.3425988700564972</v>
      </c>
      <c r="L16" s="1">
        <f t="shared" si="3"/>
        <v>14</v>
      </c>
      <c r="M16" s="1">
        <f t="shared" si="4"/>
        <v>17</v>
      </c>
      <c r="N16" s="1">
        <f t="shared" si="5"/>
        <v>7</v>
      </c>
      <c r="O16" s="1">
        <f t="shared" si="6"/>
        <v>9</v>
      </c>
      <c r="P16" s="8">
        <f t="shared" si="7"/>
        <v>102.08333333333336</v>
      </c>
      <c r="Q16" s="8">
        <f t="shared" si="8"/>
        <v>159.375</v>
      </c>
      <c r="R16" s="2">
        <v>300</v>
      </c>
      <c r="S16" s="1">
        <f t="shared" si="9"/>
        <v>0.8</v>
      </c>
      <c r="T16" s="8">
        <f t="shared" si="10"/>
        <v>29.3536</v>
      </c>
      <c r="U16" s="8">
        <f t="shared" si="11"/>
        <v>14.6768</v>
      </c>
      <c r="V16" s="8">
        <f t="shared" si="12"/>
        <v>14.6768</v>
      </c>
      <c r="W16" s="8">
        <f t="shared" si="13"/>
        <v>14.6768</v>
      </c>
      <c r="X16" s="8">
        <f t="shared" si="14"/>
        <v>95.71593599999999</v>
      </c>
      <c r="Y16" s="8">
        <f t="shared" si="15"/>
        <v>10.620000000000001</v>
      </c>
      <c r="Z16" s="8">
        <f t="shared" si="16"/>
        <v>8.120000000000001</v>
      </c>
      <c r="AA16" s="8">
        <f t="shared" si="17"/>
        <v>0.15</v>
      </c>
      <c r="AB16" s="8">
        <f t="shared" si="18"/>
        <v>546.9</v>
      </c>
      <c r="AC16" s="8">
        <f t="shared" si="19"/>
        <v>2333.539001645639</v>
      </c>
      <c r="AD16" s="8">
        <f t="shared" si="20"/>
        <v>10.12226062614767</v>
      </c>
      <c r="AE16" s="8">
        <f t="shared" si="21"/>
        <v>15.183390939221503</v>
      </c>
      <c r="AF16" s="8">
        <f t="shared" si="22"/>
        <v>8.355742045472544</v>
      </c>
      <c r="AG16" s="8">
        <f t="shared" si="23"/>
        <v>16.71148409094509</v>
      </c>
      <c r="AH16" s="8">
        <f t="shared" si="24"/>
        <v>1.4746174106432464</v>
      </c>
      <c r="AI16" s="8">
        <f t="shared" si="25"/>
        <v>2.570834831164163</v>
      </c>
      <c r="AJ16" s="8">
        <f t="shared" si="26"/>
        <v>0.16931888544891652</v>
      </c>
      <c r="AK16" s="8">
        <f t="shared" si="27"/>
        <v>1.530453915732459</v>
      </c>
      <c r="AL16" s="8">
        <f t="shared" si="33"/>
        <v>0.25991631702556645</v>
      </c>
      <c r="AM16" s="8">
        <f t="shared" si="34"/>
        <v>0.27397585428106364</v>
      </c>
      <c r="AN16" s="8">
        <f t="shared" si="28"/>
        <v>1.53</v>
      </c>
      <c r="AO16" s="8">
        <f t="shared" si="29"/>
        <v>1.875</v>
      </c>
      <c r="AP16" s="8">
        <f t="shared" si="30"/>
        <v>10.3125</v>
      </c>
      <c r="AQ16" s="8">
        <f t="shared" si="31"/>
        <v>259.97760000000005</v>
      </c>
      <c r="AR16" s="8">
        <f t="shared" si="32"/>
        <v>7946.282308248958</v>
      </c>
    </row>
    <row r="17" spans="5:44" ht="12.75">
      <c r="E17" s="1"/>
      <c r="F17" s="1"/>
      <c r="G17" s="1"/>
      <c r="H17" s="1"/>
      <c r="I17" s="8"/>
      <c r="J17" s="8"/>
      <c r="K17" s="8"/>
      <c r="L17" s="1"/>
      <c r="M17" s="1"/>
      <c r="N17" s="1"/>
      <c r="O17" s="1"/>
      <c r="P17" s="8"/>
      <c r="Q17" s="8"/>
      <c r="R17" s="2"/>
      <c r="S17" s="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5:44" ht="12.75">
      <c r="E18" s="1"/>
      <c r="F18" s="1"/>
      <c r="G18" s="1"/>
      <c r="H18" s="1"/>
      <c r="I18" s="8"/>
      <c r="J18" s="8"/>
      <c r="K18" s="8"/>
      <c r="L18" s="1"/>
      <c r="M18" s="1"/>
      <c r="N18" s="1"/>
      <c r="O18" s="1"/>
      <c r="P18" s="8"/>
      <c r="Q18" s="8"/>
      <c r="R18" s="2"/>
      <c r="S18" s="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2.75">
      <c r="A19" t="s">
        <v>65</v>
      </c>
      <c r="B19">
        <v>20.75</v>
      </c>
      <c r="C19">
        <v>0</v>
      </c>
      <c r="D19">
        <v>0.5</v>
      </c>
      <c r="E19" s="1">
        <v>42.36</v>
      </c>
      <c r="F19" s="1">
        <v>9.38</v>
      </c>
      <c r="G19" s="1">
        <v>0</v>
      </c>
      <c r="H19" s="1"/>
      <c r="I19" s="8">
        <f aca="true" t="shared" si="35" ref="I19:I33">(1.2*D19*B19)+E19+G19</f>
        <v>54.81</v>
      </c>
      <c r="J19" s="8">
        <f aca="true" t="shared" si="36" ref="J19:J33">(0.1*I19)/B19</f>
        <v>0.26414457831325305</v>
      </c>
      <c r="K19" s="8">
        <f aca="true" t="shared" si="37" ref="K19:K33">(0.2*I19)/B19</f>
        <v>0.5282891566265061</v>
      </c>
      <c r="L19" s="1">
        <f aca="true" t="shared" si="38" ref="L19:L33">ROUND(((0.08*B19)*12),0)</f>
        <v>20</v>
      </c>
      <c r="M19" s="1">
        <f aca="true" t="shared" si="39" ref="M19:M33">ROUND(((0.1*B19)*12),0)</f>
        <v>25</v>
      </c>
      <c r="N19" s="1">
        <f aca="true" t="shared" si="40" ref="N19:N33">ROUND((0.5*L19),0)</f>
        <v>10</v>
      </c>
      <c r="O19" s="1">
        <f aca="true" t="shared" si="41" ref="O19:O33">ROUND((0.5*M19),0)</f>
        <v>13</v>
      </c>
      <c r="P19" s="8">
        <f aca="true" t="shared" si="42" ref="P19:P33">(N19/12)*(L19/12)*150</f>
        <v>208.33333333333337</v>
      </c>
      <c r="Q19" s="8">
        <f aca="true" t="shared" si="43" ref="Q19:Q33">(O19/12)*(M19/12)*150</f>
        <v>338.5416666666667</v>
      </c>
      <c r="R19" s="2">
        <v>300</v>
      </c>
      <c r="S19" s="1">
        <f aca="true" t="shared" si="44" ref="S19:S33">D19+(R19/1000)</f>
        <v>0.8</v>
      </c>
      <c r="T19" s="8">
        <f aca="true" t="shared" si="45" ref="T19:T33">(1.2*S19*B19)+E19+G19</f>
        <v>62.28</v>
      </c>
      <c r="U19" s="8">
        <f aca="true" t="shared" si="46" ref="U19:U33">T19-V19</f>
        <v>33.17123855421687</v>
      </c>
      <c r="V19" s="8">
        <f aca="true" t="shared" si="47" ref="V19:V33">((E19*F19)+(G19*H19)+((1.2*S19)*B19*(0.5*B19)))/B19</f>
        <v>29.10876144578313</v>
      </c>
      <c r="W19" s="8">
        <f aca="true" t="shared" si="48" ref="W19:W33">MAX(U19:V19)</f>
        <v>33.17123855421687</v>
      </c>
      <c r="X19" s="8">
        <f aca="true" t="shared" si="49" ref="X19:X33">(((U19-((S19)*F19))*F19)/2)+(F19*(U19-((S19)*F19)))</f>
        <v>361.13804645783136</v>
      </c>
      <c r="Y19" s="8">
        <f aca="true" t="shared" si="50" ref="Y19:Y33">(B19/16)*12</f>
        <v>15.5625</v>
      </c>
      <c r="Z19" s="8">
        <f aca="true" t="shared" si="51" ref="Z19:Z33">Y19-2.5</f>
        <v>13.0625</v>
      </c>
      <c r="AA19" s="8">
        <f aca="true" t="shared" si="52" ref="AA19:AA33">(60000/4000)*0.01</f>
        <v>0.15</v>
      </c>
      <c r="AB19" s="8">
        <f aca="true" t="shared" si="53" ref="AB19:AB33">4000*AA19*(1-(0.59*AA19))</f>
        <v>546.9</v>
      </c>
      <c r="AC19" s="8">
        <f aca="true" t="shared" si="54" ref="AC19:AC33">(12000*X19)/(AB19*0.9)</f>
        <v>8804.487022803227</v>
      </c>
      <c r="AD19" s="8">
        <f aca="true" t="shared" si="55" ref="AD19:AD33">(AC19/2.25)^(1/3)</f>
        <v>15.75822074373445</v>
      </c>
      <c r="AE19" s="8">
        <f aca="true" t="shared" si="56" ref="AE19:AE33">AD19*(1.5)</f>
        <v>23.637331115601675</v>
      </c>
      <c r="AF19" s="8">
        <f aca="true" t="shared" si="57" ref="AF19:AF33">(AC19/4)^(1/3)</f>
        <v>13.008124616958337</v>
      </c>
      <c r="AG19" s="8">
        <f aca="true" t="shared" si="58" ref="AG19:AG33">AF19*2</f>
        <v>26.016249233916675</v>
      </c>
      <c r="AH19" s="8">
        <f aca="true" t="shared" si="59" ref="AH19:AH33">(X19*12000)/(0.9*60000*0.95*AE19)</f>
        <v>3.573869469458396</v>
      </c>
      <c r="AI19" s="8">
        <f aca="true" t="shared" si="60" ref="AI19:AI33">(AH19*60000)/(0.85*4000*AD19)</f>
        <v>4.002246559480672</v>
      </c>
      <c r="AJ19" s="8">
        <f aca="true" t="shared" si="61" ref="AJ19:AJ33">AI19/AE19</f>
        <v>0.1693188854489166</v>
      </c>
      <c r="AK19" s="8">
        <f aca="true" t="shared" si="62" ref="AK19:AK33">(X19*12000)/(0.9*60000*(AE19-(AI19/2)))</f>
        <v>3.7091943200801913</v>
      </c>
      <c r="AL19" s="8">
        <f aca="true" t="shared" si="63" ref="AL19:AL33">(3*(4000^0.5)*AD19*Z19)/60000</f>
        <v>0.6509287943237437</v>
      </c>
      <c r="AM19" s="8">
        <f aca="true" t="shared" si="64" ref="AM19:AM33">(200*AD19*Z19)/60000</f>
        <v>0.6861391948834376</v>
      </c>
      <c r="AN19" s="8">
        <f aca="true" t="shared" si="65" ref="AN19:AN33">ROUND(MAX(AK19:AM19),2)</f>
        <v>3.71</v>
      </c>
      <c r="AO19" s="8">
        <f aca="true" t="shared" si="66" ref="AO19:AO33">1.875</f>
        <v>1.875</v>
      </c>
      <c r="AP19" s="8">
        <f aca="true" t="shared" si="67" ref="AP19:AP33">(540/(0.6*60))-(2.5*AO19)</f>
        <v>10.3125</v>
      </c>
      <c r="AQ19" s="8">
        <f aca="true" t="shared" si="68" ref="AQ19:AQ33">AN19*(B19*12)</f>
        <v>923.79</v>
      </c>
      <c r="AR19" s="8">
        <f aca="true" t="shared" si="69" ref="AR19:AR33">(Y19-6)*AD19*(12*B19)</f>
        <v>37521.308479628206</v>
      </c>
    </row>
    <row r="20" spans="1:44" ht="12.75">
      <c r="A20" t="s">
        <v>73</v>
      </c>
      <c r="B20">
        <v>13</v>
      </c>
      <c r="C20">
        <v>0</v>
      </c>
      <c r="D20">
        <v>0.5</v>
      </c>
      <c r="E20" s="1">
        <v>20.04</v>
      </c>
      <c r="F20" s="1">
        <v>6.5</v>
      </c>
      <c r="G20" s="1">
        <v>0</v>
      </c>
      <c r="H20" s="1"/>
      <c r="I20" s="8">
        <f t="shared" si="35"/>
        <v>27.84</v>
      </c>
      <c r="J20" s="8">
        <f t="shared" si="36"/>
        <v>0.21415384615384617</v>
      </c>
      <c r="K20" s="8">
        <f t="shared" si="37"/>
        <v>0.42830769230769233</v>
      </c>
      <c r="L20" s="1">
        <f t="shared" si="38"/>
        <v>12</v>
      </c>
      <c r="M20" s="1">
        <f t="shared" si="39"/>
        <v>16</v>
      </c>
      <c r="N20" s="1">
        <f t="shared" si="40"/>
        <v>6</v>
      </c>
      <c r="O20" s="1">
        <f t="shared" si="41"/>
        <v>8</v>
      </c>
      <c r="P20" s="8">
        <f t="shared" si="42"/>
        <v>75</v>
      </c>
      <c r="Q20" s="8">
        <f t="shared" si="43"/>
        <v>133.33333333333331</v>
      </c>
      <c r="R20" s="2">
        <v>300</v>
      </c>
      <c r="S20" s="1">
        <f t="shared" si="44"/>
        <v>0.8</v>
      </c>
      <c r="T20" s="8">
        <f t="shared" si="45"/>
        <v>32.519999999999996</v>
      </c>
      <c r="U20" s="8">
        <f t="shared" si="46"/>
        <v>16.259999999999998</v>
      </c>
      <c r="V20" s="8">
        <f t="shared" si="47"/>
        <v>16.259999999999998</v>
      </c>
      <c r="W20" s="8">
        <f t="shared" si="48"/>
        <v>16.259999999999998</v>
      </c>
      <c r="X20" s="8">
        <f t="shared" si="49"/>
        <v>107.83499999999998</v>
      </c>
      <c r="Y20" s="8">
        <f t="shared" si="50"/>
        <v>9.75</v>
      </c>
      <c r="Z20" s="8">
        <f t="shared" si="51"/>
        <v>7.25</v>
      </c>
      <c r="AA20" s="8">
        <f t="shared" si="52"/>
        <v>0.15</v>
      </c>
      <c r="AB20" s="8">
        <f t="shared" si="53"/>
        <v>546.9</v>
      </c>
      <c r="AC20" s="8">
        <f t="shared" si="54"/>
        <v>2628.9998171512157</v>
      </c>
      <c r="AD20" s="8">
        <f t="shared" si="55"/>
        <v>10.532610220906292</v>
      </c>
      <c r="AE20" s="8">
        <f t="shared" si="56"/>
        <v>15.798915331359439</v>
      </c>
      <c r="AF20" s="8">
        <f t="shared" si="57"/>
        <v>8.694478172599133</v>
      </c>
      <c r="AG20" s="8">
        <f t="shared" si="58"/>
        <v>17.388956345198267</v>
      </c>
      <c r="AH20" s="8">
        <f t="shared" si="59"/>
        <v>1.5966008345800968</v>
      </c>
      <c r="AI20" s="8">
        <f t="shared" si="60"/>
        <v>2.675054735207579</v>
      </c>
      <c r="AJ20" s="8">
        <f t="shared" si="61"/>
        <v>0.1693188854489165</v>
      </c>
      <c r="AK20" s="8">
        <f t="shared" si="62"/>
        <v>1.65705625168153</v>
      </c>
      <c r="AL20" s="8">
        <f t="shared" si="63"/>
        <v>0.24147602553504</v>
      </c>
      <c r="AM20" s="8">
        <f t="shared" si="64"/>
        <v>0.25453808033856873</v>
      </c>
      <c r="AN20" s="8">
        <f t="shared" si="65"/>
        <v>1.66</v>
      </c>
      <c r="AO20" s="8">
        <f t="shared" si="66"/>
        <v>1.875</v>
      </c>
      <c r="AP20" s="8">
        <f t="shared" si="67"/>
        <v>10.3125</v>
      </c>
      <c r="AQ20" s="8">
        <f t="shared" si="68"/>
        <v>258.96</v>
      </c>
      <c r="AR20" s="8">
        <f t="shared" si="69"/>
        <v>6161.576979230181</v>
      </c>
    </row>
    <row r="21" spans="1:44" ht="12.75">
      <c r="A21" t="s">
        <v>66</v>
      </c>
      <c r="B21">
        <v>18</v>
      </c>
      <c r="C21">
        <v>0</v>
      </c>
      <c r="D21">
        <v>0.5</v>
      </c>
      <c r="E21" s="1">
        <v>37.05</v>
      </c>
      <c r="F21" s="1">
        <v>9</v>
      </c>
      <c r="G21" s="1">
        <v>0</v>
      </c>
      <c r="H21" s="1"/>
      <c r="I21" s="8">
        <f t="shared" si="35"/>
        <v>47.849999999999994</v>
      </c>
      <c r="J21" s="8">
        <f t="shared" si="36"/>
        <v>0.2658333333333333</v>
      </c>
      <c r="K21" s="8">
        <f t="shared" si="37"/>
        <v>0.5316666666666666</v>
      </c>
      <c r="L21" s="1">
        <f t="shared" si="38"/>
        <v>17</v>
      </c>
      <c r="M21" s="1">
        <f t="shared" si="39"/>
        <v>22</v>
      </c>
      <c r="N21" s="1">
        <f t="shared" si="40"/>
        <v>9</v>
      </c>
      <c r="O21" s="1">
        <f t="shared" si="41"/>
        <v>11</v>
      </c>
      <c r="P21" s="8">
        <f t="shared" si="42"/>
        <v>159.375</v>
      </c>
      <c r="Q21" s="8">
        <f t="shared" si="43"/>
        <v>252.08333333333331</v>
      </c>
      <c r="R21" s="2">
        <v>300</v>
      </c>
      <c r="S21" s="1">
        <f t="shared" si="44"/>
        <v>0.8</v>
      </c>
      <c r="T21" s="8">
        <f t="shared" si="45"/>
        <v>54.33</v>
      </c>
      <c r="U21" s="8">
        <f t="shared" si="46"/>
        <v>27.164999999999996</v>
      </c>
      <c r="V21" s="8">
        <f t="shared" si="47"/>
        <v>27.165000000000003</v>
      </c>
      <c r="W21" s="8">
        <f t="shared" si="48"/>
        <v>27.165000000000003</v>
      </c>
      <c r="X21" s="8">
        <f t="shared" si="49"/>
        <v>269.5275</v>
      </c>
      <c r="Y21" s="8">
        <f t="shared" si="50"/>
        <v>13.5</v>
      </c>
      <c r="Z21" s="8">
        <f t="shared" si="51"/>
        <v>11</v>
      </c>
      <c r="AA21" s="8">
        <f t="shared" si="52"/>
        <v>0.15</v>
      </c>
      <c r="AB21" s="8">
        <f t="shared" si="53"/>
        <v>546.9</v>
      </c>
      <c r="AC21" s="8">
        <f t="shared" si="54"/>
        <v>6571.036752605594</v>
      </c>
      <c r="AD21" s="8">
        <f t="shared" si="55"/>
        <v>14.29389078198879</v>
      </c>
      <c r="AE21" s="8">
        <f t="shared" si="56"/>
        <v>21.440836172983182</v>
      </c>
      <c r="AF21" s="8">
        <f t="shared" si="57"/>
        <v>11.799346866443125</v>
      </c>
      <c r="AG21" s="8">
        <f t="shared" si="58"/>
        <v>23.59869373288625</v>
      </c>
      <c r="AH21" s="8">
        <f t="shared" si="59"/>
        <v>2.9405275014645333</v>
      </c>
      <c r="AI21" s="8">
        <f t="shared" si="60"/>
        <v>3.6303384839023236</v>
      </c>
      <c r="AJ21" s="8">
        <f t="shared" si="61"/>
        <v>0.16931888544891646</v>
      </c>
      <c r="AK21" s="8">
        <f t="shared" si="62"/>
        <v>3.0518708082880113</v>
      </c>
      <c r="AL21" s="8">
        <f t="shared" si="63"/>
        <v>0.49721376646446863</v>
      </c>
      <c r="AM21" s="8">
        <f t="shared" si="64"/>
        <v>0.5241093286729223</v>
      </c>
      <c r="AN21" s="8">
        <f t="shared" si="65"/>
        <v>3.05</v>
      </c>
      <c r="AO21" s="8">
        <f t="shared" si="66"/>
        <v>1.875</v>
      </c>
      <c r="AP21" s="8">
        <f t="shared" si="67"/>
        <v>10.3125</v>
      </c>
      <c r="AQ21" s="8">
        <f t="shared" si="68"/>
        <v>658.8</v>
      </c>
      <c r="AR21" s="8">
        <f t="shared" si="69"/>
        <v>23156.10306682184</v>
      </c>
    </row>
    <row r="22" spans="1:44" ht="12.75">
      <c r="A22" t="s">
        <v>67</v>
      </c>
      <c r="B22">
        <v>11.42</v>
      </c>
      <c r="C22">
        <v>0</v>
      </c>
      <c r="D22">
        <v>0.5</v>
      </c>
      <c r="E22" s="1">
        <v>27.8</v>
      </c>
      <c r="F22" s="1">
        <v>5.71</v>
      </c>
      <c r="G22" s="1">
        <v>0</v>
      </c>
      <c r="H22" s="1"/>
      <c r="I22" s="8">
        <f t="shared" si="35"/>
        <v>34.652</v>
      </c>
      <c r="J22" s="8">
        <f t="shared" si="36"/>
        <v>0.30343257443082317</v>
      </c>
      <c r="K22" s="8">
        <f t="shared" si="37"/>
        <v>0.6068651488616463</v>
      </c>
      <c r="L22" s="1">
        <f t="shared" si="38"/>
        <v>11</v>
      </c>
      <c r="M22" s="1">
        <f t="shared" si="39"/>
        <v>14</v>
      </c>
      <c r="N22" s="1">
        <f t="shared" si="40"/>
        <v>6</v>
      </c>
      <c r="O22" s="1">
        <f t="shared" si="41"/>
        <v>7</v>
      </c>
      <c r="P22" s="8">
        <f t="shared" si="42"/>
        <v>68.75</v>
      </c>
      <c r="Q22" s="8">
        <f t="shared" si="43"/>
        <v>102.08333333333336</v>
      </c>
      <c r="R22" s="2">
        <v>300</v>
      </c>
      <c r="S22" s="1">
        <f t="shared" si="44"/>
        <v>0.8</v>
      </c>
      <c r="T22" s="8">
        <f t="shared" si="45"/>
        <v>38.7632</v>
      </c>
      <c r="U22" s="8">
        <f t="shared" si="46"/>
        <v>19.3816</v>
      </c>
      <c r="V22" s="8">
        <f t="shared" si="47"/>
        <v>19.3816</v>
      </c>
      <c r="W22" s="8">
        <f t="shared" si="48"/>
        <v>19.3816</v>
      </c>
      <c r="X22" s="8">
        <f t="shared" si="49"/>
        <v>126.87848399999999</v>
      </c>
      <c r="Y22" s="8">
        <f t="shared" si="50"/>
        <v>8.565</v>
      </c>
      <c r="Z22" s="8">
        <f t="shared" si="51"/>
        <v>6.0649999999999995</v>
      </c>
      <c r="AA22" s="8">
        <f t="shared" si="52"/>
        <v>0.15</v>
      </c>
      <c r="AB22" s="8">
        <f t="shared" si="53"/>
        <v>546.9</v>
      </c>
      <c r="AC22" s="8">
        <f t="shared" si="54"/>
        <v>3093.2768696288167</v>
      </c>
      <c r="AD22" s="8">
        <f t="shared" si="55"/>
        <v>11.119333564674196</v>
      </c>
      <c r="AE22" s="8">
        <f t="shared" si="56"/>
        <v>16.679000347011296</v>
      </c>
      <c r="AF22" s="8">
        <f t="shared" si="57"/>
        <v>9.178807621686587</v>
      </c>
      <c r="AG22" s="8">
        <f t="shared" si="58"/>
        <v>18.357615243373175</v>
      </c>
      <c r="AH22" s="8">
        <f t="shared" si="59"/>
        <v>1.779433834544997</v>
      </c>
      <c r="AI22" s="8">
        <f t="shared" si="60"/>
        <v>2.824069749158043</v>
      </c>
      <c r="AJ22" s="8">
        <f t="shared" si="61"/>
        <v>0.1693188854489164</v>
      </c>
      <c r="AK22" s="8">
        <f t="shared" si="62"/>
        <v>1.8468122376761165</v>
      </c>
      <c r="AL22" s="8">
        <f t="shared" si="63"/>
        <v>0.21326007807346725</v>
      </c>
      <c r="AM22" s="8">
        <f t="shared" si="64"/>
        <v>0.22479586023249665</v>
      </c>
      <c r="AN22" s="8">
        <f t="shared" si="65"/>
        <v>1.85</v>
      </c>
      <c r="AO22" s="8">
        <f t="shared" si="66"/>
        <v>1.875</v>
      </c>
      <c r="AP22" s="8">
        <f t="shared" si="67"/>
        <v>10.3125</v>
      </c>
      <c r="AQ22" s="8">
        <f t="shared" si="68"/>
        <v>253.524</v>
      </c>
      <c r="AR22" s="8">
        <f t="shared" si="69"/>
        <v>3908.5302549180706</v>
      </c>
    </row>
    <row r="23" spans="1:44" ht="12.75">
      <c r="A23" t="s">
        <v>68</v>
      </c>
      <c r="B23">
        <v>17.75</v>
      </c>
      <c r="C23">
        <v>0</v>
      </c>
      <c r="D23">
        <v>0.5</v>
      </c>
      <c r="E23" s="1">
        <v>37.53</v>
      </c>
      <c r="F23" s="1">
        <v>9.46</v>
      </c>
      <c r="G23" s="1">
        <v>0</v>
      </c>
      <c r="H23" s="1"/>
      <c r="I23" s="8">
        <f t="shared" si="35"/>
        <v>48.18</v>
      </c>
      <c r="J23" s="8">
        <f t="shared" si="36"/>
        <v>0.2714366197183099</v>
      </c>
      <c r="K23" s="8">
        <f t="shared" si="37"/>
        <v>0.5428732394366198</v>
      </c>
      <c r="L23" s="1">
        <f t="shared" si="38"/>
        <v>17</v>
      </c>
      <c r="M23" s="1">
        <f t="shared" si="39"/>
        <v>21</v>
      </c>
      <c r="N23" s="1">
        <f t="shared" si="40"/>
        <v>9</v>
      </c>
      <c r="O23" s="1">
        <f t="shared" si="41"/>
        <v>11</v>
      </c>
      <c r="P23" s="8">
        <f t="shared" si="42"/>
        <v>159.375</v>
      </c>
      <c r="Q23" s="8">
        <f t="shared" si="43"/>
        <v>240.62499999999997</v>
      </c>
      <c r="R23" s="2">
        <v>300</v>
      </c>
      <c r="S23" s="1">
        <f t="shared" si="44"/>
        <v>0.8</v>
      </c>
      <c r="T23" s="8">
        <f t="shared" si="45"/>
        <v>54.57</v>
      </c>
      <c r="U23" s="8">
        <f t="shared" si="46"/>
        <v>26.048095774647884</v>
      </c>
      <c r="V23" s="8">
        <f t="shared" si="47"/>
        <v>28.521904225352117</v>
      </c>
      <c r="W23" s="8">
        <f t="shared" si="48"/>
        <v>28.521904225352117</v>
      </c>
      <c r="X23" s="8">
        <f t="shared" si="49"/>
        <v>262.23255904225346</v>
      </c>
      <c r="Y23" s="8">
        <f t="shared" si="50"/>
        <v>13.3125</v>
      </c>
      <c r="Z23" s="8">
        <f t="shared" si="51"/>
        <v>10.8125</v>
      </c>
      <c r="AA23" s="8">
        <f t="shared" si="52"/>
        <v>0.15</v>
      </c>
      <c r="AB23" s="8">
        <f t="shared" si="53"/>
        <v>546.9</v>
      </c>
      <c r="AC23" s="8">
        <f t="shared" si="54"/>
        <v>6393.187274754762</v>
      </c>
      <c r="AD23" s="8">
        <f t="shared" si="55"/>
        <v>14.16375163687572</v>
      </c>
      <c r="AE23" s="8">
        <f t="shared" si="56"/>
        <v>21.24562745531358</v>
      </c>
      <c r="AF23" s="8">
        <f t="shared" si="57"/>
        <v>11.691919369093952</v>
      </c>
      <c r="AG23" s="8">
        <f t="shared" si="58"/>
        <v>23.383838738187904</v>
      </c>
      <c r="AH23" s="8">
        <f t="shared" si="59"/>
        <v>2.887227012362327</v>
      </c>
      <c r="AI23" s="8">
        <f t="shared" si="60"/>
        <v>3.597285961396594</v>
      </c>
      <c r="AJ23" s="8">
        <f t="shared" si="61"/>
        <v>0.16931888544891643</v>
      </c>
      <c r="AK23" s="8">
        <f t="shared" si="62"/>
        <v>2.9965520919429065</v>
      </c>
      <c r="AL23" s="8">
        <f t="shared" si="63"/>
        <v>0.48428879760534466</v>
      </c>
      <c r="AM23" s="8">
        <f t="shared" si="64"/>
        <v>0.5104852152457291</v>
      </c>
      <c r="AN23" s="8">
        <f t="shared" si="65"/>
        <v>3</v>
      </c>
      <c r="AO23" s="8">
        <f t="shared" si="66"/>
        <v>1.875</v>
      </c>
      <c r="AP23" s="8">
        <f t="shared" si="67"/>
        <v>10.3125</v>
      </c>
      <c r="AQ23" s="8">
        <f t="shared" si="68"/>
        <v>639</v>
      </c>
      <c r="AR23" s="8">
        <f t="shared" si="69"/>
        <v>22060.928408911237</v>
      </c>
    </row>
    <row r="24" spans="1:44" ht="12.75">
      <c r="A24" t="s">
        <v>69</v>
      </c>
      <c r="B24">
        <v>17.75</v>
      </c>
      <c r="C24">
        <v>0</v>
      </c>
      <c r="D24">
        <v>0.5</v>
      </c>
      <c r="E24" s="1">
        <v>37.53</v>
      </c>
      <c r="F24" s="1">
        <v>9.46</v>
      </c>
      <c r="G24" s="1">
        <v>0</v>
      </c>
      <c r="H24" s="1"/>
      <c r="I24" s="8">
        <f t="shared" si="35"/>
        <v>48.18</v>
      </c>
      <c r="J24" s="8">
        <f t="shared" si="36"/>
        <v>0.2714366197183099</v>
      </c>
      <c r="K24" s="8">
        <f t="shared" si="37"/>
        <v>0.5428732394366198</v>
      </c>
      <c r="L24" s="1">
        <f t="shared" si="38"/>
        <v>17</v>
      </c>
      <c r="M24" s="1">
        <f t="shared" si="39"/>
        <v>21</v>
      </c>
      <c r="N24" s="1">
        <f t="shared" si="40"/>
        <v>9</v>
      </c>
      <c r="O24" s="1">
        <f t="shared" si="41"/>
        <v>11</v>
      </c>
      <c r="P24" s="8">
        <f t="shared" si="42"/>
        <v>159.375</v>
      </c>
      <c r="Q24" s="8">
        <f t="shared" si="43"/>
        <v>240.62499999999997</v>
      </c>
      <c r="R24" s="2">
        <v>300</v>
      </c>
      <c r="S24" s="1">
        <f t="shared" si="44"/>
        <v>0.8</v>
      </c>
      <c r="T24" s="8">
        <f t="shared" si="45"/>
        <v>54.57</v>
      </c>
      <c r="U24" s="8">
        <f t="shared" si="46"/>
        <v>26.048095774647884</v>
      </c>
      <c r="V24" s="8">
        <f t="shared" si="47"/>
        <v>28.521904225352117</v>
      </c>
      <c r="W24" s="8">
        <f t="shared" si="48"/>
        <v>28.521904225352117</v>
      </c>
      <c r="X24" s="8">
        <f t="shared" si="49"/>
        <v>262.23255904225346</v>
      </c>
      <c r="Y24" s="8">
        <f t="shared" si="50"/>
        <v>13.3125</v>
      </c>
      <c r="Z24" s="8">
        <f t="shared" si="51"/>
        <v>10.8125</v>
      </c>
      <c r="AA24" s="8">
        <f t="shared" si="52"/>
        <v>0.15</v>
      </c>
      <c r="AB24" s="8">
        <f t="shared" si="53"/>
        <v>546.9</v>
      </c>
      <c r="AC24" s="8">
        <f t="shared" si="54"/>
        <v>6393.187274754762</v>
      </c>
      <c r="AD24" s="8">
        <f t="shared" si="55"/>
        <v>14.16375163687572</v>
      </c>
      <c r="AE24" s="8">
        <f t="shared" si="56"/>
        <v>21.24562745531358</v>
      </c>
      <c r="AF24" s="8">
        <f t="shared" si="57"/>
        <v>11.691919369093952</v>
      </c>
      <c r="AG24" s="8">
        <f t="shared" si="58"/>
        <v>23.383838738187904</v>
      </c>
      <c r="AH24" s="8">
        <f t="shared" si="59"/>
        <v>2.887227012362327</v>
      </c>
      <c r="AI24" s="8">
        <f t="shared" si="60"/>
        <v>3.597285961396594</v>
      </c>
      <c r="AJ24" s="8">
        <f t="shared" si="61"/>
        <v>0.16931888544891643</v>
      </c>
      <c r="AK24" s="8">
        <f t="shared" si="62"/>
        <v>2.9965520919429065</v>
      </c>
      <c r="AL24" s="8">
        <f t="shared" si="63"/>
        <v>0.48428879760534466</v>
      </c>
      <c r="AM24" s="8">
        <f t="shared" si="64"/>
        <v>0.5104852152457291</v>
      </c>
      <c r="AN24" s="8">
        <f t="shared" si="65"/>
        <v>3</v>
      </c>
      <c r="AO24" s="8">
        <f t="shared" si="66"/>
        <v>1.875</v>
      </c>
      <c r="AP24" s="8">
        <f t="shared" si="67"/>
        <v>10.3125</v>
      </c>
      <c r="AQ24" s="8">
        <f t="shared" si="68"/>
        <v>639</v>
      </c>
      <c r="AR24" s="8">
        <f t="shared" si="69"/>
        <v>22060.928408911237</v>
      </c>
    </row>
    <row r="25" spans="1:44" ht="12.75">
      <c r="A25" t="s">
        <v>70</v>
      </c>
      <c r="B25">
        <v>11.42</v>
      </c>
      <c r="C25">
        <v>0</v>
      </c>
      <c r="D25">
        <v>0.5</v>
      </c>
      <c r="E25" s="1">
        <v>27.8</v>
      </c>
      <c r="F25" s="1">
        <v>5.71</v>
      </c>
      <c r="G25" s="1">
        <v>0</v>
      </c>
      <c r="H25" s="1"/>
      <c r="I25" s="8">
        <f t="shared" si="35"/>
        <v>34.652</v>
      </c>
      <c r="J25" s="8">
        <f t="shared" si="36"/>
        <v>0.30343257443082317</v>
      </c>
      <c r="K25" s="8">
        <f t="shared" si="37"/>
        <v>0.6068651488616463</v>
      </c>
      <c r="L25" s="1">
        <f t="shared" si="38"/>
        <v>11</v>
      </c>
      <c r="M25" s="1">
        <f t="shared" si="39"/>
        <v>14</v>
      </c>
      <c r="N25" s="1">
        <f t="shared" si="40"/>
        <v>6</v>
      </c>
      <c r="O25" s="1">
        <f t="shared" si="41"/>
        <v>7</v>
      </c>
      <c r="P25" s="8">
        <f t="shared" si="42"/>
        <v>68.75</v>
      </c>
      <c r="Q25" s="8">
        <f t="shared" si="43"/>
        <v>102.08333333333336</v>
      </c>
      <c r="R25" s="2">
        <v>300</v>
      </c>
      <c r="S25" s="1">
        <f t="shared" si="44"/>
        <v>0.8</v>
      </c>
      <c r="T25" s="8">
        <f t="shared" si="45"/>
        <v>38.7632</v>
      </c>
      <c r="U25" s="8">
        <f t="shared" si="46"/>
        <v>19.3816</v>
      </c>
      <c r="V25" s="8">
        <f t="shared" si="47"/>
        <v>19.3816</v>
      </c>
      <c r="W25" s="8">
        <f t="shared" si="48"/>
        <v>19.3816</v>
      </c>
      <c r="X25" s="8">
        <f t="shared" si="49"/>
        <v>126.87848399999999</v>
      </c>
      <c r="Y25" s="8">
        <f t="shared" si="50"/>
        <v>8.565</v>
      </c>
      <c r="Z25" s="8">
        <f t="shared" si="51"/>
        <v>6.0649999999999995</v>
      </c>
      <c r="AA25" s="8">
        <f t="shared" si="52"/>
        <v>0.15</v>
      </c>
      <c r="AB25" s="8">
        <f t="shared" si="53"/>
        <v>546.9</v>
      </c>
      <c r="AC25" s="8">
        <f t="shared" si="54"/>
        <v>3093.2768696288167</v>
      </c>
      <c r="AD25" s="8">
        <f t="shared" si="55"/>
        <v>11.119333564674196</v>
      </c>
      <c r="AE25" s="8">
        <f t="shared" si="56"/>
        <v>16.679000347011296</v>
      </c>
      <c r="AF25" s="8">
        <f t="shared" si="57"/>
        <v>9.178807621686587</v>
      </c>
      <c r="AG25" s="8">
        <f t="shared" si="58"/>
        <v>18.357615243373175</v>
      </c>
      <c r="AH25" s="8">
        <f t="shared" si="59"/>
        <v>1.779433834544997</v>
      </c>
      <c r="AI25" s="8">
        <f t="shared" si="60"/>
        <v>2.824069749158043</v>
      </c>
      <c r="AJ25" s="8">
        <f t="shared" si="61"/>
        <v>0.1693188854489164</v>
      </c>
      <c r="AK25" s="8">
        <f t="shared" si="62"/>
        <v>1.8468122376761165</v>
      </c>
      <c r="AL25" s="8">
        <f t="shared" si="63"/>
        <v>0.21326007807346725</v>
      </c>
      <c r="AM25" s="8">
        <f t="shared" si="64"/>
        <v>0.22479586023249665</v>
      </c>
      <c r="AN25" s="8">
        <f t="shared" si="65"/>
        <v>1.85</v>
      </c>
      <c r="AO25" s="8">
        <f t="shared" si="66"/>
        <v>1.875</v>
      </c>
      <c r="AP25" s="8">
        <f t="shared" si="67"/>
        <v>10.3125</v>
      </c>
      <c r="AQ25" s="8">
        <f t="shared" si="68"/>
        <v>253.524</v>
      </c>
      <c r="AR25" s="8">
        <f t="shared" si="69"/>
        <v>3908.5302549180706</v>
      </c>
    </row>
    <row r="26" spans="1:44" ht="12.75">
      <c r="A26" t="s">
        <v>71</v>
      </c>
      <c r="B26">
        <v>18</v>
      </c>
      <c r="C26">
        <v>0</v>
      </c>
      <c r="D26">
        <v>0.5</v>
      </c>
      <c r="E26" s="1">
        <v>37.05</v>
      </c>
      <c r="F26" s="1">
        <v>9</v>
      </c>
      <c r="G26" s="1">
        <v>0</v>
      </c>
      <c r="H26" s="1"/>
      <c r="I26" s="8">
        <f t="shared" si="35"/>
        <v>47.849999999999994</v>
      </c>
      <c r="J26" s="8">
        <f t="shared" si="36"/>
        <v>0.2658333333333333</v>
      </c>
      <c r="K26" s="8">
        <f t="shared" si="37"/>
        <v>0.5316666666666666</v>
      </c>
      <c r="L26" s="1">
        <f t="shared" si="38"/>
        <v>17</v>
      </c>
      <c r="M26" s="1">
        <f t="shared" si="39"/>
        <v>22</v>
      </c>
      <c r="N26" s="1">
        <f t="shared" si="40"/>
        <v>9</v>
      </c>
      <c r="O26" s="1">
        <f t="shared" si="41"/>
        <v>11</v>
      </c>
      <c r="P26" s="8">
        <f t="shared" si="42"/>
        <v>159.375</v>
      </c>
      <c r="Q26" s="8">
        <f t="shared" si="43"/>
        <v>252.08333333333331</v>
      </c>
      <c r="R26" s="2">
        <v>300</v>
      </c>
      <c r="S26" s="1">
        <f t="shared" si="44"/>
        <v>0.8</v>
      </c>
      <c r="T26" s="8">
        <f t="shared" si="45"/>
        <v>54.33</v>
      </c>
      <c r="U26" s="8">
        <f t="shared" si="46"/>
        <v>27.164999999999996</v>
      </c>
      <c r="V26" s="8">
        <f t="shared" si="47"/>
        <v>27.165000000000003</v>
      </c>
      <c r="W26" s="8">
        <f t="shared" si="48"/>
        <v>27.165000000000003</v>
      </c>
      <c r="X26" s="8">
        <f t="shared" si="49"/>
        <v>269.5275</v>
      </c>
      <c r="Y26" s="8">
        <f t="shared" si="50"/>
        <v>13.5</v>
      </c>
      <c r="Z26" s="8">
        <f t="shared" si="51"/>
        <v>11</v>
      </c>
      <c r="AA26" s="8">
        <f t="shared" si="52"/>
        <v>0.15</v>
      </c>
      <c r="AB26" s="8">
        <f t="shared" si="53"/>
        <v>546.9</v>
      </c>
      <c r="AC26" s="8">
        <f t="shared" si="54"/>
        <v>6571.036752605594</v>
      </c>
      <c r="AD26" s="8">
        <f t="shared" si="55"/>
        <v>14.29389078198879</v>
      </c>
      <c r="AE26" s="8">
        <f t="shared" si="56"/>
        <v>21.440836172983182</v>
      </c>
      <c r="AF26" s="8">
        <f t="shared" si="57"/>
        <v>11.799346866443125</v>
      </c>
      <c r="AG26" s="8">
        <f t="shared" si="58"/>
        <v>23.59869373288625</v>
      </c>
      <c r="AH26" s="8">
        <f t="shared" si="59"/>
        <v>2.9405275014645333</v>
      </c>
      <c r="AI26" s="8">
        <f t="shared" si="60"/>
        <v>3.6303384839023236</v>
      </c>
      <c r="AJ26" s="8">
        <f t="shared" si="61"/>
        <v>0.16931888544891646</v>
      </c>
      <c r="AK26" s="8">
        <f t="shared" si="62"/>
        <v>3.0518708082880113</v>
      </c>
      <c r="AL26" s="8">
        <f t="shared" si="63"/>
        <v>0.49721376646446863</v>
      </c>
      <c r="AM26" s="8">
        <f t="shared" si="64"/>
        <v>0.5241093286729223</v>
      </c>
      <c r="AN26" s="8">
        <f t="shared" si="65"/>
        <v>3.05</v>
      </c>
      <c r="AO26" s="8">
        <f t="shared" si="66"/>
        <v>1.875</v>
      </c>
      <c r="AP26" s="8">
        <f t="shared" si="67"/>
        <v>10.3125</v>
      </c>
      <c r="AQ26" s="8">
        <f t="shared" si="68"/>
        <v>658.8</v>
      </c>
      <c r="AR26" s="8">
        <f t="shared" si="69"/>
        <v>23156.10306682184</v>
      </c>
    </row>
    <row r="27" spans="1:44" ht="12.75">
      <c r="A27" t="s">
        <v>72</v>
      </c>
      <c r="B27">
        <v>13</v>
      </c>
      <c r="C27">
        <v>0</v>
      </c>
      <c r="D27">
        <v>0.5</v>
      </c>
      <c r="E27" s="1">
        <v>20.04</v>
      </c>
      <c r="F27" s="1">
        <v>6.5</v>
      </c>
      <c r="G27" s="1">
        <v>0</v>
      </c>
      <c r="H27" s="1"/>
      <c r="I27" s="8">
        <f t="shared" si="35"/>
        <v>27.84</v>
      </c>
      <c r="J27" s="8">
        <f t="shared" si="36"/>
        <v>0.21415384615384617</v>
      </c>
      <c r="K27" s="8">
        <f t="shared" si="37"/>
        <v>0.42830769230769233</v>
      </c>
      <c r="L27" s="1">
        <f t="shared" si="38"/>
        <v>12</v>
      </c>
      <c r="M27" s="1">
        <f t="shared" si="39"/>
        <v>16</v>
      </c>
      <c r="N27" s="1">
        <f t="shared" si="40"/>
        <v>6</v>
      </c>
      <c r="O27" s="1">
        <f t="shared" si="41"/>
        <v>8</v>
      </c>
      <c r="P27" s="8">
        <f t="shared" si="42"/>
        <v>75</v>
      </c>
      <c r="Q27" s="8">
        <f t="shared" si="43"/>
        <v>133.33333333333331</v>
      </c>
      <c r="R27" s="2">
        <v>300</v>
      </c>
      <c r="S27" s="1">
        <f t="shared" si="44"/>
        <v>0.8</v>
      </c>
      <c r="T27" s="8">
        <f t="shared" si="45"/>
        <v>32.519999999999996</v>
      </c>
      <c r="U27" s="8">
        <f t="shared" si="46"/>
        <v>16.259999999999998</v>
      </c>
      <c r="V27" s="8">
        <f t="shared" si="47"/>
        <v>16.259999999999998</v>
      </c>
      <c r="W27" s="8">
        <f t="shared" si="48"/>
        <v>16.259999999999998</v>
      </c>
      <c r="X27" s="8">
        <f t="shared" si="49"/>
        <v>107.83499999999998</v>
      </c>
      <c r="Y27" s="8">
        <f t="shared" si="50"/>
        <v>9.75</v>
      </c>
      <c r="Z27" s="8">
        <f t="shared" si="51"/>
        <v>7.25</v>
      </c>
      <c r="AA27" s="8">
        <f t="shared" si="52"/>
        <v>0.15</v>
      </c>
      <c r="AB27" s="8">
        <f t="shared" si="53"/>
        <v>546.9</v>
      </c>
      <c r="AC27" s="8">
        <f t="shared" si="54"/>
        <v>2628.9998171512157</v>
      </c>
      <c r="AD27" s="8">
        <f t="shared" si="55"/>
        <v>10.532610220906292</v>
      </c>
      <c r="AE27" s="8">
        <f t="shared" si="56"/>
        <v>15.798915331359439</v>
      </c>
      <c r="AF27" s="8">
        <f t="shared" si="57"/>
        <v>8.694478172599133</v>
      </c>
      <c r="AG27" s="8">
        <f t="shared" si="58"/>
        <v>17.388956345198267</v>
      </c>
      <c r="AH27" s="8">
        <f t="shared" si="59"/>
        <v>1.5966008345800968</v>
      </c>
      <c r="AI27" s="8">
        <f t="shared" si="60"/>
        <v>2.675054735207579</v>
      </c>
      <c r="AJ27" s="8">
        <f t="shared" si="61"/>
        <v>0.1693188854489165</v>
      </c>
      <c r="AK27" s="8">
        <f t="shared" si="62"/>
        <v>1.65705625168153</v>
      </c>
      <c r="AL27" s="8">
        <f t="shared" si="63"/>
        <v>0.24147602553504</v>
      </c>
      <c r="AM27" s="8">
        <f t="shared" si="64"/>
        <v>0.25453808033856873</v>
      </c>
      <c r="AN27" s="8">
        <f t="shared" si="65"/>
        <v>1.66</v>
      </c>
      <c r="AO27" s="8">
        <f t="shared" si="66"/>
        <v>1.875</v>
      </c>
      <c r="AP27" s="8">
        <f t="shared" si="67"/>
        <v>10.3125</v>
      </c>
      <c r="AQ27" s="8">
        <f t="shared" si="68"/>
        <v>258.96</v>
      </c>
      <c r="AR27" s="8">
        <f t="shared" si="69"/>
        <v>6161.576979230181</v>
      </c>
    </row>
    <row r="28" spans="1:44" ht="12.75">
      <c r="A28" t="s">
        <v>74</v>
      </c>
      <c r="B28">
        <v>18</v>
      </c>
      <c r="C28">
        <v>0</v>
      </c>
      <c r="D28">
        <v>0.5</v>
      </c>
      <c r="E28" s="1"/>
      <c r="F28" s="1">
        <v>9</v>
      </c>
      <c r="G28" s="1">
        <v>0</v>
      </c>
      <c r="H28" s="1"/>
      <c r="I28" s="8">
        <f t="shared" si="35"/>
        <v>10.799999999999999</v>
      </c>
      <c r="J28" s="8">
        <f t="shared" si="36"/>
        <v>0.05999999999999999</v>
      </c>
      <c r="K28" s="8">
        <f t="shared" si="37"/>
        <v>0.11999999999999998</v>
      </c>
      <c r="L28" s="1">
        <f t="shared" si="38"/>
        <v>17</v>
      </c>
      <c r="M28" s="1">
        <f t="shared" si="39"/>
        <v>22</v>
      </c>
      <c r="N28" s="1">
        <f t="shared" si="40"/>
        <v>9</v>
      </c>
      <c r="O28" s="1">
        <f t="shared" si="41"/>
        <v>11</v>
      </c>
      <c r="P28" s="8">
        <f t="shared" si="42"/>
        <v>159.375</v>
      </c>
      <c r="Q28" s="8">
        <f t="shared" si="43"/>
        <v>252.08333333333331</v>
      </c>
      <c r="R28" s="2">
        <v>300</v>
      </c>
      <c r="S28" s="1">
        <f t="shared" si="44"/>
        <v>0.8</v>
      </c>
      <c r="T28" s="8">
        <f t="shared" si="45"/>
        <v>17.28</v>
      </c>
      <c r="U28" s="8">
        <f t="shared" si="46"/>
        <v>8.64</v>
      </c>
      <c r="V28" s="8">
        <f t="shared" si="47"/>
        <v>8.64</v>
      </c>
      <c r="W28" s="8">
        <f t="shared" si="48"/>
        <v>8.64</v>
      </c>
      <c r="X28" s="8">
        <f t="shared" si="49"/>
        <v>19.440000000000005</v>
      </c>
      <c r="Y28" s="8">
        <f t="shared" si="50"/>
        <v>13.5</v>
      </c>
      <c r="Z28" s="8">
        <f t="shared" si="51"/>
        <v>11</v>
      </c>
      <c r="AA28" s="8">
        <f t="shared" si="52"/>
        <v>0.15</v>
      </c>
      <c r="AB28" s="8">
        <f t="shared" si="53"/>
        <v>546.9</v>
      </c>
      <c r="AC28" s="8">
        <f t="shared" si="54"/>
        <v>473.9440482720791</v>
      </c>
      <c r="AD28" s="8">
        <f t="shared" si="55"/>
        <v>5.949971039870672</v>
      </c>
      <c r="AE28" s="8">
        <f t="shared" si="56"/>
        <v>8.924956559806008</v>
      </c>
      <c r="AF28" s="8">
        <f t="shared" si="57"/>
        <v>4.911592876670718</v>
      </c>
      <c r="AG28" s="8">
        <f t="shared" si="58"/>
        <v>9.823185753341436</v>
      </c>
      <c r="AH28" s="8">
        <f t="shared" si="59"/>
        <v>0.5095115467039847</v>
      </c>
      <c r="AI28" s="8">
        <f t="shared" si="60"/>
        <v>1.5111636973863503</v>
      </c>
      <c r="AJ28" s="8">
        <f t="shared" si="61"/>
        <v>0.1693188854489166</v>
      </c>
      <c r="AK28" s="8">
        <f t="shared" si="62"/>
        <v>0.5288042417889693</v>
      </c>
      <c r="AL28" s="8">
        <f t="shared" si="63"/>
        <v>0.20697006547835028</v>
      </c>
      <c r="AM28" s="8">
        <f t="shared" si="64"/>
        <v>0.21816560479525793</v>
      </c>
      <c r="AN28" s="8">
        <f t="shared" si="65"/>
        <v>0.53</v>
      </c>
      <c r="AO28" s="8">
        <f t="shared" si="66"/>
        <v>1.875</v>
      </c>
      <c r="AP28" s="8">
        <f t="shared" si="67"/>
        <v>10.3125</v>
      </c>
      <c r="AQ28" s="8">
        <f t="shared" si="68"/>
        <v>114.48</v>
      </c>
      <c r="AR28" s="8">
        <f t="shared" si="69"/>
        <v>9638.953084590488</v>
      </c>
    </row>
    <row r="29" spans="1:44" ht="12.75">
      <c r="A29" t="s">
        <v>75</v>
      </c>
      <c r="B29">
        <v>11.42</v>
      </c>
      <c r="C29">
        <v>0</v>
      </c>
      <c r="D29">
        <v>0.5</v>
      </c>
      <c r="E29" s="1">
        <v>20.89</v>
      </c>
      <c r="F29" s="1">
        <v>5.71</v>
      </c>
      <c r="G29" s="1">
        <v>0</v>
      </c>
      <c r="H29" s="1"/>
      <c r="I29" s="8">
        <f t="shared" si="35"/>
        <v>27.742</v>
      </c>
      <c r="J29" s="8">
        <f t="shared" si="36"/>
        <v>0.24292469352014015</v>
      </c>
      <c r="K29" s="8">
        <f t="shared" si="37"/>
        <v>0.4858493870402803</v>
      </c>
      <c r="L29" s="1">
        <f t="shared" si="38"/>
        <v>11</v>
      </c>
      <c r="M29" s="1">
        <f t="shared" si="39"/>
        <v>14</v>
      </c>
      <c r="N29" s="1">
        <f t="shared" si="40"/>
        <v>6</v>
      </c>
      <c r="O29" s="1">
        <f t="shared" si="41"/>
        <v>7</v>
      </c>
      <c r="P29" s="8">
        <f t="shared" si="42"/>
        <v>68.75</v>
      </c>
      <c r="Q29" s="8">
        <f t="shared" si="43"/>
        <v>102.08333333333336</v>
      </c>
      <c r="R29" s="2">
        <v>300</v>
      </c>
      <c r="S29" s="1">
        <f t="shared" si="44"/>
        <v>0.8</v>
      </c>
      <c r="T29" s="8">
        <f t="shared" si="45"/>
        <v>31.8532</v>
      </c>
      <c r="U29" s="8">
        <f t="shared" si="46"/>
        <v>15.9266</v>
      </c>
      <c r="V29" s="8">
        <f t="shared" si="47"/>
        <v>15.9266</v>
      </c>
      <c r="W29" s="8">
        <f t="shared" si="48"/>
        <v>15.9266</v>
      </c>
      <c r="X29" s="8">
        <f t="shared" si="49"/>
        <v>97.28640899999999</v>
      </c>
      <c r="Y29" s="8">
        <f t="shared" si="50"/>
        <v>8.565</v>
      </c>
      <c r="Z29" s="8">
        <f t="shared" si="51"/>
        <v>6.0649999999999995</v>
      </c>
      <c r="AA29" s="8">
        <f t="shared" si="52"/>
        <v>0.15</v>
      </c>
      <c r="AB29" s="8">
        <f t="shared" si="53"/>
        <v>546.9</v>
      </c>
      <c r="AC29" s="8">
        <f t="shared" si="54"/>
        <v>2371.826878771256</v>
      </c>
      <c r="AD29" s="8">
        <f t="shared" si="55"/>
        <v>10.17732139224946</v>
      </c>
      <c r="AE29" s="8">
        <f t="shared" si="56"/>
        <v>15.26598208837419</v>
      </c>
      <c r="AF29" s="8">
        <f t="shared" si="57"/>
        <v>8.401193706456672</v>
      </c>
      <c r="AG29" s="8">
        <f t="shared" si="58"/>
        <v>16.802387412913344</v>
      </c>
      <c r="AH29" s="8">
        <f t="shared" si="59"/>
        <v>1.490703618352385</v>
      </c>
      <c r="AI29" s="8">
        <f t="shared" si="60"/>
        <v>2.5848190724866384</v>
      </c>
      <c r="AJ29" s="8">
        <f t="shared" si="61"/>
        <v>0.16931888544891635</v>
      </c>
      <c r="AK29" s="8">
        <f t="shared" si="62"/>
        <v>1.5471492289710278</v>
      </c>
      <c r="AL29" s="8">
        <f t="shared" si="63"/>
        <v>0.19519302501952443</v>
      </c>
      <c r="AM29" s="8">
        <f t="shared" si="64"/>
        <v>0.20575151414664325</v>
      </c>
      <c r="AN29" s="8">
        <f t="shared" si="65"/>
        <v>1.55</v>
      </c>
      <c r="AO29" s="8">
        <f t="shared" si="66"/>
        <v>1.875</v>
      </c>
      <c r="AP29" s="8">
        <f t="shared" si="67"/>
        <v>10.3125</v>
      </c>
      <c r="AQ29" s="8">
        <f t="shared" si="68"/>
        <v>212.412</v>
      </c>
      <c r="AR29" s="8">
        <f t="shared" si="69"/>
        <v>3577.4058170182657</v>
      </c>
    </row>
    <row r="30" spans="1:44" ht="12.75">
      <c r="A30" t="s">
        <v>78</v>
      </c>
      <c r="B30">
        <v>17.75</v>
      </c>
      <c r="C30">
        <v>0</v>
      </c>
      <c r="D30">
        <v>0.5</v>
      </c>
      <c r="E30" s="1">
        <v>27.67</v>
      </c>
      <c r="F30" s="1">
        <v>9.46</v>
      </c>
      <c r="G30" s="1">
        <v>0</v>
      </c>
      <c r="H30" s="1"/>
      <c r="I30" s="8">
        <f t="shared" si="35"/>
        <v>38.32</v>
      </c>
      <c r="J30" s="8">
        <f t="shared" si="36"/>
        <v>0.215887323943662</v>
      </c>
      <c r="K30" s="8">
        <f t="shared" si="37"/>
        <v>0.431774647887324</v>
      </c>
      <c r="L30" s="1">
        <f t="shared" si="38"/>
        <v>17</v>
      </c>
      <c r="M30" s="1">
        <f t="shared" si="39"/>
        <v>21</v>
      </c>
      <c r="N30" s="1">
        <f t="shared" si="40"/>
        <v>9</v>
      </c>
      <c r="O30" s="1">
        <f t="shared" si="41"/>
        <v>11</v>
      </c>
      <c r="P30" s="8">
        <f t="shared" si="42"/>
        <v>159.375</v>
      </c>
      <c r="Q30" s="8">
        <f t="shared" si="43"/>
        <v>240.62499999999997</v>
      </c>
      <c r="R30" s="2">
        <v>300</v>
      </c>
      <c r="S30" s="1">
        <f t="shared" si="44"/>
        <v>0.8</v>
      </c>
      <c r="T30" s="8">
        <f t="shared" si="45"/>
        <v>44.71</v>
      </c>
      <c r="U30" s="8">
        <f t="shared" si="46"/>
        <v>21.44305915492958</v>
      </c>
      <c r="V30" s="8">
        <f t="shared" si="47"/>
        <v>23.266940845070422</v>
      </c>
      <c r="W30" s="8">
        <f t="shared" si="48"/>
        <v>23.266940845070422</v>
      </c>
      <c r="X30" s="8">
        <f t="shared" si="49"/>
        <v>196.88708940845072</v>
      </c>
      <c r="Y30" s="8">
        <f t="shared" si="50"/>
        <v>13.3125</v>
      </c>
      <c r="Z30" s="8">
        <f t="shared" si="51"/>
        <v>10.8125</v>
      </c>
      <c r="AA30" s="8">
        <f t="shared" si="52"/>
        <v>0.15</v>
      </c>
      <c r="AB30" s="8">
        <f t="shared" si="53"/>
        <v>546.9</v>
      </c>
      <c r="AC30" s="8">
        <f t="shared" si="54"/>
        <v>4800.075319277155</v>
      </c>
      <c r="AD30" s="8">
        <f t="shared" si="55"/>
        <v>12.8732591276882</v>
      </c>
      <c r="AE30" s="8">
        <f t="shared" si="56"/>
        <v>19.3098886915323</v>
      </c>
      <c r="AF30" s="8">
        <f t="shared" si="57"/>
        <v>10.626641273948785</v>
      </c>
      <c r="AG30" s="8">
        <f t="shared" si="58"/>
        <v>21.25328254789757</v>
      </c>
      <c r="AH30" s="8">
        <f t="shared" si="59"/>
        <v>2.3850712060781984</v>
      </c>
      <c r="AI30" s="8">
        <f t="shared" si="60"/>
        <v>3.2695288313928863</v>
      </c>
      <c r="AJ30" s="8">
        <f t="shared" si="61"/>
        <v>0.16931888544891652</v>
      </c>
      <c r="AK30" s="8">
        <f t="shared" si="62"/>
        <v>2.475382116267593</v>
      </c>
      <c r="AL30" s="8">
        <f t="shared" si="63"/>
        <v>0.44016411357982144</v>
      </c>
      <c r="AM30" s="8">
        <f t="shared" si="64"/>
        <v>0.4639737143937622</v>
      </c>
      <c r="AN30" s="8">
        <f t="shared" si="65"/>
        <v>2.48</v>
      </c>
      <c r="AO30" s="8">
        <f t="shared" si="66"/>
        <v>1.875</v>
      </c>
      <c r="AP30" s="8">
        <f t="shared" si="67"/>
        <v>10.3125</v>
      </c>
      <c r="AQ30" s="8">
        <f t="shared" si="68"/>
        <v>528.24</v>
      </c>
      <c r="AR30" s="8">
        <f t="shared" si="69"/>
        <v>20050.905670069853</v>
      </c>
    </row>
    <row r="31" spans="1:44" ht="12.75">
      <c r="A31" t="s">
        <v>79</v>
      </c>
      <c r="B31">
        <v>17.75</v>
      </c>
      <c r="C31">
        <v>0</v>
      </c>
      <c r="D31">
        <v>0.5</v>
      </c>
      <c r="E31" s="1">
        <v>27.67</v>
      </c>
      <c r="F31" s="1">
        <v>9.46</v>
      </c>
      <c r="G31" s="1">
        <v>0</v>
      </c>
      <c r="H31" s="1"/>
      <c r="I31" s="8">
        <f t="shared" si="35"/>
        <v>38.32</v>
      </c>
      <c r="J31" s="8">
        <f t="shared" si="36"/>
        <v>0.215887323943662</v>
      </c>
      <c r="K31" s="8">
        <f t="shared" si="37"/>
        <v>0.431774647887324</v>
      </c>
      <c r="L31" s="1">
        <f t="shared" si="38"/>
        <v>17</v>
      </c>
      <c r="M31" s="1">
        <f t="shared" si="39"/>
        <v>21</v>
      </c>
      <c r="N31" s="1">
        <f t="shared" si="40"/>
        <v>9</v>
      </c>
      <c r="O31" s="1">
        <f t="shared" si="41"/>
        <v>11</v>
      </c>
      <c r="P31" s="8">
        <f t="shared" si="42"/>
        <v>159.375</v>
      </c>
      <c r="Q31" s="8">
        <f t="shared" si="43"/>
        <v>240.62499999999997</v>
      </c>
      <c r="R31" s="2">
        <v>300</v>
      </c>
      <c r="S31" s="1">
        <f t="shared" si="44"/>
        <v>0.8</v>
      </c>
      <c r="T31" s="8">
        <f t="shared" si="45"/>
        <v>44.71</v>
      </c>
      <c r="U31" s="8">
        <f t="shared" si="46"/>
        <v>21.44305915492958</v>
      </c>
      <c r="V31" s="8">
        <f t="shared" si="47"/>
        <v>23.266940845070422</v>
      </c>
      <c r="W31" s="8">
        <f t="shared" si="48"/>
        <v>23.266940845070422</v>
      </c>
      <c r="X31" s="8">
        <f t="shared" si="49"/>
        <v>196.88708940845072</v>
      </c>
      <c r="Y31" s="8">
        <f t="shared" si="50"/>
        <v>13.3125</v>
      </c>
      <c r="Z31" s="8">
        <f t="shared" si="51"/>
        <v>10.8125</v>
      </c>
      <c r="AA31" s="8">
        <f t="shared" si="52"/>
        <v>0.15</v>
      </c>
      <c r="AB31" s="8">
        <f t="shared" si="53"/>
        <v>546.9</v>
      </c>
      <c r="AC31" s="8">
        <f t="shared" si="54"/>
        <v>4800.075319277155</v>
      </c>
      <c r="AD31" s="8">
        <f t="shared" si="55"/>
        <v>12.8732591276882</v>
      </c>
      <c r="AE31" s="8">
        <f t="shared" si="56"/>
        <v>19.3098886915323</v>
      </c>
      <c r="AF31" s="8">
        <f t="shared" si="57"/>
        <v>10.626641273948785</v>
      </c>
      <c r="AG31" s="8">
        <f t="shared" si="58"/>
        <v>21.25328254789757</v>
      </c>
      <c r="AH31" s="8">
        <f t="shared" si="59"/>
        <v>2.3850712060781984</v>
      </c>
      <c r="AI31" s="8">
        <f t="shared" si="60"/>
        <v>3.2695288313928863</v>
      </c>
      <c r="AJ31" s="8">
        <f t="shared" si="61"/>
        <v>0.16931888544891652</v>
      </c>
      <c r="AK31" s="8">
        <f t="shared" si="62"/>
        <v>2.475382116267593</v>
      </c>
      <c r="AL31" s="8">
        <f t="shared" si="63"/>
        <v>0.44016411357982144</v>
      </c>
      <c r="AM31" s="8">
        <f t="shared" si="64"/>
        <v>0.4639737143937622</v>
      </c>
      <c r="AN31" s="8">
        <f t="shared" si="65"/>
        <v>2.48</v>
      </c>
      <c r="AO31" s="8">
        <f t="shared" si="66"/>
        <v>1.875</v>
      </c>
      <c r="AP31" s="8">
        <f t="shared" si="67"/>
        <v>10.3125</v>
      </c>
      <c r="AQ31" s="8">
        <f t="shared" si="68"/>
        <v>528.24</v>
      </c>
      <c r="AR31" s="8">
        <f t="shared" si="69"/>
        <v>20050.905670069853</v>
      </c>
    </row>
    <row r="32" spans="1:44" ht="12.75">
      <c r="A32" t="s">
        <v>76</v>
      </c>
      <c r="B32">
        <v>11.42</v>
      </c>
      <c r="C32">
        <v>0</v>
      </c>
      <c r="D32">
        <v>0.5</v>
      </c>
      <c r="E32" s="1">
        <v>20.89</v>
      </c>
      <c r="F32" s="1">
        <v>5.71</v>
      </c>
      <c r="G32" s="1">
        <v>0</v>
      </c>
      <c r="H32" s="1"/>
      <c r="I32" s="8">
        <f t="shared" si="35"/>
        <v>27.742</v>
      </c>
      <c r="J32" s="8">
        <f t="shared" si="36"/>
        <v>0.24292469352014015</v>
      </c>
      <c r="K32" s="8">
        <f t="shared" si="37"/>
        <v>0.4858493870402803</v>
      </c>
      <c r="L32" s="1">
        <f t="shared" si="38"/>
        <v>11</v>
      </c>
      <c r="M32" s="1">
        <f t="shared" si="39"/>
        <v>14</v>
      </c>
      <c r="N32" s="1">
        <f t="shared" si="40"/>
        <v>6</v>
      </c>
      <c r="O32" s="1">
        <f t="shared" si="41"/>
        <v>7</v>
      </c>
      <c r="P32" s="8">
        <f t="shared" si="42"/>
        <v>68.75</v>
      </c>
      <c r="Q32" s="8">
        <f t="shared" si="43"/>
        <v>102.08333333333336</v>
      </c>
      <c r="R32" s="2">
        <v>300</v>
      </c>
      <c r="S32" s="1">
        <f t="shared" si="44"/>
        <v>0.8</v>
      </c>
      <c r="T32" s="8">
        <f t="shared" si="45"/>
        <v>31.8532</v>
      </c>
      <c r="U32" s="8">
        <f t="shared" si="46"/>
        <v>15.9266</v>
      </c>
      <c r="V32" s="8">
        <f t="shared" si="47"/>
        <v>15.9266</v>
      </c>
      <c r="W32" s="8">
        <f t="shared" si="48"/>
        <v>15.9266</v>
      </c>
      <c r="X32" s="8">
        <f t="shared" si="49"/>
        <v>97.28640899999999</v>
      </c>
      <c r="Y32" s="8">
        <f t="shared" si="50"/>
        <v>8.565</v>
      </c>
      <c r="Z32" s="8">
        <f t="shared" si="51"/>
        <v>6.0649999999999995</v>
      </c>
      <c r="AA32" s="8">
        <f t="shared" si="52"/>
        <v>0.15</v>
      </c>
      <c r="AB32" s="8">
        <f t="shared" si="53"/>
        <v>546.9</v>
      </c>
      <c r="AC32" s="8">
        <f t="shared" si="54"/>
        <v>2371.826878771256</v>
      </c>
      <c r="AD32" s="8">
        <f t="shared" si="55"/>
        <v>10.17732139224946</v>
      </c>
      <c r="AE32" s="8">
        <f t="shared" si="56"/>
        <v>15.26598208837419</v>
      </c>
      <c r="AF32" s="8">
        <f t="shared" si="57"/>
        <v>8.401193706456672</v>
      </c>
      <c r="AG32" s="8">
        <f t="shared" si="58"/>
        <v>16.802387412913344</v>
      </c>
      <c r="AH32" s="8">
        <f t="shared" si="59"/>
        <v>1.490703618352385</v>
      </c>
      <c r="AI32" s="8">
        <f t="shared" si="60"/>
        <v>2.5848190724866384</v>
      </c>
      <c r="AJ32" s="8">
        <f t="shared" si="61"/>
        <v>0.16931888544891635</v>
      </c>
      <c r="AK32" s="8">
        <f t="shared" si="62"/>
        <v>1.5471492289710278</v>
      </c>
      <c r="AL32" s="8">
        <f t="shared" si="63"/>
        <v>0.19519302501952443</v>
      </c>
      <c r="AM32" s="8">
        <f t="shared" si="64"/>
        <v>0.20575151414664325</v>
      </c>
      <c r="AN32" s="8">
        <f t="shared" si="65"/>
        <v>1.55</v>
      </c>
      <c r="AO32" s="8">
        <f t="shared" si="66"/>
        <v>1.875</v>
      </c>
      <c r="AP32" s="8">
        <f t="shared" si="67"/>
        <v>10.3125</v>
      </c>
      <c r="AQ32" s="8">
        <f t="shared" si="68"/>
        <v>212.412</v>
      </c>
      <c r="AR32" s="8">
        <f t="shared" si="69"/>
        <v>3577.4058170182657</v>
      </c>
    </row>
    <row r="33" spans="1:44" ht="12.75">
      <c r="A33" t="s">
        <v>77</v>
      </c>
      <c r="B33">
        <v>18</v>
      </c>
      <c r="C33">
        <v>0</v>
      </c>
      <c r="D33">
        <v>0.5</v>
      </c>
      <c r="E33" s="1">
        <v>18</v>
      </c>
      <c r="F33" s="1">
        <v>9</v>
      </c>
      <c r="G33" s="1">
        <v>0</v>
      </c>
      <c r="H33" s="1"/>
      <c r="I33" s="8">
        <f t="shared" si="35"/>
        <v>28.799999999999997</v>
      </c>
      <c r="J33" s="8">
        <f t="shared" si="36"/>
        <v>0.16</v>
      </c>
      <c r="K33" s="8">
        <f t="shared" si="37"/>
        <v>0.32</v>
      </c>
      <c r="L33" s="1">
        <f t="shared" si="38"/>
        <v>17</v>
      </c>
      <c r="M33" s="1">
        <f t="shared" si="39"/>
        <v>22</v>
      </c>
      <c r="N33" s="1">
        <f t="shared" si="40"/>
        <v>9</v>
      </c>
      <c r="O33" s="1">
        <f t="shared" si="41"/>
        <v>11</v>
      </c>
      <c r="P33" s="8">
        <f t="shared" si="42"/>
        <v>159.375</v>
      </c>
      <c r="Q33" s="8">
        <f t="shared" si="43"/>
        <v>252.08333333333331</v>
      </c>
      <c r="R33" s="2">
        <v>300</v>
      </c>
      <c r="S33" s="1">
        <f t="shared" si="44"/>
        <v>0.8</v>
      </c>
      <c r="T33" s="8">
        <f t="shared" si="45"/>
        <v>35.28</v>
      </c>
      <c r="U33" s="8">
        <f t="shared" si="46"/>
        <v>17.64</v>
      </c>
      <c r="V33" s="8">
        <f t="shared" si="47"/>
        <v>17.64</v>
      </c>
      <c r="W33" s="8">
        <f t="shared" si="48"/>
        <v>17.64</v>
      </c>
      <c r="X33" s="8">
        <f t="shared" si="49"/>
        <v>140.94</v>
      </c>
      <c r="Y33" s="8">
        <f t="shared" si="50"/>
        <v>13.5</v>
      </c>
      <c r="Z33" s="8">
        <f t="shared" si="51"/>
        <v>11</v>
      </c>
      <c r="AA33" s="8">
        <f t="shared" si="52"/>
        <v>0.15</v>
      </c>
      <c r="AB33" s="8">
        <f t="shared" si="53"/>
        <v>546.9</v>
      </c>
      <c r="AC33" s="8">
        <f t="shared" si="54"/>
        <v>3436.0943499725727</v>
      </c>
      <c r="AD33" s="8">
        <f t="shared" si="55"/>
        <v>11.515801955323633</v>
      </c>
      <c r="AE33" s="8">
        <f t="shared" si="56"/>
        <v>17.27370293298545</v>
      </c>
      <c r="AF33" s="8">
        <f t="shared" si="57"/>
        <v>9.50608506728928</v>
      </c>
      <c r="AG33" s="8">
        <f t="shared" si="58"/>
        <v>19.01217013457856</v>
      </c>
      <c r="AH33" s="8">
        <f t="shared" si="59"/>
        <v>1.9085902530878813</v>
      </c>
      <c r="AI33" s="8">
        <f t="shared" si="60"/>
        <v>2.924764128188776</v>
      </c>
      <c r="AJ33" s="8">
        <f t="shared" si="61"/>
        <v>0.1693188854489165</v>
      </c>
      <c r="AK33" s="8">
        <f t="shared" si="62"/>
        <v>1.9808591742403017</v>
      </c>
      <c r="AL33" s="8">
        <f t="shared" si="63"/>
        <v>0.4005777958846759</v>
      </c>
      <c r="AM33" s="8">
        <f t="shared" si="64"/>
        <v>0.4222460716951999</v>
      </c>
      <c r="AN33" s="8">
        <f t="shared" si="65"/>
        <v>1.98</v>
      </c>
      <c r="AO33" s="8">
        <f t="shared" si="66"/>
        <v>1.875</v>
      </c>
      <c r="AP33" s="8">
        <f t="shared" si="67"/>
        <v>10.3125</v>
      </c>
      <c r="AQ33" s="8">
        <f t="shared" si="68"/>
        <v>427.68</v>
      </c>
      <c r="AR33" s="8">
        <f t="shared" si="69"/>
        <v>18655.599167624285</v>
      </c>
    </row>
    <row r="34" spans="4:22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</row>
    <row r="35" spans="4:20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1"/>
      <c r="T35" s="1"/>
    </row>
    <row r="36" spans="4:20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</row>
    <row r="37" spans="4:20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</row>
    <row r="38" spans="4:20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</row>
    <row r="39" spans="4:20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S39" s="1"/>
      <c r="T39" s="1"/>
    </row>
    <row r="40" spans="4:20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</row>
    <row r="41" spans="4:20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s="1"/>
      <c r="T41" s="1"/>
    </row>
    <row r="42" spans="4:20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s="1"/>
      <c r="T42" s="1"/>
    </row>
    <row r="43" spans="4:20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</row>
    <row r="44" spans="4:20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1"/>
      <c r="T44" s="1"/>
    </row>
    <row r="45" spans="4:20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s="1"/>
      <c r="T45" s="1"/>
    </row>
    <row r="46" spans="4:20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S46" s="1"/>
      <c r="T46" s="1"/>
    </row>
    <row r="47" spans="4:2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S47" s="1"/>
      <c r="T47" s="1"/>
    </row>
    <row r="48" spans="4:2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s="1"/>
      <c r="T48" s="1"/>
    </row>
    <row r="49" spans="4:20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"/>
      <c r="T49" s="1"/>
    </row>
    <row r="50" spans="4:2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</row>
    <row r="51" spans="4:20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1"/>
      <c r="T51" s="1"/>
    </row>
    <row r="52" spans="4:20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1"/>
      <c r="T52" s="1"/>
    </row>
    <row r="53" spans="4:2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1"/>
      <c r="T53" s="1"/>
    </row>
    <row r="54" spans="4:20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1"/>
    </row>
    <row r="55" spans="4:20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"/>
      <c r="T55" s="1"/>
    </row>
  </sheetData>
  <sheetProtection/>
  <dataValidations count="1">
    <dataValidation allowBlank="1" showInputMessage="1" showErrorMessage="1" sqref="K14:Q33 S35:S55 I14:I33 E5:Q13 E14:F26 G14:G33 H14:H26 K34:K55 J14:J55 S2:V34 G2:Q4"/>
  </dataValidation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S2" sqref="S2:AV33"/>
    </sheetView>
  </sheetViews>
  <sheetFormatPr defaultColWidth="11.00390625" defaultRowHeight="12.75"/>
  <cols>
    <col min="1" max="3" width="11.00390625" style="0" customWidth="1"/>
    <col min="4" max="4" width="5.00390625" style="0" customWidth="1"/>
    <col min="5" max="6" width="8.75390625" style="0" customWidth="1"/>
    <col min="7" max="7" width="4.00390625" style="0" customWidth="1"/>
    <col min="8" max="8" width="6.875" style="0" customWidth="1"/>
    <col min="9" max="9" width="7.75390625" style="0" customWidth="1"/>
    <col min="10" max="11" width="8.75390625" style="0" customWidth="1"/>
    <col min="12" max="12" width="5.125" style="0" customWidth="1"/>
    <col min="13" max="14" width="6.125" style="0" customWidth="1"/>
    <col min="15" max="15" width="7.125" style="0" customWidth="1"/>
    <col min="16" max="23" width="11.00390625" style="0" customWidth="1"/>
    <col min="24" max="24" width="12.375" style="0" customWidth="1"/>
    <col min="25" max="33" width="11.00390625" style="0" customWidth="1"/>
    <col min="34" max="34" width="12.00390625" style="0" customWidth="1"/>
    <col min="35" max="46" width="11.00390625" style="0" customWidth="1"/>
    <col min="47" max="47" width="13.75390625" style="0" customWidth="1"/>
    <col min="48" max="48" width="16.75390625" style="0" customWidth="1"/>
  </cols>
  <sheetData>
    <row r="1" spans="1:48" ht="12.75">
      <c r="A1" t="s">
        <v>44</v>
      </c>
      <c r="B1" t="s">
        <v>4</v>
      </c>
      <c r="C1" t="s">
        <v>0</v>
      </c>
      <c r="D1" t="s">
        <v>3</v>
      </c>
      <c r="E1" t="s">
        <v>46</v>
      </c>
      <c r="F1" t="s">
        <v>48</v>
      </c>
      <c r="G1" t="s">
        <v>47</v>
      </c>
      <c r="H1" t="s">
        <v>49</v>
      </c>
      <c r="I1" t="s">
        <v>45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s="2" t="s">
        <v>15</v>
      </c>
      <c r="S1" s="1" t="s">
        <v>51</v>
      </c>
      <c r="T1" s="1" t="s">
        <v>50</v>
      </c>
      <c r="U1" s="1" t="s">
        <v>19</v>
      </c>
      <c r="V1" s="1" t="s">
        <v>20</v>
      </c>
      <c r="W1" s="1" t="s">
        <v>18</v>
      </c>
      <c r="X1" s="1" t="s">
        <v>22</v>
      </c>
      <c r="Y1" s="1" t="s">
        <v>23</v>
      </c>
      <c r="Z1" s="1" t="s">
        <v>24</v>
      </c>
      <c r="AA1" s="1" t="s">
        <v>28</v>
      </c>
      <c r="AB1" s="1" t="s">
        <v>26</v>
      </c>
      <c r="AC1" s="1" t="s">
        <v>25</v>
      </c>
      <c r="AD1" s="1" t="s">
        <v>52</v>
      </c>
      <c r="AE1" s="1" t="s">
        <v>55</v>
      </c>
      <c r="AF1" s="1" t="s">
        <v>53</v>
      </c>
      <c r="AG1" s="1" t="s">
        <v>54</v>
      </c>
      <c r="AH1" s="1"/>
      <c r="AI1" s="1"/>
      <c r="AJ1" s="1"/>
      <c r="AK1" s="1"/>
      <c r="AL1" s="1" t="s">
        <v>33</v>
      </c>
      <c r="AM1" s="1" t="s">
        <v>35</v>
      </c>
      <c r="AN1" s="1" t="s">
        <v>36</v>
      </c>
      <c r="AO1" s="1" t="s">
        <v>37</v>
      </c>
      <c r="AP1" s="1" t="s">
        <v>34</v>
      </c>
      <c r="AQ1" s="1" t="s">
        <v>38</v>
      </c>
      <c r="AR1" s="1" t="s">
        <v>39</v>
      </c>
      <c r="AS1" s="1" t="s">
        <v>41</v>
      </c>
      <c r="AT1" s="1" t="s">
        <v>40</v>
      </c>
      <c r="AU1" s="1" t="s">
        <v>42</v>
      </c>
      <c r="AV1" s="1" t="s">
        <v>43</v>
      </c>
    </row>
    <row r="2" spans="1:48" ht="13.5" customHeight="1">
      <c r="A2" t="s">
        <v>98</v>
      </c>
      <c r="B2">
        <v>17.16</v>
      </c>
      <c r="C2">
        <v>0</v>
      </c>
      <c r="D2">
        <v>0.25</v>
      </c>
      <c r="E2">
        <v>47.75</v>
      </c>
      <c r="F2">
        <v>8.58</v>
      </c>
      <c r="G2" s="1">
        <v>0</v>
      </c>
      <c r="H2" s="1"/>
      <c r="I2" s="8">
        <f>(1.2*D2*B2)+E2+G2</f>
        <v>52.897999999999996</v>
      </c>
      <c r="J2" s="8">
        <f>(0.1*I2)/B2</f>
        <v>0.30826340326340324</v>
      </c>
      <c r="K2" s="8">
        <f>(0.2*I2)/B2</f>
        <v>0.6165268065268065</v>
      </c>
      <c r="L2" s="1">
        <f>ROUND(((0.08*B2)*12),0)</f>
        <v>16</v>
      </c>
      <c r="M2" s="1">
        <f>ROUND(((0.1*B2)*12),0)</f>
        <v>21</v>
      </c>
      <c r="N2" s="1">
        <f>ROUND((0.5*L2),0)</f>
        <v>8</v>
      </c>
      <c r="O2" s="1">
        <f>ROUND((0.5*M2),0)</f>
        <v>11</v>
      </c>
      <c r="P2" s="8">
        <f>(N2/12)*(L2/12)*150</f>
        <v>133.33333333333331</v>
      </c>
      <c r="Q2" s="8">
        <f>(O2/12)*(M2/12)*150</f>
        <v>240.62499999999997</v>
      </c>
      <c r="R2" s="2">
        <v>200</v>
      </c>
      <c r="S2" s="8">
        <f>D2+(R2/1000)</f>
        <v>0.45</v>
      </c>
      <c r="T2" s="8">
        <f>(1.2*S2*B2)+E2+G2</f>
        <v>57.016400000000004</v>
      </c>
      <c r="U2" s="8">
        <v>24.85</v>
      </c>
      <c r="V2" s="8">
        <v>27.19</v>
      </c>
      <c r="W2" s="8">
        <f>MAX(U2:V2)</f>
        <v>27.19</v>
      </c>
      <c r="X2" s="8">
        <v>193.59</v>
      </c>
      <c r="Y2" s="8">
        <f>(B2/16)*12</f>
        <v>12.870000000000001</v>
      </c>
      <c r="Z2" s="8">
        <f>Y2-2.5</f>
        <v>10.370000000000001</v>
      </c>
      <c r="AA2" s="8">
        <f>(60000/4000)*0.01</f>
        <v>0.15</v>
      </c>
      <c r="AB2" s="8">
        <f>4000*AA2*(1-(0.59*AA2))</f>
        <v>546.9</v>
      </c>
      <c r="AC2" s="8">
        <f>(12000*X2)/(AB2*0.9)</f>
        <v>4719.692814042787</v>
      </c>
      <c r="AD2" s="8">
        <f>(AC2/2.25)^(1/3)</f>
        <v>12.800995305672966</v>
      </c>
      <c r="AE2" s="8">
        <f>AD2*(1.5)</f>
        <v>19.201492958509448</v>
      </c>
      <c r="AF2" s="8">
        <f>(AC2/4)^(1/3)</f>
        <v>10.566988803193437</v>
      </c>
      <c r="AG2" s="8">
        <f>AF2*2</f>
        <v>21.133977606386875</v>
      </c>
      <c r="AH2" s="8"/>
      <c r="AI2" s="8"/>
      <c r="AJ2" s="8"/>
      <c r="AK2" s="8"/>
      <c r="AL2" s="8">
        <f>(X2*12000)/(0.9*60000*0.95*AE2)</f>
        <v>2.3583692488998556</v>
      </c>
      <c r="AM2" s="8">
        <f>(AL2*60000)/(0.85*4000*AD2)</f>
        <v>3.251175386690035</v>
      </c>
      <c r="AN2" s="8">
        <f>AM2/AE2</f>
        <v>0.16931888544891635</v>
      </c>
      <c r="AO2" s="8">
        <f>(X2*12000)/(0.9*60000*(AE2-(AM2/2)))</f>
        <v>2.447669087365073</v>
      </c>
      <c r="AP2" s="8">
        <f>(3*(4000^0.5)*AD2*Z2)/60000</f>
        <v>0.4197807263792276</v>
      </c>
      <c r="AQ2" s="8">
        <f>(200*AD2*Z2)/60000</f>
        <v>0.44248773773276223</v>
      </c>
      <c r="AR2" s="8">
        <f>ROUND(MAX(AO2:AQ2),2)</f>
        <v>2.45</v>
      </c>
      <c r="AS2" s="8">
        <f>1.875</f>
        <v>1.875</v>
      </c>
      <c r="AT2" s="8">
        <f>(540/(0.6*60))-(2.5*AS2)</f>
        <v>10.3125</v>
      </c>
      <c r="AU2" s="8">
        <f>AR2*(B2*12)</f>
        <v>504.5040000000001</v>
      </c>
      <c r="AV2" s="8">
        <f>(Y2-6)*AD2*(12*B2)</f>
        <v>18109.189149474503</v>
      </c>
    </row>
    <row r="3" spans="1:48" ht="13.5" customHeight="1">
      <c r="A3" t="s">
        <v>100</v>
      </c>
      <c r="B3">
        <v>23.08</v>
      </c>
      <c r="C3">
        <v>0</v>
      </c>
      <c r="D3">
        <v>0.25</v>
      </c>
      <c r="E3">
        <v>65.8</v>
      </c>
      <c r="F3">
        <v>13.54</v>
      </c>
      <c r="G3" s="1">
        <v>0</v>
      </c>
      <c r="H3" s="1"/>
      <c r="I3" s="8">
        <f>(1.2*D3*B3)+E3+G3</f>
        <v>72.72399999999999</v>
      </c>
      <c r="J3" s="8">
        <f>(0.1*I3)/B3</f>
        <v>0.3150953206239168</v>
      </c>
      <c r="K3" s="8">
        <f>(0.2*I3)/B3</f>
        <v>0.6301906412478336</v>
      </c>
      <c r="L3" s="1">
        <f>ROUND(((0.08*B3)*12),0)</f>
        <v>22</v>
      </c>
      <c r="M3" s="1">
        <f>ROUND(((0.1*B3)*12),0)</f>
        <v>28</v>
      </c>
      <c r="N3" s="1">
        <f>ROUND((0.5*L3),0)</f>
        <v>11</v>
      </c>
      <c r="O3" s="1">
        <f>ROUND((0.5*M3),0)</f>
        <v>14</v>
      </c>
      <c r="P3" s="8">
        <f>(N3/12)*(L3/12)*150</f>
        <v>252.08333333333331</v>
      </c>
      <c r="Q3" s="8">
        <f>(O3/12)*(M3/12)*150</f>
        <v>408.3333333333334</v>
      </c>
      <c r="R3" s="2">
        <v>300</v>
      </c>
      <c r="S3" s="8">
        <f>D3+(R3/1000)</f>
        <v>0.55</v>
      </c>
      <c r="T3" s="8">
        <f>(1.2*S3*B3)+E3+G3</f>
        <v>81.0328</v>
      </c>
      <c r="U3" s="8">
        <v>43.44</v>
      </c>
      <c r="V3" s="8">
        <v>29.3</v>
      </c>
      <c r="W3" s="8">
        <f>MAX(U3:V3)</f>
        <v>43.44</v>
      </c>
      <c r="X3" s="8">
        <v>217.04</v>
      </c>
      <c r="Y3" s="8">
        <f>(B3/16)*12</f>
        <v>17.31</v>
      </c>
      <c r="Z3" s="8">
        <f>Y3-2.5</f>
        <v>14.809999999999999</v>
      </c>
      <c r="AA3" s="8">
        <f>(60000/4000)*0.01</f>
        <v>0.15</v>
      </c>
      <c r="AB3" s="8">
        <f>4000*AA3*(1-(0.59*AA3))</f>
        <v>546.9</v>
      </c>
      <c r="AC3" s="8">
        <f>(12000*X3)/(AB3*0.9)</f>
        <v>5291.400012189919</v>
      </c>
      <c r="AD3" s="8">
        <f>(AC3/2.25)^(1/3)</f>
        <v>13.298296913384782</v>
      </c>
      <c r="AE3" s="8">
        <f>AD3*(1.5)</f>
        <v>19.947445370077173</v>
      </c>
      <c r="AF3" s="8">
        <f>(AC3/4)^(1/3)</f>
        <v>10.977502235549133</v>
      </c>
      <c r="AG3" s="8">
        <f>AF3*2</f>
        <v>21.955004471098267</v>
      </c>
      <c r="AH3" s="8"/>
      <c r="AI3" s="8"/>
      <c r="AJ3" s="8"/>
      <c r="AK3" s="8"/>
      <c r="AL3" s="8">
        <f>(X3*12000)/(0.9*60000*0.95*AE3)</f>
        <v>2.5451675490954577</v>
      </c>
      <c r="AM3" s="8">
        <f>(AL3*60000)/(0.85*4000*AD3)</f>
        <v>3.3774792176146176</v>
      </c>
      <c r="AN3" s="8">
        <f>AM3/AE3</f>
        <v>0.16931888544891655</v>
      </c>
      <c r="AO3" s="8">
        <f>(X3*12000)/(0.9*60000*(AE3-(AM3/2)))</f>
        <v>2.6415405199977724</v>
      </c>
      <c r="AP3" s="8">
        <f>(3*(4000^0.5)*AD3*Z3)/60000</f>
        <v>0.6228035563352202</v>
      </c>
      <c r="AQ3" s="8">
        <f>(200*AD3*Z3)/60000</f>
        <v>0.6564925909574286</v>
      </c>
      <c r="AR3" s="8">
        <f>ROUND(MAX(AO3:AQ3),2)</f>
        <v>2.64</v>
      </c>
      <c r="AS3" s="8">
        <f>1.875</f>
        <v>1.875</v>
      </c>
      <c r="AT3" s="8">
        <f>(540/(0.6*60))-(2.5*AS3)</f>
        <v>10.3125</v>
      </c>
      <c r="AU3" s="8">
        <f>AR3*(B3*12)</f>
        <v>731.1744</v>
      </c>
      <c r="AV3" s="8">
        <f>(Y3-6)*AD3*(12*B3)</f>
        <v>41655.81930151216</v>
      </c>
    </row>
    <row r="4" spans="7:48" ht="12.75">
      <c r="G4" s="1"/>
      <c r="H4" s="1"/>
      <c r="I4" s="8"/>
      <c r="J4" s="8"/>
      <c r="K4" s="8"/>
      <c r="L4" s="1"/>
      <c r="M4" s="1"/>
      <c r="N4" s="1"/>
      <c r="O4" s="1"/>
      <c r="P4" s="8"/>
      <c r="Q4" s="8"/>
      <c r="R4" s="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2.75">
      <c r="A5" t="s">
        <v>96</v>
      </c>
      <c r="B5">
        <v>14.16</v>
      </c>
      <c r="C5">
        <v>0</v>
      </c>
      <c r="D5">
        <v>0.25</v>
      </c>
      <c r="E5" s="1">
        <v>15.76</v>
      </c>
      <c r="F5" s="1">
        <v>7.08</v>
      </c>
      <c r="G5" s="1">
        <v>0</v>
      </c>
      <c r="H5" s="1"/>
      <c r="I5" s="8">
        <f aca="true" t="shared" si="0" ref="I5:I16">(1.2*D5*B5)+E5+G5</f>
        <v>20.008</v>
      </c>
      <c r="J5" s="8">
        <f aca="true" t="shared" si="1" ref="J5:J16">(0.1*I5)/B5</f>
        <v>0.14129943502824857</v>
      </c>
      <c r="K5" s="8">
        <f aca="true" t="shared" si="2" ref="K5:K16">(0.2*I5)/B5</f>
        <v>0.28259887005649714</v>
      </c>
      <c r="L5" s="1">
        <f aca="true" t="shared" si="3" ref="L5:L16">ROUND(((0.08*B5)*12),0)</f>
        <v>14</v>
      </c>
      <c r="M5" s="1">
        <f aca="true" t="shared" si="4" ref="M5:M16">ROUND(((0.1*B5)*12),0)</f>
        <v>17</v>
      </c>
      <c r="N5" s="1">
        <f aca="true" t="shared" si="5" ref="N5:N16">ROUND((0.5*L5),0)</f>
        <v>7</v>
      </c>
      <c r="O5" s="1">
        <f aca="true" t="shared" si="6" ref="O5:O16">ROUND((0.5*M5),0)</f>
        <v>9</v>
      </c>
      <c r="P5" s="8">
        <f aca="true" t="shared" si="7" ref="P5:P16">(N5/12)*(L5/12)*150</f>
        <v>102.08333333333336</v>
      </c>
      <c r="Q5" s="8">
        <f aca="true" t="shared" si="8" ref="Q5:Q16">(O5/12)*(M5/12)*150</f>
        <v>159.375</v>
      </c>
      <c r="R5" s="2">
        <v>300</v>
      </c>
      <c r="S5" s="8">
        <f aca="true" t="shared" si="9" ref="S5:S16">D5+(R5/1000)</f>
        <v>0.55</v>
      </c>
      <c r="T5" s="8">
        <f aca="true" t="shared" si="10" ref="T5:T16">(1.2*S5*B5)+E5+G5</f>
        <v>25.105600000000003</v>
      </c>
      <c r="U5" s="8">
        <f aca="true" t="shared" si="11" ref="U5:U16">T5-V5</f>
        <v>12.552800000000003</v>
      </c>
      <c r="V5" s="8">
        <f aca="true" t="shared" si="12" ref="V5:V16">((E5*F5)+(G5*H5)+((1.2*S5)*B5*(0.5*B5)))/B5</f>
        <v>12.5528</v>
      </c>
      <c r="W5" s="8">
        <f aca="true" t="shared" si="13" ref="W5:W16">MAX(U5:V5)</f>
        <v>12.552800000000003</v>
      </c>
      <c r="X5" s="8">
        <f aca="true" t="shared" si="14" ref="X5:X16">(((U5-((S5)*F5))*F5)/2)+(F5*(U5-((S5)*F5)))</f>
        <v>91.95645600000003</v>
      </c>
      <c r="Y5" s="8">
        <f aca="true" t="shared" si="15" ref="Y5:Y16">(B5/16)*12</f>
        <v>10.620000000000001</v>
      </c>
      <c r="Z5" s="8">
        <f aca="true" t="shared" si="16" ref="Z5:Z16">Y5-2.5</f>
        <v>8.120000000000001</v>
      </c>
      <c r="AA5" s="8">
        <f aca="true" t="shared" si="17" ref="AA5:AA16">(60000/4000)*0.01</f>
        <v>0.15</v>
      </c>
      <c r="AB5" s="8">
        <f aca="true" t="shared" si="18" ref="AB5:AB16">4000*AA5*(1-(0.59*AA5))</f>
        <v>546.9</v>
      </c>
      <c r="AC5" s="8">
        <f aca="true" t="shared" si="19" ref="AC5:AC16">(12000*X5)/(AB5*0.9)</f>
        <v>2241.8834887548005</v>
      </c>
      <c r="AD5" s="8">
        <f aca="true" t="shared" si="20" ref="AD5:AD16">(AC5/2.25)^(1/3)</f>
        <v>9.987961051083168</v>
      </c>
      <c r="AE5" s="8">
        <f aca="true" t="shared" si="21" ref="AE5:AE16">AD5*(1.5)</f>
        <v>14.981941576624752</v>
      </c>
      <c r="AF5" s="8">
        <f aca="true" t="shared" si="22" ref="AF5:AF16">(AC5/4)^(1/3)</f>
        <v>8.244880188867432</v>
      </c>
      <c r="AG5" s="8">
        <f aca="true" t="shared" si="23" ref="AG5:AG16">AF5*2</f>
        <v>16.489760377734864</v>
      </c>
      <c r="AH5" s="8"/>
      <c r="AI5" s="8"/>
      <c r="AJ5" s="8"/>
      <c r="AK5" s="8"/>
      <c r="AL5" s="8">
        <f aca="true" t="shared" si="24" ref="AL5:AL16">(X5*12000)/(0.9*60000*0.95*AE5)</f>
        <v>1.4357472958527693</v>
      </c>
      <c r="AM5" s="8">
        <f aca="true" t="shared" si="25" ref="AM5:AM16">(AL5*60000)/(0.85*4000*AD5)</f>
        <v>2.536725649614884</v>
      </c>
      <c r="AN5" s="8">
        <f aca="true" t="shared" si="26" ref="AN5:AN16">AM5/AE5</f>
        <v>0.16931888544891635</v>
      </c>
      <c r="AO5" s="8">
        <f aca="true" t="shared" si="27" ref="AO5:AO16">(X5*12000)/(0.9*60000*(AE5-(AM5/2)))</f>
        <v>1.4901119809657277</v>
      </c>
      <c r="AP5" s="8">
        <f>(3*(4000^0.5)*AD5*Z5)/60000</f>
        <v>0.2564678135520742</v>
      </c>
      <c r="AQ5" s="8">
        <f>(200*AD5*Z5)/60000</f>
        <v>0.2703408124493178</v>
      </c>
      <c r="AR5" s="8">
        <f aca="true" t="shared" si="28" ref="AR5:AR16">ROUND(MAX(AO5:AQ5),2)</f>
        <v>1.49</v>
      </c>
      <c r="AS5" s="8">
        <f aca="true" t="shared" si="29" ref="AS5:AS16">1.875</f>
        <v>1.875</v>
      </c>
      <c r="AT5" s="8">
        <f aca="true" t="shared" si="30" ref="AT5:AT16">(540/(0.6*60))-(2.5*AS5)</f>
        <v>10.3125</v>
      </c>
      <c r="AU5" s="8">
        <f aca="true" t="shared" si="31" ref="AU5:AU16">AR5*(B5*12)</f>
        <v>253.18080000000003</v>
      </c>
      <c r="AV5" s="8">
        <f aca="true" t="shared" si="32" ref="AV5:AV16">(Y5-6)*AD5*(12*B5)</f>
        <v>7840.853059116242</v>
      </c>
    </row>
    <row r="6" spans="1:48" ht="12.75">
      <c r="A6" t="s">
        <v>97</v>
      </c>
      <c r="B6">
        <v>14.16</v>
      </c>
      <c r="C6">
        <v>0</v>
      </c>
      <c r="D6">
        <v>0.25</v>
      </c>
      <c r="E6" s="1">
        <v>15.76</v>
      </c>
      <c r="F6" s="1">
        <v>7.08</v>
      </c>
      <c r="G6" s="1">
        <v>0</v>
      </c>
      <c r="H6" s="1"/>
      <c r="I6" s="8">
        <f t="shared" si="0"/>
        <v>20.008</v>
      </c>
      <c r="J6" s="8">
        <f t="shared" si="1"/>
        <v>0.14129943502824857</v>
      </c>
      <c r="K6" s="8">
        <f t="shared" si="2"/>
        <v>0.28259887005649714</v>
      </c>
      <c r="L6" s="1">
        <f t="shared" si="3"/>
        <v>14</v>
      </c>
      <c r="M6" s="1">
        <f t="shared" si="4"/>
        <v>17</v>
      </c>
      <c r="N6" s="1">
        <f t="shared" si="5"/>
        <v>7</v>
      </c>
      <c r="O6" s="1">
        <f t="shared" si="6"/>
        <v>9</v>
      </c>
      <c r="P6" s="8">
        <f t="shared" si="7"/>
        <v>102.08333333333336</v>
      </c>
      <c r="Q6" s="8">
        <f t="shared" si="8"/>
        <v>159.375</v>
      </c>
      <c r="R6" s="2">
        <v>300</v>
      </c>
      <c r="S6" s="8">
        <f t="shared" si="9"/>
        <v>0.55</v>
      </c>
      <c r="T6" s="8">
        <f t="shared" si="10"/>
        <v>25.105600000000003</v>
      </c>
      <c r="U6" s="8">
        <f t="shared" si="11"/>
        <v>12.552800000000003</v>
      </c>
      <c r="V6" s="8">
        <f t="shared" si="12"/>
        <v>12.5528</v>
      </c>
      <c r="W6" s="8">
        <f t="shared" si="13"/>
        <v>12.552800000000003</v>
      </c>
      <c r="X6" s="8">
        <f t="shared" si="14"/>
        <v>91.95645600000003</v>
      </c>
      <c r="Y6" s="8">
        <f t="shared" si="15"/>
        <v>10.620000000000001</v>
      </c>
      <c r="Z6" s="8">
        <f t="shared" si="16"/>
        <v>8.120000000000001</v>
      </c>
      <c r="AA6" s="8">
        <f t="shared" si="17"/>
        <v>0.15</v>
      </c>
      <c r="AB6" s="8">
        <f t="shared" si="18"/>
        <v>546.9</v>
      </c>
      <c r="AC6" s="8">
        <f t="shared" si="19"/>
        <v>2241.8834887548005</v>
      </c>
      <c r="AD6" s="8">
        <f t="shared" si="20"/>
        <v>9.987961051083168</v>
      </c>
      <c r="AE6" s="8">
        <f t="shared" si="21"/>
        <v>14.981941576624752</v>
      </c>
      <c r="AF6" s="8">
        <f t="shared" si="22"/>
        <v>8.244880188867432</v>
      </c>
      <c r="AG6" s="8">
        <f t="shared" si="23"/>
        <v>16.489760377734864</v>
      </c>
      <c r="AH6" s="8"/>
      <c r="AI6" s="8"/>
      <c r="AJ6" s="8"/>
      <c r="AK6" s="8"/>
      <c r="AL6" s="8">
        <f t="shared" si="24"/>
        <v>1.4357472958527693</v>
      </c>
      <c r="AM6" s="8">
        <f t="shared" si="25"/>
        <v>2.536725649614884</v>
      </c>
      <c r="AN6" s="8">
        <f t="shared" si="26"/>
        <v>0.16931888544891635</v>
      </c>
      <c r="AO6" s="8">
        <f t="shared" si="27"/>
        <v>1.4901119809657277</v>
      </c>
      <c r="AP6" s="8">
        <f>(3*(4000^0.5)*AD6*Z6)/60000</f>
        <v>0.2564678135520742</v>
      </c>
      <c r="AQ6" s="8">
        <f>(200*AD6*Z6)/60000</f>
        <v>0.2703408124493178</v>
      </c>
      <c r="AR6" s="8">
        <f t="shared" si="28"/>
        <v>1.49</v>
      </c>
      <c r="AS6" s="8">
        <f t="shared" si="29"/>
        <v>1.875</v>
      </c>
      <c r="AT6" s="8">
        <f t="shared" si="30"/>
        <v>10.3125</v>
      </c>
      <c r="AU6" s="8">
        <f t="shared" si="31"/>
        <v>253.18080000000003</v>
      </c>
      <c r="AV6" s="8">
        <f t="shared" si="32"/>
        <v>7840.853059116242</v>
      </c>
    </row>
    <row r="7" spans="1:48" ht="12.75">
      <c r="A7" t="s">
        <v>58</v>
      </c>
      <c r="B7">
        <v>12.92</v>
      </c>
      <c r="C7">
        <v>0</v>
      </c>
      <c r="D7">
        <v>0.25</v>
      </c>
      <c r="E7" s="1">
        <v>20.62</v>
      </c>
      <c r="F7" s="1">
        <v>6.46</v>
      </c>
      <c r="G7" s="1">
        <f>C7*60</f>
        <v>0</v>
      </c>
      <c r="H7" s="1"/>
      <c r="I7" s="8">
        <f t="shared" si="0"/>
        <v>24.496000000000002</v>
      </c>
      <c r="J7" s="8">
        <f t="shared" si="1"/>
        <v>0.18959752321981427</v>
      </c>
      <c r="K7" s="8">
        <f t="shared" si="2"/>
        <v>0.37919504643962854</v>
      </c>
      <c r="L7" s="1">
        <f t="shared" si="3"/>
        <v>12</v>
      </c>
      <c r="M7" s="1">
        <f t="shared" si="4"/>
        <v>16</v>
      </c>
      <c r="N7" s="1">
        <f t="shared" si="5"/>
        <v>6</v>
      </c>
      <c r="O7" s="1">
        <f t="shared" si="6"/>
        <v>8</v>
      </c>
      <c r="P7" s="8">
        <f t="shared" si="7"/>
        <v>75</v>
      </c>
      <c r="Q7" s="8">
        <f t="shared" si="8"/>
        <v>133.33333333333331</v>
      </c>
      <c r="R7" s="2">
        <v>300</v>
      </c>
      <c r="S7" s="8">
        <f t="shared" si="9"/>
        <v>0.55</v>
      </c>
      <c r="T7" s="8">
        <f t="shared" si="10"/>
        <v>29.1472</v>
      </c>
      <c r="U7" s="8">
        <f t="shared" si="11"/>
        <v>14.5736</v>
      </c>
      <c r="V7" s="8">
        <f t="shared" si="12"/>
        <v>14.5736</v>
      </c>
      <c r="W7" s="8">
        <f t="shared" si="13"/>
        <v>14.5736</v>
      </c>
      <c r="X7" s="8">
        <f t="shared" si="14"/>
        <v>106.789614</v>
      </c>
      <c r="Y7" s="8">
        <f t="shared" si="15"/>
        <v>9.69</v>
      </c>
      <c r="Z7" s="8">
        <f t="shared" si="16"/>
        <v>7.1899999999999995</v>
      </c>
      <c r="AA7" s="8">
        <f t="shared" si="17"/>
        <v>0.15</v>
      </c>
      <c r="AB7" s="8">
        <f t="shared" si="18"/>
        <v>546.9</v>
      </c>
      <c r="AC7" s="8">
        <f t="shared" si="19"/>
        <v>2603.513475955385</v>
      </c>
      <c r="AD7" s="8">
        <f t="shared" si="20"/>
        <v>10.498464175744274</v>
      </c>
      <c r="AE7" s="8">
        <f t="shared" si="21"/>
        <v>15.747696263616412</v>
      </c>
      <c r="AF7" s="8">
        <f t="shared" si="22"/>
        <v>8.666291233358521</v>
      </c>
      <c r="AG7" s="8">
        <f t="shared" si="23"/>
        <v>17.332582466717042</v>
      </c>
      <c r="AH7" s="8"/>
      <c r="AI7" s="8"/>
      <c r="AJ7" s="8"/>
      <c r="AK7" s="8"/>
      <c r="AL7" s="8">
        <f t="shared" si="24"/>
        <v>1.5862654605791895</v>
      </c>
      <c r="AM7" s="8">
        <f t="shared" si="25"/>
        <v>2.666382379743598</v>
      </c>
      <c r="AN7" s="8">
        <f t="shared" si="26"/>
        <v>0.16931888544891652</v>
      </c>
      <c r="AO7" s="8">
        <f t="shared" si="27"/>
        <v>1.6463295279251977</v>
      </c>
      <c r="AP7" s="8">
        <f>(3*(4000^0.5)*AD7*AE7)/60000</f>
        <v>0.522808693102793</v>
      </c>
      <c r="AQ7" s="8">
        <f>(200*AD7*AE7)/60000</f>
        <v>0.5510887502469296</v>
      </c>
      <c r="AR7" s="8">
        <f t="shared" si="28"/>
        <v>1.65</v>
      </c>
      <c r="AS7" s="8">
        <f t="shared" si="29"/>
        <v>1.875</v>
      </c>
      <c r="AT7" s="8">
        <f t="shared" si="30"/>
        <v>10.3125</v>
      </c>
      <c r="AU7" s="8">
        <f t="shared" si="31"/>
        <v>255.81599999999997</v>
      </c>
      <c r="AV7" s="8">
        <f t="shared" si="32"/>
        <v>6006.146158629276</v>
      </c>
    </row>
    <row r="8" spans="1:48" ht="12.75">
      <c r="A8" t="s">
        <v>99</v>
      </c>
      <c r="B8">
        <v>24</v>
      </c>
      <c r="C8">
        <v>0</v>
      </c>
      <c r="D8">
        <v>0.25</v>
      </c>
      <c r="E8" s="1">
        <v>34.28</v>
      </c>
      <c r="F8" s="1">
        <v>8</v>
      </c>
      <c r="G8" s="1">
        <v>34.28</v>
      </c>
      <c r="H8" s="1">
        <v>16</v>
      </c>
      <c r="I8" s="8">
        <f t="shared" si="0"/>
        <v>75.76</v>
      </c>
      <c r="J8" s="8">
        <f t="shared" si="1"/>
        <v>0.3156666666666667</v>
      </c>
      <c r="K8" s="8">
        <f t="shared" si="2"/>
        <v>0.6313333333333334</v>
      </c>
      <c r="L8" s="1">
        <f t="shared" si="3"/>
        <v>23</v>
      </c>
      <c r="M8" s="1">
        <f t="shared" si="4"/>
        <v>29</v>
      </c>
      <c r="N8" s="1">
        <f t="shared" si="5"/>
        <v>12</v>
      </c>
      <c r="O8" s="1">
        <f t="shared" si="6"/>
        <v>15</v>
      </c>
      <c r="P8" s="8">
        <f t="shared" si="7"/>
        <v>287.5</v>
      </c>
      <c r="Q8" s="8">
        <f t="shared" si="8"/>
        <v>453.12499999999994</v>
      </c>
      <c r="R8" s="2">
        <v>300</v>
      </c>
      <c r="S8" s="8">
        <f t="shared" si="9"/>
        <v>0.55</v>
      </c>
      <c r="T8" s="8">
        <f t="shared" si="10"/>
        <v>84.4</v>
      </c>
      <c r="U8" s="8">
        <f t="shared" si="11"/>
        <v>42.20000000000001</v>
      </c>
      <c r="V8" s="8">
        <f t="shared" si="12"/>
        <v>42.199999999999996</v>
      </c>
      <c r="W8" s="8">
        <f t="shared" si="13"/>
        <v>42.20000000000001</v>
      </c>
      <c r="X8" s="8">
        <f t="shared" si="14"/>
        <v>453.60000000000014</v>
      </c>
      <c r="Y8" s="8">
        <f t="shared" si="15"/>
        <v>18</v>
      </c>
      <c r="Z8" s="8">
        <f t="shared" si="16"/>
        <v>15.5</v>
      </c>
      <c r="AA8" s="8">
        <f t="shared" si="17"/>
        <v>0.15</v>
      </c>
      <c r="AB8" s="8">
        <f t="shared" si="18"/>
        <v>546.9</v>
      </c>
      <c r="AC8" s="8">
        <f t="shared" si="19"/>
        <v>11058.694459681847</v>
      </c>
      <c r="AD8" s="8">
        <f t="shared" si="20"/>
        <v>17.00227802853773</v>
      </c>
      <c r="AE8" s="8">
        <f t="shared" si="21"/>
        <v>25.503417042806596</v>
      </c>
      <c r="AF8" s="8">
        <f t="shared" si="22"/>
        <v>14.035071278927791</v>
      </c>
      <c r="AG8" s="8">
        <f t="shared" si="23"/>
        <v>28.070142557855583</v>
      </c>
      <c r="AH8" s="8"/>
      <c r="AI8" s="8"/>
      <c r="AJ8" s="8"/>
      <c r="AK8" s="8"/>
      <c r="AL8" s="8">
        <f t="shared" si="24"/>
        <v>4.160433207040483</v>
      </c>
      <c r="AM8" s="8">
        <f t="shared" si="25"/>
        <v>4.318210148826917</v>
      </c>
      <c r="AN8" s="8">
        <f t="shared" si="26"/>
        <v>0.16931888544891657</v>
      </c>
      <c r="AO8" s="8">
        <f t="shared" si="27"/>
        <v>4.317968340059774</v>
      </c>
      <c r="AP8" s="8">
        <f>(3*(4000^0.5)*AD8*AE8)/60000</f>
        <v>1.3712147819950031</v>
      </c>
      <c r="AQ8" s="8">
        <f>(200*AD8*AE8)/60000</f>
        <v>1.4453872907984842</v>
      </c>
      <c r="AR8" s="8">
        <f t="shared" si="28"/>
        <v>4.32</v>
      </c>
      <c r="AS8" s="8">
        <f t="shared" si="29"/>
        <v>1.875</v>
      </c>
      <c r="AT8" s="8">
        <f t="shared" si="30"/>
        <v>10.3125</v>
      </c>
      <c r="AU8" s="8">
        <f t="shared" si="31"/>
        <v>1244.16</v>
      </c>
      <c r="AV8" s="8">
        <f t="shared" si="32"/>
        <v>58759.8728666264</v>
      </c>
    </row>
    <row r="9" spans="1:48" ht="12.75">
      <c r="A9" s="5" t="s">
        <v>56</v>
      </c>
      <c r="B9">
        <v>21.33</v>
      </c>
      <c r="C9">
        <v>0</v>
      </c>
      <c r="D9">
        <v>0.25</v>
      </c>
      <c r="E9" s="1">
        <v>43.31</v>
      </c>
      <c r="F9" s="1">
        <v>10.66</v>
      </c>
      <c r="G9" s="1">
        <f>C9*60</f>
        <v>0</v>
      </c>
      <c r="H9" s="1"/>
      <c r="I9" s="8">
        <f t="shared" si="0"/>
        <v>49.709</v>
      </c>
      <c r="J9" s="8">
        <f t="shared" si="1"/>
        <v>0.233047351148617</v>
      </c>
      <c r="K9" s="8">
        <f t="shared" si="2"/>
        <v>0.466094702297234</v>
      </c>
      <c r="L9" s="1">
        <f t="shared" si="3"/>
        <v>20</v>
      </c>
      <c r="M9" s="1">
        <f t="shared" si="4"/>
        <v>26</v>
      </c>
      <c r="N9" s="1">
        <f t="shared" si="5"/>
        <v>10</v>
      </c>
      <c r="O9" s="1">
        <f t="shared" si="6"/>
        <v>13</v>
      </c>
      <c r="P9" s="8">
        <f t="shared" si="7"/>
        <v>208.33333333333337</v>
      </c>
      <c r="Q9" s="8">
        <f t="shared" si="8"/>
        <v>352.08333333333326</v>
      </c>
      <c r="R9" s="2">
        <v>400</v>
      </c>
      <c r="S9" s="8">
        <f t="shared" si="9"/>
        <v>0.65</v>
      </c>
      <c r="T9" s="8">
        <f t="shared" si="10"/>
        <v>59.9474</v>
      </c>
      <c r="U9" s="8">
        <f t="shared" si="11"/>
        <v>29.98385236755743</v>
      </c>
      <c r="V9" s="8">
        <f t="shared" si="12"/>
        <v>29.963547632442573</v>
      </c>
      <c r="W9" s="8">
        <f t="shared" si="13"/>
        <v>29.98385236755743</v>
      </c>
      <c r="X9" s="8">
        <f t="shared" si="14"/>
        <v>368.6470893572433</v>
      </c>
      <c r="Y9" s="8">
        <f t="shared" si="15"/>
        <v>15.997499999999999</v>
      </c>
      <c r="Z9" s="8">
        <f t="shared" si="16"/>
        <v>13.497499999999999</v>
      </c>
      <c r="AA9" s="8">
        <f t="shared" si="17"/>
        <v>0.15</v>
      </c>
      <c r="AB9" s="8">
        <f t="shared" si="18"/>
        <v>546.9</v>
      </c>
      <c r="AC9" s="8">
        <f t="shared" si="19"/>
        <v>8987.556271280388</v>
      </c>
      <c r="AD9" s="8">
        <f t="shared" si="20"/>
        <v>15.866691149724312</v>
      </c>
      <c r="AE9" s="8">
        <f t="shared" si="21"/>
        <v>23.80003672458647</v>
      </c>
      <c r="AF9" s="8">
        <f t="shared" si="22"/>
        <v>13.09766496426748</v>
      </c>
      <c r="AG9" s="8">
        <f t="shared" si="23"/>
        <v>26.19532992853496</v>
      </c>
      <c r="AH9" s="8"/>
      <c r="AI9" s="8"/>
      <c r="AJ9" s="8"/>
      <c r="AK9" s="8"/>
      <c r="AL9" s="8">
        <f t="shared" si="24"/>
        <v>3.6232396728810707</v>
      </c>
      <c r="AM9" s="8">
        <f t="shared" si="25"/>
        <v>4.029795691850262</v>
      </c>
      <c r="AN9" s="8">
        <f t="shared" si="26"/>
        <v>0.16931888544891652</v>
      </c>
      <c r="AO9" s="8">
        <f t="shared" si="27"/>
        <v>3.760433930167109</v>
      </c>
      <c r="AP9" s="8">
        <f>(3*(4000^0.5)*AD9*AE9)/60000</f>
        <v>1.1941640571846637</v>
      </c>
      <c r="AQ9" s="8">
        <f>(200*AD9*AE9)/60000</f>
        <v>1.258759440203699</v>
      </c>
      <c r="AR9" s="8">
        <f t="shared" si="28"/>
        <v>3.76</v>
      </c>
      <c r="AS9" s="8">
        <f t="shared" si="29"/>
        <v>1.875</v>
      </c>
      <c r="AT9" s="8">
        <f t="shared" si="30"/>
        <v>10.3125</v>
      </c>
      <c r="AU9" s="8">
        <f t="shared" si="31"/>
        <v>962.4095999999998</v>
      </c>
      <c r="AV9" s="8">
        <f t="shared" si="32"/>
        <v>40602.229571167634</v>
      </c>
    </row>
    <row r="10" spans="1:48" ht="12.75">
      <c r="A10" t="s">
        <v>57</v>
      </c>
      <c r="B10">
        <v>12.92</v>
      </c>
      <c r="C10">
        <v>0</v>
      </c>
      <c r="D10">
        <v>0.25</v>
      </c>
      <c r="E10" s="1">
        <v>20.62</v>
      </c>
      <c r="F10" s="1">
        <v>6.46</v>
      </c>
      <c r="G10" s="1">
        <f>C10*60</f>
        <v>0</v>
      </c>
      <c r="H10" s="1"/>
      <c r="I10" s="8">
        <f t="shared" si="0"/>
        <v>24.496000000000002</v>
      </c>
      <c r="J10" s="8">
        <f t="shared" si="1"/>
        <v>0.18959752321981427</v>
      </c>
      <c r="K10" s="8">
        <f t="shared" si="2"/>
        <v>0.37919504643962854</v>
      </c>
      <c r="L10" s="1">
        <f t="shared" si="3"/>
        <v>12</v>
      </c>
      <c r="M10" s="1">
        <f t="shared" si="4"/>
        <v>16</v>
      </c>
      <c r="N10" s="1">
        <f t="shared" si="5"/>
        <v>6</v>
      </c>
      <c r="O10" s="1">
        <f t="shared" si="6"/>
        <v>8</v>
      </c>
      <c r="P10" s="8">
        <f t="shared" si="7"/>
        <v>75</v>
      </c>
      <c r="Q10" s="8">
        <f t="shared" si="8"/>
        <v>133.33333333333331</v>
      </c>
      <c r="R10" s="2">
        <v>300</v>
      </c>
      <c r="S10" s="8">
        <f t="shared" si="9"/>
        <v>0.55</v>
      </c>
      <c r="T10" s="8">
        <f t="shared" si="10"/>
        <v>29.1472</v>
      </c>
      <c r="U10" s="8">
        <f t="shared" si="11"/>
        <v>14.5736</v>
      </c>
      <c r="V10" s="8">
        <f t="shared" si="12"/>
        <v>14.5736</v>
      </c>
      <c r="W10" s="8">
        <f t="shared" si="13"/>
        <v>14.5736</v>
      </c>
      <c r="X10" s="8">
        <f t="shared" si="14"/>
        <v>106.789614</v>
      </c>
      <c r="Y10" s="8">
        <f t="shared" si="15"/>
        <v>9.69</v>
      </c>
      <c r="Z10" s="8">
        <f t="shared" si="16"/>
        <v>7.1899999999999995</v>
      </c>
      <c r="AA10" s="8">
        <f t="shared" si="17"/>
        <v>0.15</v>
      </c>
      <c r="AB10" s="8">
        <f t="shared" si="18"/>
        <v>546.9</v>
      </c>
      <c r="AC10" s="8">
        <f t="shared" si="19"/>
        <v>2603.513475955385</v>
      </c>
      <c r="AD10" s="8">
        <f t="shared" si="20"/>
        <v>10.498464175744274</v>
      </c>
      <c r="AE10" s="8">
        <f t="shared" si="21"/>
        <v>15.747696263616412</v>
      </c>
      <c r="AF10" s="8">
        <f t="shared" si="22"/>
        <v>8.666291233358521</v>
      </c>
      <c r="AG10" s="8">
        <f t="shared" si="23"/>
        <v>17.332582466717042</v>
      </c>
      <c r="AH10" s="8"/>
      <c r="AI10" s="8"/>
      <c r="AJ10" s="8"/>
      <c r="AK10" s="8"/>
      <c r="AL10" s="8">
        <f t="shared" si="24"/>
        <v>1.5862654605791895</v>
      </c>
      <c r="AM10" s="8">
        <f t="shared" si="25"/>
        <v>2.666382379743598</v>
      </c>
      <c r="AN10" s="8">
        <f t="shared" si="26"/>
        <v>0.16931888544891652</v>
      </c>
      <c r="AO10" s="8">
        <f t="shared" si="27"/>
        <v>1.6463295279251977</v>
      </c>
      <c r="AP10" s="8">
        <f aca="true" t="shared" si="33" ref="AP10:AP16">(3*(4000^0.5)*AD10*Z10)/60000</f>
        <v>0.23870123226175555</v>
      </c>
      <c r="AQ10" s="8">
        <f aca="true" t="shared" si="34" ref="AQ10:AQ16">(200*AD10*Z10)/60000</f>
        <v>0.25161319141200444</v>
      </c>
      <c r="AR10" s="8">
        <f t="shared" si="28"/>
        <v>1.65</v>
      </c>
      <c r="AS10" s="8">
        <f t="shared" si="29"/>
        <v>1.875</v>
      </c>
      <c r="AT10" s="8">
        <f t="shared" si="30"/>
        <v>10.3125</v>
      </c>
      <c r="AU10" s="8">
        <f t="shared" si="31"/>
        <v>255.81599999999997</v>
      </c>
      <c r="AV10" s="8">
        <f t="shared" si="32"/>
        <v>6006.146158629276</v>
      </c>
    </row>
    <row r="11" spans="1:48" ht="12.75">
      <c r="A11" t="s">
        <v>59</v>
      </c>
      <c r="B11">
        <v>18</v>
      </c>
      <c r="C11">
        <v>0</v>
      </c>
      <c r="D11">
        <v>0.25</v>
      </c>
      <c r="E11" s="1">
        <v>27.01</v>
      </c>
      <c r="F11" s="1">
        <v>9</v>
      </c>
      <c r="G11" s="1">
        <v>0</v>
      </c>
      <c r="H11" s="1"/>
      <c r="I11" s="8">
        <f t="shared" si="0"/>
        <v>32.410000000000004</v>
      </c>
      <c r="J11" s="8">
        <f t="shared" si="1"/>
        <v>0.18005555555555558</v>
      </c>
      <c r="K11" s="8">
        <f t="shared" si="2"/>
        <v>0.36011111111111116</v>
      </c>
      <c r="L11" s="1">
        <f t="shared" si="3"/>
        <v>17</v>
      </c>
      <c r="M11" s="1">
        <f t="shared" si="4"/>
        <v>22</v>
      </c>
      <c r="N11" s="1">
        <f t="shared" si="5"/>
        <v>9</v>
      </c>
      <c r="O11" s="1">
        <f t="shared" si="6"/>
        <v>11</v>
      </c>
      <c r="P11" s="8">
        <f t="shared" si="7"/>
        <v>159.375</v>
      </c>
      <c r="Q11" s="8">
        <f t="shared" si="8"/>
        <v>252.08333333333331</v>
      </c>
      <c r="R11" s="2">
        <v>300</v>
      </c>
      <c r="S11" s="8">
        <f t="shared" si="9"/>
        <v>0.55</v>
      </c>
      <c r="T11" s="8">
        <f t="shared" si="10"/>
        <v>38.89</v>
      </c>
      <c r="U11" s="8">
        <f t="shared" si="11"/>
        <v>19.445</v>
      </c>
      <c r="V11" s="8">
        <f t="shared" si="12"/>
        <v>19.445</v>
      </c>
      <c r="W11" s="8">
        <f t="shared" si="13"/>
        <v>19.445</v>
      </c>
      <c r="X11" s="8">
        <f t="shared" si="14"/>
        <v>195.6825</v>
      </c>
      <c r="Y11" s="8">
        <f t="shared" si="15"/>
        <v>13.5</v>
      </c>
      <c r="Z11" s="8">
        <f t="shared" si="16"/>
        <v>11</v>
      </c>
      <c r="AA11" s="8">
        <f t="shared" si="17"/>
        <v>0.15</v>
      </c>
      <c r="AB11" s="8">
        <f t="shared" si="18"/>
        <v>546.9</v>
      </c>
      <c r="AC11" s="8">
        <f t="shared" si="19"/>
        <v>4770.707624794295</v>
      </c>
      <c r="AD11" s="8">
        <f t="shared" si="20"/>
        <v>12.846951791844965</v>
      </c>
      <c r="AE11" s="8">
        <f t="shared" si="21"/>
        <v>19.270427687767448</v>
      </c>
      <c r="AF11" s="8">
        <f t="shared" si="22"/>
        <v>10.60492504668213</v>
      </c>
      <c r="AG11" s="8">
        <f t="shared" si="23"/>
        <v>21.20985009336426</v>
      </c>
      <c r="AH11" s="8"/>
      <c r="AI11" s="8"/>
      <c r="AJ11" s="8"/>
      <c r="AK11" s="8"/>
      <c r="AL11" s="8">
        <f t="shared" si="24"/>
        <v>2.3753330726324613</v>
      </c>
      <c r="AM11" s="8">
        <f t="shared" si="25"/>
        <v>3.262847338216723</v>
      </c>
      <c r="AN11" s="8">
        <f t="shared" si="26"/>
        <v>0.16931888544891638</v>
      </c>
      <c r="AO11" s="8">
        <f t="shared" si="27"/>
        <v>2.4652752476273725</v>
      </c>
      <c r="AP11" s="8">
        <f t="shared" si="33"/>
        <v>0.44688191517872605</v>
      </c>
      <c r="AQ11" s="8">
        <f t="shared" si="34"/>
        <v>0.4710548990343154</v>
      </c>
      <c r="AR11" s="8">
        <f t="shared" si="28"/>
        <v>2.47</v>
      </c>
      <c r="AS11" s="8">
        <f t="shared" si="29"/>
        <v>1.875</v>
      </c>
      <c r="AT11" s="8">
        <f t="shared" si="30"/>
        <v>10.3125</v>
      </c>
      <c r="AU11" s="8">
        <f t="shared" si="31"/>
        <v>533.5200000000001</v>
      </c>
      <c r="AV11" s="8">
        <f t="shared" si="32"/>
        <v>20812.061902788846</v>
      </c>
    </row>
    <row r="12" spans="1:48" ht="12.75">
      <c r="A12" t="s">
        <v>62</v>
      </c>
      <c r="B12">
        <v>18</v>
      </c>
      <c r="C12">
        <v>0</v>
      </c>
      <c r="D12">
        <v>0.25</v>
      </c>
      <c r="E12" s="1">
        <v>27.01</v>
      </c>
      <c r="F12" s="1">
        <v>9</v>
      </c>
      <c r="G12" s="1">
        <v>0</v>
      </c>
      <c r="H12" s="1"/>
      <c r="I12" s="8">
        <f t="shared" si="0"/>
        <v>32.410000000000004</v>
      </c>
      <c r="J12" s="8">
        <f t="shared" si="1"/>
        <v>0.18005555555555558</v>
      </c>
      <c r="K12" s="8">
        <f t="shared" si="2"/>
        <v>0.36011111111111116</v>
      </c>
      <c r="L12" s="1">
        <f t="shared" si="3"/>
        <v>17</v>
      </c>
      <c r="M12" s="1">
        <f t="shared" si="4"/>
        <v>22</v>
      </c>
      <c r="N12" s="1">
        <f t="shared" si="5"/>
        <v>9</v>
      </c>
      <c r="O12" s="1">
        <f t="shared" si="6"/>
        <v>11</v>
      </c>
      <c r="P12" s="8">
        <f t="shared" si="7"/>
        <v>159.375</v>
      </c>
      <c r="Q12" s="8">
        <f t="shared" si="8"/>
        <v>252.08333333333331</v>
      </c>
      <c r="R12" s="2">
        <v>300</v>
      </c>
      <c r="S12" s="8">
        <f t="shared" si="9"/>
        <v>0.55</v>
      </c>
      <c r="T12" s="8">
        <f t="shared" si="10"/>
        <v>38.89</v>
      </c>
      <c r="U12" s="8">
        <f t="shared" si="11"/>
        <v>19.445</v>
      </c>
      <c r="V12" s="8">
        <f t="shared" si="12"/>
        <v>19.445</v>
      </c>
      <c r="W12" s="8">
        <f t="shared" si="13"/>
        <v>19.445</v>
      </c>
      <c r="X12" s="8">
        <f t="shared" si="14"/>
        <v>195.6825</v>
      </c>
      <c r="Y12" s="8">
        <f t="shared" si="15"/>
        <v>13.5</v>
      </c>
      <c r="Z12" s="8">
        <f t="shared" si="16"/>
        <v>11</v>
      </c>
      <c r="AA12" s="8">
        <f t="shared" si="17"/>
        <v>0.15</v>
      </c>
      <c r="AB12" s="8">
        <f t="shared" si="18"/>
        <v>546.9</v>
      </c>
      <c r="AC12" s="8">
        <f t="shared" si="19"/>
        <v>4770.707624794295</v>
      </c>
      <c r="AD12" s="8">
        <f t="shared" si="20"/>
        <v>12.846951791844965</v>
      </c>
      <c r="AE12" s="8">
        <f t="shared" si="21"/>
        <v>19.270427687767448</v>
      </c>
      <c r="AF12" s="8">
        <f t="shared" si="22"/>
        <v>10.60492504668213</v>
      </c>
      <c r="AG12" s="8">
        <f t="shared" si="23"/>
        <v>21.20985009336426</v>
      </c>
      <c r="AH12" s="8"/>
      <c r="AI12" s="8"/>
      <c r="AJ12" s="8"/>
      <c r="AK12" s="8"/>
      <c r="AL12" s="8">
        <f t="shared" si="24"/>
        <v>2.3753330726324613</v>
      </c>
      <c r="AM12" s="8">
        <f t="shared" si="25"/>
        <v>3.262847338216723</v>
      </c>
      <c r="AN12" s="8">
        <f t="shared" si="26"/>
        <v>0.16931888544891638</v>
      </c>
      <c r="AO12" s="8">
        <f t="shared" si="27"/>
        <v>2.4652752476273725</v>
      </c>
      <c r="AP12" s="8">
        <f t="shared" si="33"/>
        <v>0.44688191517872605</v>
      </c>
      <c r="AQ12" s="8">
        <f t="shared" si="34"/>
        <v>0.4710548990343154</v>
      </c>
      <c r="AR12" s="8">
        <f t="shared" si="28"/>
        <v>2.47</v>
      </c>
      <c r="AS12" s="8">
        <f t="shared" si="29"/>
        <v>1.875</v>
      </c>
      <c r="AT12" s="8">
        <f t="shared" si="30"/>
        <v>10.3125</v>
      </c>
      <c r="AU12" s="8">
        <f t="shared" si="31"/>
        <v>533.5200000000001</v>
      </c>
      <c r="AV12" s="8">
        <f t="shared" si="32"/>
        <v>20812.061902788846</v>
      </c>
    </row>
    <row r="13" spans="1:48" ht="12.75">
      <c r="A13" t="s">
        <v>63</v>
      </c>
      <c r="B13">
        <v>18</v>
      </c>
      <c r="C13">
        <v>0</v>
      </c>
      <c r="D13">
        <v>0.25</v>
      </c>
      <c r="E13" s="1">
        <v>27.01</v>
      </c>
      <c r="F13" s="1">
        <v>9</v>
      </c>
      <c r="G13" s="1">
        <v>0</v>
      </c>
      <c r="H13" s="1"/>
      <c r="I13" s="8">
        <f t="shared" si="0"/>
        <v>32.410000000000004</v>
      </c>
      <c r="J13" s="8">
        <f t="shared" si="1"/>
        <v>0.18005555555555558</v>
      </c>
      <c r="K13" s="8">
        <f t="shared" si="2"/>
        <v>0.36011111111111116</v>
      </c>
      <c r="L13" s="1">
        <f t="shared" si="3"/>
        <v>17</v>
      </c>
      <c r="M13" s="1">
        <f t="shared" si="4"/>
        <v>22</v>
      </c>
      <c r="N13" s="1">
        <f t="shared" si="5"/>
        <v>9</v>
      </c>
      <c r="O13" s="1">
        <f t="shared" si="6"/>
        <v>11</v>
      </c>
      <c r="P13" s="8">
        <f t="shared" si="7"/>
        <v>159.375</v>
      </c>
      <c r="Q13" s="8">
        <f t="shared" si="8"/>
        <v>252.08333333333331</v>
      </c>
      <c r="R13" s="2">
        <v>300</v>
      </c>
      <c r="S13" s="8">
        <f t="shared" si="9"/>
        <v>0.55</v>
      </c>
      <c r="T13" s="8">
        <f t="shared" si="10"/>
        <v>38.89</v>
      </c>
      <c r="U13" s="8">
        <f t="shared" si="11"/>
        <v>19.445</v>
      </c>
      <c r="V13" s="8">
        <f t="shared" si="12"/>
        <v>19.445</v>
      </c>
      <c r="W13" s="8">
        <f t="shared" si="13"/>
        <v>19.445</v>
      </c>
      <c r="X13" s="8">
        <f t="shared" si="14"/>
        <v>195.6825</v>
      </c>
      <c r="Y13" s="8">
        <f t="shared" si="15"/>
        <v>13.5</v>
      </c>
      <c r="Z13" s="8">
        <f t="shared" si="16"/>
        <v>11</v>
      </c>
      <c r="AA13" s="8">
        <f t="shared" si="17"/>
        <v>0.15</v>
      </c>
      <c r="AB13" s="8">
        <f t="shared" si="18"/>
        <v>546.9</v>
      </c>
      <c r="AC13" s="8">
        <f t="shared" si="19"/>
        <v>4770.707624794295</v>
      </c>
      <c r="AD13" s="8">
        <f t="shared" si="20"/>
        <v>12.846951791844965</v>
      </c>
      <c r="AE13" s="8">
        <f t="shared" si="21"/>
        <v>19.270427687767448</v>
      </c>
      <c r="AF13" s="8">
        <f t="shared" si="22"/>
        <v>10.60492504668213</v>
      </c>
      <c r="AG13" s="8">
        <f t="shared" si="23"/>
        <v>21.20985009336426</v>
      </c>
      <c r="AH13" s="8"/>
      <c r="AI13" s="8"/>
      <c r="AJ13" s="8"/>
      <c r="AK13" s="8"/>
      <c r="AL13" s="8">
        <f t="shared" si="24"/>
        <v>2.3753330726324613</v>
      </c>
      <c r="AM13" s="8">
        <f t="shared" si="25"/>
        <v>3.262847338216723</v>
      </c>
      <c r="AN13" s="8">
        <f t="shared" si="26"/>
        <v>0.16931888544891638</v>
      </c>
      <c r="AO13" s="8">
        <f t="shared" si="27"/>
        <v>2.4652752476273725</v>
      </c>
      <c r="AP13" s="8">
        <f t="shared" si="33"/>
        <v>0.44688191517872605</v>
      </c>
      <c r="AQ13" s="8">
        <f t="shared" si="34"/>
        <v>0.4710548990343154</v>
      </c>
      <c r="AR13" s="8">
        <f t="shared" si="28"/>
        <v>2.47</v>
      </c>
      <c r="AS13" s="8">
        <f t="shared" si="29"/>
        <v>1.875</v>
      </c>
      <c r="AT13" s="8">
        <f t="shared" si="30"/>
        <v>10.3125</v>
      </c>
      <c r="AU13" s="8">
        <f t="shared" si="31"/>
        <v>533.5200000000001</v>
      </c>
      <c r="AV13" s="8">
        <f t="shared" si="32"/>
        <v>20812.061902788846</v>
      </c>
    </row>
    <row r="14" spans="1:48" ht="12.75">
      <c r="A14" t="s">
        <v>64</v>
      </c>
      <c r="B14">
        <v>18</v>
      </c>
      <c r="C14">
        <v>0</v>
      </c>
      <c r="D14">
        <v>0.25</v>
      </c>
      <c r="E14" s="1">
        <v>27.01</v>
      </c>
      <c r="F14" s="1">
        <v>9</v>
      </c>
      <c r="G14" s="1">
        <v>0</v>
      </c>
      <c r="H14" s="1"/>
      <c r="I14" s="8">
        <f t="shared" si="0"/>
        <v>32.410000000000004</v>
      </c>
      <c r="J14" s="8">
        <f t="shared" si="1"/>
        <v>0.18005555555555558</v>
      </c>
      <c r="K14" s="8">
        <f t="shared" si="2"/>
        <v>0.36011111111111116</v>
      </c>
      <c r="L14" s="1">
        <f t="shared" si="3"/>
        <v>17</v>
      </c>
      <c r="M14" s="1">
        <f t="shared" si="4"/>
        <v>22</v>
      </c>
      <c r="N14" s="1">
        <f t="shared" si="5"/>
        <v>9</v>
      </c>
      <c r="O14" s="1">
        <f t="shared" si="6"/>
        <v>11</v>
      </c>
      <c r="P14" s="8">
        <f t="shared" si="7"/>
        <v>159.375</v>
      </c>
      <c r="Q14" s="8">
        <f t="shared" si="8"/>
        <v>252.08333333333331</v>
      </c>
      <c r="R14" s="2">
        <v>300</v>
      </c>
      <c r="S14" s="8">
        <f t="shared" si="9"/>
        <v>0.55</v>
      </c>
      <c r="T14" s="8">
        <f t="shared" si="10"/>
        <v>38.89</v>
      </c>
      <c r="U14" s="8">
        <f t="shared" si="11"/>
        <v>19.445</v>
      </c>
      <c r="V14" s="8">
        <f t="shared" si="12"/>
        <v>19.445</v>
      </c>
      <c r="W14" s="8">
        <f t="shared" si="13"/>
        <v>19.445</v>
      </c>
      <c r="X14" s="8">
        <f t="shared" si="14"/>
        <v>195.6825</v>
      </c>
      <c r="Y14" s="8">
        <f t="shared" si="15"/>
        <v>13.5</v>
      </c>
      <c r="Z14" s="8">
        <f t="shared" si="16"/>
        <v>11</v>
      </c>
      <c r="AA14" s="8">
        <f t="shared" si="17"/>
        <v>0.15</v>
      </c>
      <c r="AB14" s="8">
        <f t="shared" si="18"/>
        <v>546.9</v>
      </c>
      <c r="AC14" s="8">
        <f t="shared" si="19"/>
        <v>4770.707624794295</v>
      </c>
      <c r="AD14" s="8">
        <f t="shared" si="20"/>
        <v>12.846951791844965</v>
      </c>
      <c r="AE14" s="8">
        <f t="shared" si="21"/>
        <v>19.270427687767448</v>
      </c>
      <c r="AF14" s="8">
        <f t="shared" si="22"/>
        <v>10.60492504668213</v>
      </c>
      <c r="AG14" s="8">
        <f t="shared" si="23"/>
        <v>21.20985009336426</v>
      </c>
      <c r="AH14" s="8"/>
      <c r="AI14" s="8"/>
      <c r="AJ14" s="8"/>
      <c r="AK14" s="8"/>
      <c r="AL14" s="8">
        <f t="shared" si="24"/>
        <v>2.3753330726324613</v>
      </c>
      <c r="AM14" s="8">
        <f t="shared" si="25"/>
        <v>3.262847338216723</v>
      </c>
      <c r="AN14" s="8">
        <f t="shared" si="26"/>
        <v>0.16931888544891638</v>
      </c>
      <c r="AO14" s="8">
        <f t="shared" si="27"/>
        <v>2.4652752476273725</v>
      </c>
      <c r="AP14" s="8">
        <f t="shared" si="33"/>
        <v>0.44688191517872605</v>
      </c>
      <c r="AQ14" s="8">
        <f t="shared" si="34"/>
        <v>0.4710548990343154</v>
      </c>
      <c r="AR14" s="8">
        <f t="shared" si="28"/>
        <v>2.47</v>
      </c>
      <c r="AS14" s="8">
        <f t="shared" si="29"/>
        <v>1.875</v>
      </c>
      <c r="AT14" s="8">
        <f t="shared" si="30"/>
        <v>10.3125</v>
      </c>
      <c r="AU14" s="8">
        <f t="shared" si="31"/>
        <v>533.5200000000001</v>
      </c>
      <c r="AV14" s="8">
        <f t="shared" si="32"/>
        <v>20812.061902788846</v>
      </c>
    </row>
    <row r="15" spans="1:48" ht="12.75">
      <c r="A15" t="s">
        <v>60</v>
      </c>
      <c r="B15">
        <v>14.16</v>
      </c>
      <c r="C15">
        <v>0</v>
      </c>
      <c r="D15">
        <v>0.25</v>
      </c>
      <c r="E15" s="1">
        <v>15.76</v>
      </c>
      <c r="F15" s="1">
        <v>7.08</v>
      </c>
      <c r="G15" s="1">
        <v>0</v>
      </c>
      <c r="H15" s="1"/>
      <c r="I15" s="8">
        <f t="shared" si="0"/>
        <v>20.008</v>
      </c>
      <c r="J15" s="8">
        <f t="shared" si="1"/>
        <v>0.14129943502824857</v>
      </c>
      <c r="K15" s="8">
        <f t="shared" si="2"/>
        <v>0.28259887005649714</v>
      </c>
      <c r="L15" s="1">
        <f t="shared" si="3"/>
        <v>14</v>
      </c>
      <c r="M15" s="1">
        <f t="shared" si="4"/>
        <v>17</v>
      </c>
      <c r="N15" s="1">
        <f t="shared" si="5"/>
        <v>7</v>
      </c>
      <c r="O15" s="1">
        <f t="shared" si="6"/>
        <v>9</v>
      </c>
      <c r="P15" s="8">
        <f t="shared" si="7"/>
        <v>102.08333333333336</v>
      </c>
      <c r="Q15" s="8">
        <f t="shared" si="8"/>
        <v>159.375</v>
      </c>
      <c r="R15" s="2">
        <v>300</v>
      </c>
      <c r="S15" s="8">
        <f t="shared" si="9"/>
        <v>0.55</v>
      </c>
      <c r="T15" s="8">
        <f t="shared" si="10"/>
        <v>25.105600000000003</v>
      </c>
      <c r="U15" s="8">
        <f t="shared" si="11"/>
        <v>12.552800000000003</v>
      </c>
      <c r="V15" s="8">
        <f t="shared" si="12"/>
        <v>12.5528</v>
      </c>
      <c r="W15" s="8">
        <f t="shared" si="13"/>
        <v>12.552800000000003</v>
      </c>
      <c r="X15" s="8">
        <f t="shared" si="14"/>
        <v>91.95645600000003</v>
      </c>
      <c r="Y15" s="8">
        <f t="shared" si="15"/>
        <v>10.620000000000001</v>
      </c>
      <c r="Z15" s="8">
        <f t="shared" si="16"/>
        <v>8.120000000000001</v>
      </c>
      <c r="AA15" s="8">
        <f t="shared" si="17"/>
        <v>0.15</v>
      </c>
      <c r="AB15" s="8">
        <f t="shared" si="18"/>
        <v>546.9</v>
      </c>
      <c r="AC15" s="8">
        <f t="shared" si="19"/>
        <v>2241.8834887548005</v>
      </c>
      <c r="AD15" s="8">
        <f t="shared" si="20"/>
        <v>9.987961051083168</v>
      </c>
      <c r="AE15" s="8">
        <f t="shared" si="21"/>
        <v>14.981941576624752</v>
      </c>
      <c r="AF15" s="8">
        <f t="shared" si="22"/>
        <v>8.244880188867432</v>
      </c>
      <c r="AG15" s="8">
        <f t="shared" si="23"/>
        <v>16.489760377734864</v>
      </c>
      <c r="AH15" s="8"/>
      <c r="AI15" s="8"/>
      <c r="AJ15" s="8"/>
      <c r="AK15" s="8"/>
      <c r="AL15" s="8">
        <f t="shared" si="24"/>
        <v>1.4357472958527693</v>
      </c>
      <c r="AM15" s="8">
        <f t="shared" si="25"/>
        <v>2.536725649614884</v>
      </c>
      <c r="AN15" s="8">
        <f t="shared" si="26"/>
        <v>0.16931888544891635</v>
      </c>
      <c r="AO15" s="8">
        <f t="shared" si="27"/>
        <v>1.4901119809657277</v>
      </c>
      <c r="AP15" s="8">
        <f t="shared" si="33"/>
        <v>0.2564678135520742</v>
      </c>
      <c r="AQ15" s="8">
        <f t="shared" si="34"/>
        <v>0.2703408124493178</v>
      </c>
      <c r="AR15" s="8">
        <f t="shared" si="28"/>
        <v>1.49</v>
      </c>
      <c r="AS15" s="8">
        <f t="shared" si="29"/>
        <v>1.875</v>
      </c>
      <c r="AT15" s="8">
        <f t="shared" si="30"/>
        <v>10.3125</v>
      </c>
      <c r="AU15" s="8">
        <f t="shared" si="31"/>
        <v>253.18080000000003</v>
      </c>
      <c r="AV15" s="8">
        <f t="shared" si="32"/>
        <v>7840.853059116242</v>
      </c>
    </row>
    <row r="16" spans="1:48" ht="12.75" customHeight="1">
      <c r="A16" t="s">
        <v>61</v>
      </c>
      <c r="B16">
        <v>14.16</v>
      </c>
      <c r="C16">
        <v>0</v>
      </c>
      <c r="D16">
        <v>0.25</v>
      </c>
      <c r="E16" s="1">
        <v>15.76</v>
      </c>
      <c r="F16" s="1">
        <v>7.08</v>
      </c>
      <c r="G16" s="1">
        <v>0</v>
      </c>
      <c r="H16" s="1"/>
      <c r="I16" s="8">
        <f t="shared" si="0"/>
        <v>20.008</v>
      </c>
      <c r="J16" s="8">
        <f t="shared" si="1"/>
        <v>0.14129943502824857</v>
      </c>
      <c r="K16" s="8">
        <f t="shared" si="2"/>
        <v>0.28259887005649714</v>
      </c>
      <c r="L16" s="1">
        <f t="shared" si="3"/>
        <v>14</v>
      </c>
      <c r="M16" s="1">
        <f t="shared" si="4"/>
        <v>17</v>
      </c>
      <c r="N16" s="1">
        <f t="shared" si="5"/>
        <v>7</v>
      </c>
      <c r="O16" s="1">
        <f t="shared" si="6"/>
        <v>9</v>
      </c>
      <c r="P16" s="8">
        <f t="shared" si="7"/>
        <v>102.08333333333336</v>
      </c>
      <c r="Q16" s="8">
        <f t="shared" si="8"/>
        <v>159.375</v>
      </c>
      <c r="R16" s="2">
        <v>300</v>
      </c>
      <c r="S16" s="8">
        <f t="shared" si="9"/>
        <v>0.55</v>
      </c>
      <c r="T16" s="8">
        <f t="shared" si="10"/>
        <v>25.105600000000003</v>
      </c>
      <c r="U16" s="8">
        <f t="shared" si="11"/>
        <v>12.552800000000003</v>
      </c>
      <c r="V16" s="8">
        <f t="shared" si="12"/>
        <v>12.5528</v>
      </c>
      <c r="W16" s="8">
        <f t="shared" si="13"/>
        <v>12.552800000000003</v>
      </c>
      <c r="X16" s="8">
        <f t="shared" si="14"/>
        <v>91.95645600000003</v>
      </c>
      <c r="Y16" s="8">
        <f t="shared" si="15"/>
        <v>10.620000000000001</v>
      </c>
      <c r="Z16" s="8">
        <f t="shared" si="16"/>
        <v>8.120000000000001</v>
      </c>
      <c r="AA16" s="8">
        <f t="shared" si="17"/>
        <v>0.15</v>
      </c>
      <c r="AB16" s="8">
        <f t="shared" si="18"/>
        <v>546.9</v>
      </c>
      <c r="AC16" s="8">
        <f t="shared" si="19"/>
        <v>2241.8834887548005</v>
      </c>
      <c r="AD16" s="8">
        <f t="shared" si="20"/>
        <v>9.987961051083168</v>
      </c>
      <c r="AE16" s="8">
        <f t="shared" si="21"/>
        <v>14.981941576624752</v>
      </c>
      <c r="AF16" s="8">
        <f t="shared" si="22"/>
        <v>8.244880188867432</v>
      </c>
      <c r="AG16" s="8">
        <f t="shared" si="23"/>
        <v>16.489760377734864</v>
      </c>
      <c r="AH16" s="8"/>
      <c r="AI16" s="8"/>
      <c r="AJ16" s="8"/>
      <c r="AK16" s="8"/>
      <c r="AL16" s="8">
        <f t="shared" si="24"/>
        <v>1.4357472958527693</v>
      </c>
      <c r="AM16" s="8">
        <f t="shared" si="25"/>
        <v>2.536725649614884</v>
      </c>
      <c r="AN16" s="8">
        <f t="shared" si="26"/>
        <v>0.16931888544891635</v>
      </c>
      <c r="AO16" s="8">
        <f t="shared" si="27"/>
        <v>1.4901119809657277</v>
      </c>
      <c r="AP16" s="8">
        <f t="shared" si="33"/>
        <v>0.2564678135520742</v>
      </c>
      <c r="AQ16" s="8">
        <f t="shared" si="34"/>
        <v>0.2703408124493178</v>
      </c>
      <c r="AR16" s="8">
        <f t="shared" si="28"/>
        <v>1.49</v>
      </c>
      <c r="AS16" s="8">
        <f t="shared" si="29"/>
        <v>1.875</v>
      </c>
      <c r="AT16" s="8">
        <f t="shared" si="30"/>
        <v>10.3125</v>
      </c>
      <c r="AU16" s="8">
        <f t="shared" si="31"/>
        <v>253.18080000000003</v>
      </c>
      <c r="AV16" s="8">
        <f t="shared" si="32"/>
        <v>7840.853059116242</v>
      </c>
    </row>
    <row r="17" spans="5:48" ht="12.75">
      <c r="E17" s="1"/>
      <c r="F17" s="1"/>
      <c r="G17" s="1"/>
      <c r="H17" s="1"/>
      <c r="I17" s="8"/>
      <c r="J17" s="8"/>
      <c r="K17" s="8"/>
      <c r="L17" s="1"/>
      <c r="M17" s="1"/>
      <c r="N17" s="1"/>
      <c r="O17" s="1"/>
      <c r="P17" s="8"/>
      <c r="Q17" s="8"/>
      <c r="R17" s="2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5:48" ht="12.75">
      <c r="E18" s="1"/>
      <c r="F18" s="1"/>
      <c r="G18" s="1"/>
      <c r="H18" s="1"/>
      <c r="I18" s="8"/>
      <c r="J18" s="8"/>
      <c r="K18" s="8"/>
      <c r="L18" s="1"/>
      <c r="M18" s="1"/>
      <c r="N18" s="1"/>
      <c r="O18" s="1"/>
      <c r="P18" s="8"/>
      <c r="Q18" s="8"/>
      <c r="R18" s="2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2.75">
      <c r="A19" t="s">
        <v>65</v>
      </c>
      <c r="B19">
        <v>20.75</v>
      </c>
      <c r="C19">
        <v>0</v>
      </c>
      <c r="D19">
        <v>0.25</v>
      </c>
      <c r="E19" s="1">
        <v>42.36</v>
      </c>
      <c r="F19" s="1">
        <v>9.38</v>
      </c>
      <c r="G19" s="1">
        <v>0</v>
      </c>
      <c r="H19" s="1"/>
      <c r="I19" s="8">
        <f aca="true" t="shared" si="35" ref="I19:I33">(1.2*D19*B19)+E19+G19</f>
        <v>48.585</v>
      </c>
      <c r="J19" s="8">
        <f aca="true" t="shared" si="36" ref="J19:J33">(0.1*I19)/B19</f>
        <v>0.23414457831325303</v>
      </c>
      <c r="K19" s="8">
        <f aca="true" t="shared" si="37" ref="K19:K33">(0.2*I19)/B19</f>
        <v>0.46828915662650605</v>
      </c>
      <c r="L19" s="1">
        <f aca="true" t="shared" si="38" ref="L19:L33">ROUND(((0.08*B19)*12),0)</f>
        <v>20</v>
      </c>
      <c r="M19" s="1">
        <f aca="true" t="shared" si="39" ref="M19:M33">ROUND(((0.1*B19)*12),0)</f>
        <v>25</v>
      </c>
      <c r="N19" s="1">
        <f aca="true" t="shared" si="40" ref="N19:N33">ROUND((0.5*L19),0)</f>
        <v>10</v>
      </c>
      <c r="O19" s="1">
        <f aca="true" t="shared" si="41" ref="O19:O33">ROUND((0.5*M19),0)</f>
        <v>13</v>
      </c>
      <c r="P19" s="8">
        <f aca="true" t="shared" si="42" ref="P19:P33">(N19/12)*(L19/12)*150</f>
        <v>208.33333333333337</v>
      </c>
      <c r="Q19" s="8">
        <f aca="true" t="shared" si="43" ref="Q19:Q33">(O19/12)*(M19/12)*150</f>
        <v>338.5416666666667</v>
      </c>
      <c r="R19" s="2">
        <v>300</v>
      </c>
      <c r="S19" s="8">
        <f aca="true" t="shared" si="44" ref="S19:S33">D19+(R19/1000)</f>
        <v>0.55</v>
      </c>
      <c r="T19" s="8">
        <f aca="true" t="shared" si="45" ref="T19:T33">(1.2*S19*B19)+E19+G19</f>
        <v>56.055</v>
      </c>
      <c r="U19" s="8">
        <f aca="true" t="shared" si="46" ref="U19:U33">T19-V19</f>
        <v>30.05873855421687</v>
      </c>
      <c r="V19" s="8">
        <f aca="true" t="shared" si="47" ref="V19:V33">((E19*F19)+(G19*H19)+((1.2*S19)*B19*(0.5*B19)))/B19</f>
        <v>25.99626144578313</v>
      </c>
      <c r="W19" s="8">
        <f aca="true" t="shared" si="48" ref="W19:W33">MAX(U19:V19)</f>
        <v>30.05873855421687</v>
      </c>
      <c r="X19" s="8">
        <f aca="true" t="shared" si="49" ref="X19:X33">(((U19-((S19)*F19))*F19)/2)+(F19*(U19-((S19)*F19)))</f>
        <v>350.3393214578313</v>
      </c>
      <c r="Y19" s="8">
        <f aca="true" t="shared" si="50" ref="Y19:Y33">(B19/16)*12</f>
        <v>15.5625</v>
      </c>
      <c r="Z19" s="8">
        <f aca="true" t="shared" si="51" ref="Z19:Z33">Y19-2.5</f>
        <v>13.0625</v>
      </c>
      <c r="AA19" s="8">
        <f aca="true" t="shared" si="52" ref="AA19:AA33">(60000/4000)*0.01</f>
        <v>0.15</v>
      </c>
      <c r="AB19" s="8">
        <f aca="true" t="shared" si="53" ref="AB19:AB33">4000*AA19*(1-(0.59*AA19))</f>
        <v>546.9</v>
      </c>
      <c r="AC19" s="8">
        <f aca="true" t="shared" si="54" ref="AC19:AC33">(12000*X19)/(AB19*0.9)</f>
        <v>8541.215858056472</v>
      </c>
      <c r="AD19" s="8">
        <f aca="true" t="shared" si="55" ref="AD19:AD33">(AC19/2.25)^(1/3)</f>
        <v>15.599561593139217</v>
      </c>
      <c r="AE19" s="8">
        <f aca="true" t="shared" si="56" ref="AE19:AE33">AD19*(1.5)</f>
        <v>23.399342389708828</v>
      </c>
      <c r="AF19" s="8">
        <f aca="true" t="shared" si="57" ref="AF19:AF33">(AC19/4)^(1/3)</f>
        <v>12.877154373799119</v>
      </c>
      <c r="AG19" s="8">
        <f aca="true" t="shared" si="58" ref="AG19:AG33">AF19*2</f>
        <v>25.754308747598238</v>
      </c>
      <c r="AH19" s="8"/>
      <c r="AI19" s="8"/>
      <c r="AJ19" s="8"/>
      <c r="AK19" s="8"/>
      <c r="AL19" s="8">
        <f aca="true" t="shared" si="59" ref="AL19:AL33">(X19*12000)/(0.9*60000*0.95*AE19)</f>
        <v>3.5022658801604</v>
      </c>
      <c r="AM19" s="8">
        <f aca="true" t="shared" si="60" ref="AM19:AM33">(AL19*60000)/(0.85*4000*AD19)</f>
        <v>3.961950573663087</v>
      </c>
      <c r="AN19" s="8">
        <f aca="true" t="shared" si="61" ref="AN19:AN33">AM19/AE19</f>
        <v>0.1693188854489166</v>
      </c>
      <c r="AO19" s="8">
        <f aca="true" t="shared" si="62" ref="AO19:AO33">(X19*12000)/(0.9*60000*(AE19-(AM19/2)))</f>
        <v>3.634879455200213</v>
      </c>
      <c r="AP19" s="8">
        <f aca="true" t="shared" si="63" ref="AP19:AP33">(3*(4000^0.5)*AD19*Z19)/60000</f>
        <v>0.6443750208181627</v>
      </c>
      <c r="AQ19" s="8">
        <f aca="true" t="shared" si="64" ref="AQ19:AQ33">(200*AD19*Z19)/60000</f>
        <v>0.6792309110346034</v>
      </c>
      <c r="AR19" s="8">
        <f aca="true" t="shared" si="65" ref="AR19:AR33">ROUND(MAX(AO19:AQ19),2)</f>
        <v>3.63</v>
      </c>
      <c r="AS19" s="8">
        <f aca="true" t="shared" si="66" ref="AS19:AS33">1.875</f>
        <v>1.875</v>
      </c>
      <c r="AT19" s="8">
        <f aca="true" t="shared" si="67" ref="AT19:AT33">(540/(0.6*60))-(2.5*AS19)</f>
        <v>10.3125</v>
      </c>
      <c r="AU19" s="8">
        <f aca="true" t="shared" si="68" ref="AU19:AU33">AR19*(B19*12)</f>
        <v>903.87</v>
      </c>
      <c r="AV19" s="8">
        <f aca="true" t="shared" si="69" ref="AV19:AV33">(Y19-6)*AD19*(12*B19)</f>
        <v>37143.53112586405</v>
      </c>
    </row>
    <row r="20" spans="1:48" ht="12.75">
      <c r="A20" s="22" t="s">
        <v>73</v>
      </c>
      <c r="B20">
        <v>13</v>
      </c>
      <c r="C20">
        <v>0</v>
      </c>
      <c r="D20">
        <v>0.25</v>
      </c>
      <c r="E20" s="1">
        <v>20.04</v>
      </c>
      <c r="F20" s="1">
        <v>6.5</v>
      </c>
      <c r="G20" s="1">
        <v>0</v>
      </c>
      <c r="H20" s="1"/>
      <c r="I20" s="8">
        <f t="shared" si="35"/>
        <v>23.939999999999998</v>
      </c>
      <c r="J20" s="8">
        <f t="shared" si="36"/>
        <v>0.18415384615384614</v>
      </c>
      <c r="K20" s="8">
        <f t="shared" si="37"/>
        <v>0.3683076923076923</v>
      </c>
      <c r="L20" s="1">
        <f t="shared" si="38"/>
        <v>12</v>
      </c>
      <c r="M20" s="1">
        <f t="shared" si="39"/>
        <v>16</v>
      </c>
      <c r="N20" s="1">
        <f t="shared" si="40"/>
        <v>6</v>
      </c>
      <c r="O20" s="1">
        <f t="shared" si="41"/>
        <v>8</v>
      </c>
      <c r="P20" s="8">
        <f t="shared" si="42"/>
        <v>75</v>
      </c>
      <c r="Q20" s="8">
        <f t="shared" si="43"/>
        <v>133.33333333333331</v>
      </c>
      <c r="R20" s="2">
        <v>300</v>
      </c>
      <c r="S20" s="8">
        <f t="shared" si="44"/>
        <v>0.55</v>
      </c>
      <c r="T20" s="8">
        <f t="shared" si="45"/>
        <v>28.619999999999997</v>
      </c>
      <c r="U20" s="8">
        <f t="shared" si="46"/>
        <v>14.309999999999997</v>
      </c>
      <c r="V20" s="8">
        <f t="shared" si="47"/>
        <v>14.31</v>
      </c>
      <c r="W20" s="8">
        <f t="shared" si="48"/>
        <v>14.31</v>
      </c>
      <c r="X20" s="8">
        <f t="shared" si="49"/>
        <v>104.66624999999996</v>
      </c>
      <c r="Y20" s="8">
        <f t="shared" si="50"/>
        <v>9.75</v>
      </c>
      <c r="Z20" s="8">
        <f t="shared" si="51"/>
        <v>7.25</v>
      </c>
      <c r="AA20" s="8">
        <f t="shared" si="52"/>
        <v>0.15</v>
      </c>
      <c r="AB20" s="8">
        <f t="shared" si="53"/>
        <v>546.9</v>
      </c>
      <c r="AC20" s="8">
        <f t="shared" si="54"/>
        <v>2551.74620588773</v>
      </c>
      <c r="AD20" s="8">
        <f t="shared" si="55"/>
        <v>10.428415341557285</v>
      </c>
      <c r="AE20" s="8">
        <f t="shared" si="56"/>
        <v>15.642623012335928</v>
      </c>
      <c r="AF20" s="8">
        <f t="shared" si="57"/>
        <v>8.608467194769691</v>
      </c>
      <c r="AG20" s="8">
        <f t="shared" si="58"/>
        <v>17.216934389539382</v>
      </c>
      <c r="AH20" s="8"/>
      <c r="AI20" s="8"/>
      <c r="AJ20" s="8"/>
      <c r="AK20" s="8"/>
      <c r="AL20" s="8">
        <f t="shared" si="59"/>
        <v>1.5651680229092988</v>
      </c>
      <c r="AM20" s="8">
        <f t="shared" si="60"/>
        <v>2.6485914939462907</v>
      </c>
      <c r="AN20" s="8">
        <f t="shared" si="61"/>
        <v>0.1693188854489164</v>
      </c>
      <c r="AO20" s="8">
        <f t="shared" si="62"/>
        <v>1.6244332341063683</v>
      </c>
      <c r="AP20" s="8">
        <f t="shared" si="63"/>
        <v>0.23908720027533756</v>
      </c>
      <c r="AQ20" s="8">
        <f t="shared" si="64"/>
        <v>0.25202003742096774</v>
      </c>
      <c r="AR20" s="8">
        <f t="shared" si="65"/>
        <v>1.62</v>
      </c>
      <c r="AS20" s="8">
        <f t="shared" si="66"/>
        <v>1.875</v>
      </c>
      <c r="AT20" s="8">
        <f t="shared" si="67"/>
        <v>10.3125</v>
      </c>
      <c r="AU20" s="8">
        <f t="shared" si="68"/>
        <v>252.72000000000003</v>
      </c>
      <c r="AV20" s="8">
        <f t="shared" si="69"/>
        <v>6100.622974811011</v>
      </c>
    </row>
    <row r="21" spans="1:48" ht="12.75">
      <c r="A21" s="22" t="s">
        <v>66</v>
      </c>
      <c r="B21">
        <v>18</v>
      </c>
      <c r="C21">
        <v>0</v>
      </c>
      <c r="D21">
        <v>0.25</v>
      </c>
      <c r="E21" s="1">
        <v>37.05</v>
      </c>
      <c r="F21" s="1">
        <v>9</v>
      </c>
      <c r="G21" s="1">
        <v>0</v>
      </c>
      <c r="H21" s="1"/>
      <c r="I21" s="8">
        <f t="shared" si="35"/>
        <v>42.449999999999996</v>
      </c>
      <c r="J21" s="8">
        <f t="shared" si="36"/>
        <v>0.23583333333333334</v>
      </c>
      <c r="K21" s="8">
        <f t="shared" si="37"/>
        <v>0.4716666666666667</v>
      </c>
      <c r="L21" s="1">
        <f t="shared" si="38"/>
        <v>17</v>
      </c>
      <c r="M21" s="1">
        <f t="shared" si="39"/>
        <v>22</v>
      </c>
      <c r="N21" s="1">
        <f t="shared" si="40"/>
        <v>9</v>
      </c>
      <c r="O21" s="1">
        <f t="shared" si="41"/>
        <v>11</v>
      </c>
      <c r="P21" s="8">
        <f t="shared" si="42"/>
        <v>159.375</v>
      </c>
      <c r="Q21" s="8">
        <f t="shared" si="43"/>
        <v>252.08333333333331</v>
      </c>
      <c r="R21" s="2">
        <v>300</v>
      </c>
      <c r="S21" s="8">
        <f t="shared" si="44"/>
        <v>0.55</v>
      </c>
      <c r="T21" s="8">
        <f t="shared" si="45"/>
        <v>48.93</v>
      </c>
      <c r="U21" s="8">
        <f t="shared" si="46"/>
        <v>24.465</v>
      </c>
      <c r="V21" s="8">
        <f t="shared" si="47"/>
        <v>24.465</v>
      </c>
      <c r="W21" s="8">
        <f t="shared" si="48"/>
        <v>24.465</v>
      </c>
      <c r="X21" s="8">
        <f t="shared" si="49"/>
        <v>263.4525</v>
      </c>
      <c r="Y21" s="8">
        <f t="shared" si="50"/>
        <v>13.5</v>
      </c>
      <c r="Z21" s="8">
        <f t="shared" si="51"/>
        <v>11</v>
      </c>
      <c r="AA21" s="8">
        <f t="shared" si="52"/>
        <v>0.15</v>
      </c>
      <c r="AB21" s="8">
        <f t="shared" si="53"/>
        <v>546.9</v>
      </c>
      <c r="AC21" s="8">
        <f t="shared" si="54"/>
        <v>6422.9292375205705</v>
      </c>
      <c r="AD21" s="8">
        <f t="shared" si="55"/>
        <v>14.185681554336757</v>
      </c>
      <c r="AE21" s="8">
        <f t="shared" si="56"/>
        <v>21.278522331505137</v>
      </c>
      <c r="AF21" s="8">
        <f t="shared" si="57"/>
        <v>11.710022117101609</v>
      </c>
      <c r="AG21" s="8">
        <f t="shared" si="58"/>
        <v>23.420044234203218</v>
      </c>
      <c r="AH21" s="8"/>
      <c r="AI21" s="8"/>
      <c r="AJ21" s="8"/>
      <c r="AK21" s="8"/>
      <c r="AL21" s="8">
        <f t="shared" si="59"/>
        <v>2.896174594709958</v>
      </c>
      <c r="AM21" s="8">
        <f t="shared" si="60"/>
        <v>3.602855685170331</v>
      </c>
      <c r="AN21" s="8">
        <f t="shared" si="61"/>
        <v>0.16931888544891655</v>
      </c>
      <c r="AO21" s="8">
        <f t="shared" si="62"/>
        <v>3.0058384752050555</v>
      </c>
      <c r="AP21" s="8">
        <f t="shared" si="63"/>
        <v>0.49344970260895954</v>
      </c>
      <c r="AQ21" s="8">
        <f t="shared" si="64"/>
        <v>0.5201416569923477</v>
      </c>
      <c r="AR21" s="8">
        <f t="shared" si="65"/>
        <v>3.01</v>
      </c>
      <c r="AS21" s="8">
        <f t="shared" si="66"/>
        <v>1.875</v>
      </c>
      <c r="AT21" s="8">
        <f t="shared" si="67"/>
        <v>10.3125</v>
      </c>
      <c r="AU21" s="8">
        <f t="shared" si="68"/>
        <v>650.16</v>
      </c>
      <c r="AV21" s="8">
        <f t="shared" si="69"/>
        <v>22980.804118025546</v>
      </c>
    </row>
    <row r="22" spans="1:48" ht="12.75">
      <c r="A22" s="22" t="s">
        <v>67</v>
      </c>
      <c r="B22">
        <v>11.42</v>
      </c>
      <c r="C22">
        <v>0</v>
      </c>
      <c r="D22">
        <v>0.25</v>
      </c>
      <c r="E22" s="1">
        <v>27.8</v>
      </c>
      <c r="F22" s="1">
        <v>5.71</v>
      </c>
      <c r="G22" s="1">
        <v>0</v>
      </c>
      <c r="H22" s="1"/>
      <c r="I22" s="8">
        <f t="shared" si="35"/>
        <v>31.226</v>
      </c>
      <c r="J22" s="8">
        <f t="shared" si="36"/>
        <v>0.27343257443082314</v>
      </c>
      <c r="K22" s="8">
        <f t="shared" si="37"/>
        <v>0.5468651488616463</v>
      </c>
      <c r="L22" s="1">
        <f t="shared" si="38"/>
        <v>11</v>
      </c>
      <c r="M22" s="1">
        <f t="shared" si="39"/>
        <v>14</v>
      </c>
      <c r="N22" s="1">
        <f t="shared" si="40"/>
        <v>6</v>
      </c>
      <c r="O22" s="1">
        <f t="shared" si="41"/>
        <v>7</v>
      </c>
      <c r="P22" s="8">
        <f t="shared" si="42"/>
        <v>68.75</v>
      </c>
      <c r="Q22" s="8">
        <f t="shared" si="43"/>
        <v>102.08333333333336</v>
      </c>
      <c r="R22" s="2">
        <v>300</v>
      </c>
      <c r="S22" s="8">
        <f t="shared" si="44"/>
        <v>0.55</v>
      </c>
      <c r="T22" s="8">
        <f t="shared" si="45"/>
        <v>35.3372</v>
      </c>
      <c r="U22" s="8">
        <f t="shared" si="46"/>
        <v>17.6686</v>
      </c>
      <c r="V22" s="8">
        <f t="shared" si="47"/>
        <v>17.6686</v>
      </c>
      <c r="W22" s="8">
        <f t="shared" si="48"/>
        <v>17.6686</v>
      </c>
      <c r="X22" s="8">
        <f t="shared" si="49"/>
        <v>124.43317650000002</v>
      </c>
      <c r="Y22" s="8">
        <f t="shared" si="50"/>
        <v>8.565</v>
      </c>
      <c r="Z22" s="8">
        <f t="shared" si="51"/>
        <v>6.0649999999999995</v>
      </c>
      <c r="AA22" s="8">
        <f t="shared" si="52"/>
        <v>0.15</v>
      </c>
      <c r="AB22" s="8">
        <f t="shared" si="53"/>
        <v>546.9</v>
      </c>
      <c r="AC22" s="8">
        <f t="shared" si="54"/>
        <v>3033.6606692265505</v>
      </c>
      <c r="AD22" s="8">
        <f t="shared" si="55"/>
        <v>11.047436000772736</v>
      </c>
      <c r="AE22" s="8">
        <f t="shared" si="56"/>
        <v>16.571154001159105</v>
      </c>
      <c r="AF22" s="8">
        <f t="shared" si="57"/>
        <v>9.119457490342748</v>
      </c>
      <c r="AG22" s="8">
        <f t="shared" si="58"/>
        <v>18.238914980685497</v>
      </c>
      <c r="AH22" s="8"/>
      <c r="AI22" s="8"/>
      <c r="AJ22" s="8"/>
      <c r="AK22" s="8"/>
      <c r="AL22" s="8">
        <f t="shared" si="59"/>
        <v>1.7564966077460704</v>
      </c>
      <c r="AM22" s="8">
        <f t="shared" si="60"/>
        <v>2.8058093260786143</v>
      </c>
      <c r="AN22" s="8">
        <f t="shared" si="61"/>
        <v>0.1693188854489166</v>
      </c>
      <c r="AO22" s="8">
        <f t="shared" si="62"/>
        <v>1.8230064909671129</v>
      </c>
      <c r="AP22" s="8">
        <f t="shared" si="63"/>
        <v>0.21188113930868102</v>
      </c>
      <c r="AQ22" s="8">
        <f t="shared" si="64"/>
        <v>0.2233423311489555</v>
      </c>
      <c r="AR22" s="8">
        <f t="shared" si="65"/>
        <v>1.82</v>
      </c>
      <c r="AS22" s="8">
        <f t="shared" si="66"/>
        <v>1.875</v>
      </c>
      <c r="AT22" s="8">
        <f t="shared" si="67"/>
        <v>10.3125</v>
      </c>
      <c r="AU22" s="8">
        <f t="shared" si="68"/>
        <v>249.4128</v>
      </c>
      <c r="AV22" s="8">
        <f t="shared" si="69"/>
        <v>3883.2577147852217</v>
      </c>
    </row>
    <row r="23" spans="1:48" ht="12.75">
      <c r="A23" s="22" t="s">
        <v>68</v>
      </c>
      <c r="B23">
        <v>17.75</v>
      </c>
      <c r="C23">
        <v>0</v>
      </c>
      <c r="D23">
        <v>0.25</v>
      </c>
      <c r="E23" s="1">
        <v>37.53</v>
      </c>
      <c r="F23" s="1">
        <v>9.46</v>
      </c>
      <c r="G23" s="1">
        <v>0</v>
      </c>
      <c r="H23" s="1"/>
      <c r="I23" s="8">
        <f t="shared" si="35"/>
        <v>42.855000000000004</v>
      </c>
      <c r="J23" s="8">
        <f t="shared" si="36"/>
        <v>0.2414366197183099</v>
      </c>
      <c r="K23" s="8">
        <f t="shared" si="37"/>
        <v>0.4828732394366198</v>
      </c>
      <c r="L23" s="1">
        <f t="shared" si="38"/>
        <v>17</v>
      </c>
      <c r="M23" s="1">
        <f t="shared" si="39"/>
        <v>21</v>
      </c>
      <c r="N23" s="1">
        <f t="shared" si="40"/>
        <v>9</v>
      </c>
      <c r="O23" s="1">
        <f t="shared" si="41"/>
        <v>11</v>
      </c>
      <c r="P23" s="8">
        <f t="shared" si="42"/>
        <v>159.375</v>
      </c>
      <c r="Q23" s="8">
        <f t="shared" si="43"/>
        <v>240.62499999999997</v>
      </c>
      <c r="R23" s="2">
        <v>300</v>
      </c>
      <c r="S23" s="8">
        <f t="shared" si="44"/>
        <v>0.55</v>
      </c>
      <c r="T23" s="8">
        <f t="shared" si="45"/>
        <v>49.245000000000005</v>
      </c>
      <c r="U23" s="8">
        <f t="shared" si="46"/>
        <v>23.38559577464789</v>
      </c>
      <c r="V23" s="8">
        <f t="shared" si="47"/>
        <v>25.859404225352115</v>
      </c>
      <c r="W23" s="8">
        <f t="shared" si="48"/>
        <v>25.859404225352115</v>
      </c>
      <c r="X23" s="8">
        <f t="shared" si="49"/>
        <v>258.0110340422535</v>
      </c>
      <c r="Y23" s="8">
        <f t="shared" si="50"/>
        <v>13.3125</v>
      </c>
      <c r="Z23" s="8">
        <f t="shared" si="51"/>
        <v>10.8125</v>
      </c>
      <c r="AA23" s="8">
        <f t="shared" si="52"/>
        <v>0.15</v>
      </c>
      <c r="AB23" s="8">
        <f t="shared" si="53"/>
        <v>546.9</v>
      </c>
      <c r="AC23" s="8">
        <f t="shared" si="54"/>
        <v>6290.267179673396</v>
      </c>
      <c r="AD23" s="8">
        <f t="shared" si="55"/>
        <v>14.087335512370547</v>
      </c>
      <c r="AE23" s="8">
        <f t="shared" si="56"/>
        <v>21.131003268555823</v>
      </c>
      <c r="AF23" s="8">
        <f t="shared" si="57"/>
        <v>11.628839248154314</v>
      </c>
      <c r="AG23" s="8">
        <f t="shared" si="58"/>
        <v>23.25767849630863</v>
      </c>
      <c r="AH23" s="8"/>
      <c r="AI23" s="8"/>
      <c r="AJ23" s="8"/>
      <c r="AK23" s="8"/>
      <c r="AL23" s="8">
        <f t="shared" si="59"/>
        <v>2.8561567800856573</v>
      </c>
      <c r="AM23" s="8">
        <f t="shared" si="60"/>
        <v>3.5778779218492844</v>
      </c>
      <c r="AN23" s="8">
        <f t="shared" si="61"/>
        <v>0.16931888544891655</v>
      </c>
      <c r="AO23" s="8">
        <f t="shared" si="62"/>
        <v>2.9643053828593597</v>
      </c>
      <c r="AP23" s="8">
        <f t="shared" si="63"/>
        <v>0.4816759677560891</v>
      </c>
      <c r="AQ23" s="8">
        <f t="shared" si="64"/>
        <v>0.5077310507583552</v>
      </c>
      <c r="AR23" s="8">
        <f t="shared" si="65"/>
        <v>2.96</v>
      </c>
      <c r="AS23" s="8">
        <f t="shared" si="66"/>
        <v>1.875</v>
      </c>
      <c r="AT23" s="8">
        <f t="shared" si="67"/>
        <v>10.3125</v>
      </c>
      <c r="AU23" s="8">
        <f t="shared" si="68"/>
        <v>630.48</v>
      </c>
      <c r="AV23" s="8">
        <f t="shared" si="69"/>
        <v>21941.905518986652</v>
      </c>
    </row>
    <row r="24" spans="1:48" ht="12.75">
      <c r="A24" t="s">
        <v>69</v>
      </c>
      <c r="B24">
        <v>17.75</v>
      </c>
      <c r="C24">
        <v>0</v>
      </c>
      <c r="D24">
        <v>0.25</v>
      </c>
      <c r="E24" s="1">
        <v>37.53</v>
      </c>
      <c r="F24" s="1">
        <v>9.46</v>
      </c>
      <c r="G24" s="1">
        <v>0</v>
      </c>
      <c r="H24" s="1"/>
      <c r="I24" s="8">
        <f t="shared" si="35"/>
        <v>42.855000000000004</v>
      </c>
      <c r="J24" s="8">
        <f t="shared" si="36"/>
        <v>0.2414366197183099</v>
      </c>
      <c r="K24" s="8">
        <f t="shared" si="37"/>
        <v>0.4828732394366198</v>
      </c>
      <c r="L24" s="1">
        <f t="shared" si="38"/>
        <v>17</v>
      </c>
      <c r="M24" s="1">
        <f t="shared" si="39"/>
        <v>21</v>
      </c>
      <c r="N24" s="1">
        <f t="shared" si="40"/>
        <v>9</v>
      </c>
      <c r="O24" s="1">
        <f t="shared" si="41"/>
        <v>11</v>
      </c>
      <c r="P24" s="8">
        <f t="shared" si="42"/>
        <v>159.375</v>
      </c>
      <c r="Q24" s="8">
        <f t="shared" si="43"/>
        <v>240.62499999999997</v>
      </c>
      <c r="R24" s="2">
        <v>300</v>
      </c>
      <c r="S24" s="8">
        <f t="shared" si="44"/>
        <v>0.55</v>
      </c>
      <c r="T24" s="8">
        <f t="shared" si="45"/>
        <v>49.245000000000005</v>
      </c>
      <c r="U24" s="8">
        <f t="shared" si="46"/>
        <v>23.38559577464789</v>
      </c>
      <c r="V24" s="8">
        <f t="shared" si="47"/>
        <v>25.859404225352115</v>
      </c>
      <c r="W24" s="8">
        <f t="shared" si="48"/>
        <v>25.859404225352115</v>
      </c>
      <c r="X24" s="8">
        <f t="shared" si="49"/>
        <v>258.0110340422535</v>
      </c>
      <c r="Y24" s="8">
        <f t="shared" si="50"/>
        <v>13.3125</v>
      </c>
      <c r="Z24" s="8">
        <f t="shared" si="51"/>
        <v>10.8125</v>
      </c>
      <c r="AA24" s="8">
        <f t="shared" si="52"/>
        <v>0.15</v>
      </c>
      <c r="AB24" s="8">
        <f t="shared" si="53"/>
        <v>546.9</v>
      </c>
      <c r="AC24" s="8">
        <f t="shared" si="54"/>
        <v>6290.267179673396</v>
      </c>
      <c r="AD24" s="8">
        <f t="shared" si="55"/>
        <v>14.087335512370547</v>
      </c>
      <c r="AE24" s="8">
        <f t="shared" si="56"/>
        <v>21.131003268555823</v>
      </c>
      <c r="AF24" s="8">
        <f t="shared" si="57"/>
        <v>11.628839248154314</v>
      </c>
      <c r="AG24" s="8">
        <f t="shared" si="58"/>
        <v>23.25767849630863</v>
      </c>
      <c r="AH24" s="8"/>
      <c r="AI24" s="8"/>
      <c r="AJ24" s="8"/>
      <c r="AK24" s="8"/>
      <c r="AL24" s="8">
        <f t="shared" si="59"/>
        <v>2.8561567800856573</v>
      </c>
      <c r="AM24" s="8">
        <f t="shared" si="60"/>
        <v>3.5778779218492844</v>
      </c>
      <c r="AN24" s="8">
        <f t="shared" si="61"/>
        <v>0.16931888544891655</v>
      </c>
      <c r="AO24" s="8">
        <f t="shared" si="62"/>
        <v>2.9643053828593597</v>
      </c>
      <c r="AP24" s="8">
        <f t="shared" si="63"/>
        <v>0.4816759677560891</v>
      </c>
      <c r="AQ24" s="8">
        <f t="shared" si="64"/>
        <v>0.5077310507583552</v>
      </c>
      <c r="AR24" s="8">
        <f t="shared" si="65"/>
        <v>2.96</v>
      </c>
      <c r="AS24" s="8">
        <f t="shared" si="66"/>
        <v>1.875</v>
      </c>
      <c r="AT24" s="8">
        <f t="shared" si="67"/>
        <v>10.3125</v>
      </c>
      <c r="AU24" s="8">
        <f t="shared" si="68"/>
        <v>630.48</v>
      </c>
      <c r="AV24" s="8">
        <f t="shared" si="69"/>
        <v>21941.905518986652</v>
      </c>
    </row>
    <row r="25" spans="1:48" ht="12.75">
      <c r="A25" t="s">
        <v>70</v>
      </c>
      <c r="B25">
        <v>11.42</v>
      </c>
      <c r="C25">
        <v>0</v>
      </c>
      <c r="D25">
        <v>0.25</v>
      </c>
      <c r="E25" s="1">
        <v>27.8</v>
      </c>
      <c r="F25" s="1">
        <v>5.71</v>
      </c>
      <c r="G25" s="1">
        <v>0</v>
      </c>
      <c r="H25" s="1"/>
      <c r="I25" s="8">
        <f t="shared" si="35"/>
        <v>31.226</v>
      </c>
      <c r="J25" s="8">
        <f t="shared" si="36"/>
        <v>0.27343257443082314</v>
      </c>
      <c r="K25" s="8">
        <f t="shared" si="37"/>
        <v>0.5468651488616463</v>
      </c>
      <c r="L25" s="1">
        <f t="shared" si="38"/>
        <v>11</v>
      </c>
      <c r="M25" s="1">
        <f t="shared" si="39"/>
        <v>14</v>
      </c>
      <c r="N25" s="1">
        <f t="shared" si="40"/>
        <v>6</v>
      </c>
      <c r="O25" s="1">
        <f t="shared" si="41"/>
        <v>7</v>
      </c>
      <c r="P25" s="8">
        <f t="shared" si="42"/>
        <v>68.75</v>
      </c>
      <c r="Q25" s="8">
        <f t="shared" si="43"/>
        <v>102.08333333333336</v>
      </c>
      <c r="R25" s="2">
        <v>300</v>
      </c>
      <c r="S25" s="8">
        <f t="shared" si="44"/>
        <v>0.55</v>
      </c>
      <c r="T25" s="8">
        <f t="shared" si="45"/>
        <v>35.3372</v>
      </c>
      <c r="U25" s="8">
        <f t="shared" si="46"/>
        <v>17.6686</v>
      </c>
      <c r="V25" s="8">
        <f t="shared" si="47"/>
        <v>17.6686</v>
      </c>
      <c r="W25" s="8">
        <f t="shared" si="48"/>
        <v>17.6686</v>
      </c>
      <c r="X25" s="8">
        <f t="shared" si="49"/>
        <v>124.43317650000002</v>
      </c>
      <c r="Y25" s="8">
        <f t="shared" si="50"/>
        <v>8.565</v>
      </c>
      <c r="Z25" s="8">
        <f t="shared" si="51"/>
        <v>6.0649999999999995</v>
      </c>
      <c r="AA25" s="8">
        <f t="shared" si="52"/>
        <v>0.15</v>
      </c>
      <c r="AB25" s="8">
        <f t="shared" si="53"/>
        <v>546.9</v>
      </c>
      <c r="AC25" s="8">
        <f t="shared" si="54"/>
        <v>3033.6606692265505</v>
      </c>
      <c r="AD25" s="8">
        <f t="shared" si="55"/>
        <v>11.047436000772736</v>
      </c>
      <c r="AE25" s="8">
        <f t="shared" si="56"/>
        <v>16.571154001159105</v>
      </c>
      <c r="AF25" s="8">
        <f t="shared" si="57"/>
        <v>9.119457490342748</v>
      </c>
      <c r="AG25" s="8">
        <f t="shared" si="58"/>
        <v>18.238914980685497</v>
      </c>
      <c r="AH25" s="8"/>
      <c r="AI25" s="8"/>
      <c r="AJ25" s="8"/>
      <c r="AK25" s="8"/>
      <c r="AL25" s="8">
        <f t="shared" si="59"/>
        <v>1.7564966077460704</v>
      </c>
      <c r="AM25" s="8">
        <f t="shared" si="60"/>
        <v>2.8058093260786143</v>
      </c>
      <c r="AN25" s="8">
        <f t="shared" si="61"/>
        <v>0.1693188854489166</v>
      </c>
      <c r="AO25" s="8">
        <f t="shared" si="62"/>
        <v>1.8230064909671129</v>
      </c>
      <c r="AP25" s="8">
        <f t="shared" si="63"/>
        <v>0.21188113930868102</v>
      </c>
      <c r="AQ25" s="8">
        <f t="shared" si="64"/>
        <v>0.2233423311489555</v>
      </c>
      <c r="AR25" s="8">
        <f t="shared" si="65"/>
        <v>1.82</v>
      </c>
      <c r="AS25" s="8">
        <f t="shared" si="66"/>
        <v>1.875</v>
      </c>
      <c r="AT25" s="8">
        <f t="shared" si="67"/>
        <v>10.3125</v>
      </c>
      <c r="AU25" s="8">
        <f t="shared" si="68"/>
        <v>249.4128</v>
      </c>
      <c r="AV25" s="8">
        <f t="shared" si="69"/>
        <v>3883.2577147852217</v>
      </c>
    </row>
    <row r="26" spans="1:48" ht="12.75">
      <c r="A26" t="s">
        <v>71</v>
      </c>
      <c r="B26">
        <v>18</v>
      </c>
      <c r="C26">
        <v>0</v>
      </c>
      <c r="D26">
        <v>0.25</v>
      </c>
      <c r="E26" s="1">
        <v>37.05</v>
      </c>
      <c r="F26" s="1">
        <v>9</v>
      </c>
      <c r="G26" s="1">
        <v>0</v>
      </c>
      <c r="H26" s="1"/>
      <c r="I26" s="8">
        <f t="shared" si="35"/>
        <v>42.449999999999996</v>
      </c>
      <c r="J26" s="8">
        <f t="shared" si="36"/>
        <v>0.23583333333333334</v>
      </c>
      <c r="K26" s="8">
        <f t="shared" si="37"/>
        <v>0.4716666666666667</v>
      </c>
      <c r="L26" s="1">
        <f t="shared" si="38"/>
        <v>17</v>
      </c>
      <c r="M26" s="1">
        <f t="shared" si="39"/>
        <v>22</v>
      </c>
      <c r="N26" s="1">
        <f t="shared" si="40"/>
        <v>9</v>
      </c>
      <c r="O26" s="1">
        <f t="shared" si="41"/>
        <v>11</v>
      </c>
      <c r="P26" s="8">
        <f t="shared" si="42"/>
        <v>159.375</v>
      </c>
      <c r="Q26" s="8">
        <f t="shared" si="43"/>
        <v>252.08333333333331</v>
      </c>
      <c r="R26" s="2">
        <v>300</v>
      </c>
      <c r="S26" s="8">
        <f t="shared" si="44"/>
        <v>0.55</v>
      </c>
      <c r="T26" s="8">
        <f t="shared" si="45"/>
        <v>48.93</v>
      </c>
      <c r="U26" s="8">
        <f t="shared" si="46"/>
        <v>24.465</v>
      </c>
      <c r="V26" s="8">
        <f t="shared" si="47"/>
        <v>24.465</v>
      </c>
      <c r="W26" s="8">
        <f t="shared" si="48"/>
        <v>24.465</v>
      </c>
      <c r="X26" s="8">
        <f t="shared" si="49"/>
        <v>263.4525</v>
      </c>
      <c r="Y26" s="8">
        <f t="shared" si="50"/>
        <v>13.5</v>
      </c>
      <c r="Z26" s="8">
        <f t="shared" si="51"/>
        <v>11</v>
      </c>
      <c r="AA26" s="8">
        <f t="shared" si="52"/>
        <v>0.15</v>
      </c>
      <c r="AB26" s="8">
        <f t="shared" si="53"/>
        <v>546.9</v>
      </c>
      <c r="AC26" s="8">
        <f t="shared" si="54"/>
        <v>6422.9292375205705</v>
      </c>
      <c r="AD26" s="8">
        <f t="shared" si="55"/>
        <v>14.185681554336757</v>
      </c>
      <c r="AE26" s="8">
        <f t="shared" si="56"/>
        <v>21.278522331505137</v>
      </c>
      <c r="AF26" s="8">
        <f t="shared" si="57"/>
        <v>11.710022117101609</v>
      </c>
      <c r="AG26" s="8">
        <f t="shared" si="58"/>
        <v>23.420044234203218</v>
      </c>
      <c r="AH26" s="8"/>
      <c r="AI26" s="8"/>
      <c r="AJ26" s="8"/>
      <c r="AK26" s="8"/>
      <c r="AL26" s="8">
        <f t="shared" si="59"/>
        <v>2.896174594709958</v>
      </c>
      <c r="AM26" s="8">
        <f t="shared" si="60"/>
        <v>3.602855685170331</v>
      </c>
      <c r="AN26" s="8">
        <f t="shared" si="61"/>
        <v>0.16931888544891655</v>
      </c>
      <c r="AO26" s="8">
        <f t="shared" si="62"/>
        <v>3.0058384752050555</v>
      </c>
      <c r="AP26" s="8">
        <f t="shared" si="63"/>
        <v>0.49344970260895954</v>
      </c>
      <c r="AQ26" s="8">
        <f t="shared" si="64"/>
        <v>0.5201416569923477</v>
      </c>
      <c r="AR26" s="8">
        <f t="shared" si="65"/>
        <v>3.01</v>
      </c>
      <c r="AS26" s="8">
        <f t="shared" si="66"/>
        <v>1.875</v>
      </c>
      <c r="AT26" s="8">
        <f t="shared" si="67"/>
        <v>10.3125</v>
      </c>
      <c r="AU26" s="8">
        <f t="shared" si="68"/>
        <v>650.16</v>
      </c>
      <c r="AV26" s="8">
        <f t="shared" si="69"/>
        <v>22980.804118025546</v>
      </c>
    </row>
    <row r="27" spans="1:48" ht="12.75">
      <c r="A27" t="s">
        <v>72</v>
      </c>
      <c r="B27">
        <v>13</v>
      </c>
      <c r="C27">
        <v>0</v>
      </c>
      <c r="D27">
        <v>0.25</v>
      </c>
      <c r="E27" s="1">
        <v>20.04</v>
      </c>
      <c r="F27" s="1">
        <v>6.5</v>
      </c>
      <c r="G27" s="1">
        <v>0</v>
      </c>
      <c r="H27" s="1"/>
      <c r="I27" s="8">
        <f t="shared" si="35"/>
        <v>23.939999999999998</v>
      </c>
      <c r="J27" s="8">
        <f t="shared" si="36"/>
        <v>0.18415384615384614</v>
      </c>
      <c r="K27" s="8">
        <f t="shared" si="37"/>
        <v>0.3683076923076923</v>
      </c>
      <c r="L27" s="1">
        <f t="shared" si="38"/>
        <v>12</v>
      </c>
      <c r="M27" s="1">
        <f t="shared" si="39"/>
        <v>16</v>
      </c>
      <c r="N27" s="1">
        <f t="shared" si="40"/>
        <v>6</v>
      </c>
      <c r="O27" s="1">
        <f t="shared" si="41"/>
        <v>8</v>
      </c>
      <c r="P27" s="8">
        <f t="shared" si="42"/>
        <v>75</v>
      </c>
      <c r="Q27" s="8">
        <f t="shared" si="43"/>
        <v>133.33333333333331</v>
      </c>
      <c r="R27" s="2">
        <v>300</v>
      </c>
      <c r="S27" s="8">
        <f t="shared" si="44"/>
        <v>0.55</v>
      </c>
      <c r="T27" s="8">
        <f t="shared" si="45"/>
        <v>28.619999999999997</v>
      </c>
      <c r="U27" s="8">
        <f t="shared" si="46"/>
        <v>14.309999999999997</v>
      </c>
      <c r="V27" s="8">
        <f t="shared" si="47"/>
        <v>14.31</v>
      </c>
      <c r="W27" s="8">
        <f t="shared" si="48"/>
        <v>14.31</v>
      </c>
      <c r="X27" s="8">
        <f t="shared" si="49"/>
        <v>104.66624999999996</v>
      </c>
      <c r="Y27" s="8">
        <f t="shared" si="50"/>
        <v>9.75</v>
      </c>
      <c r="Z27" s="8">
        <f t="shared" si="51"/>
        <v>7.25</v>
      </c>
      <c r="AA27" s="8">
        <f t="shared" si="52"/>
        <v>0.15</v>
      </c>
      <c r="AB27" s="8">
        <f t="shared" si="53"/>
        <v>546.9</v>
      </c>
      <c r="AC27" s="8">
        <f t="shared" si="54"/>
        <v>2551.74620588773</v>
      </c>
      <c r="AD27" s="8">
        <f t="shared" si="55"/>
        <v>10.428415341557285</v>
      </c>
      <c r="AE27" s="8">
        <f t="shared" si="56"/>
        <v>15.642623012335928</v>
      </c>
      <c r="AF27" s="8">
        <f t="shared" si="57"/>
        <v>8.608467194769691</v>
      </c>
      <c r="AG27" s="8">
        <f t="shared" si="58"/>
        <v>17.216934389539382</v>
      </c>
      <c r="AH27" s="8"/>
      <c r="AI27" s="8"/>
      <c r="AJ27" s="8"/>
      <c r="AK27" s="8"/>
      <c r="AL27" s="8">
        <f t="shared" si="59"/>
        <v>1.5651680229092988</v>
      </c>
      <c r="AM27" s="8">
        <f t="shared" si="60"/>
        <v>2.6485914939462907</v>
      </c>
      <c r="AN27" s="8">
        <f t="shared" si="61"/>
        <v>0.1693188854489164</v>
      </c>
      <c r="AO27" s="8">
        <f t="shared" si="62"/>
        <v>1.6244332341063683</v>
      </c>
      <c r="AP27" s="8">
        <f t="shared" si="63"/>
        <v>0.23908720027533756</v>
      </c>
      <c r="AQ27" s="8">
        <f t="shared" si="64"/>
        <v>0.25202003742096774</v>
      </c>
      <c r="AR27" s="8">
        <f t="shared" si="65"/>
        <v>1.62</v>
      </c>
      <c r="AS27" s="8">
        <f t="shared" si="66"/>
        <v>1.875</v>
      </c>
      <c r="AT27" s="8">
        <f t="shared" si="67"/>
        <v>10.3125</v>
      </c>
      <c r="AU27" s="8">
        <f t="shared" si="68"/>
        <v>252.72000000000003</v>
      </c>
      <c r="AV27" s="8">
        <f t="shared" si="69"/>
        <v>6100.622974811011</v>
      </c>
    </row>
    <row r="28" spans="1:48" ht="12.75">
      <c r="A28" t="s">
        <v>74</v>
      </c>
      <c r="B28">
        <v>18</v>
      </c>
      <c r="C28">
        <v>0</v>
      </c>
      <c r="D28">
        <v>0.25</v>
      </c>
      <c r="E28" s="1"/>
      <c r="F28" s="1">
        <v>9</v>
      </c>
      <c r="G28" s="1">
        <v>0</v>
      </c>
      <c r="H28" s="1"/>
      <c r="I28" s="8">
        <f t="shared" si="35"/>
        <v>5.3999999999999995</v>
      </c>
      <c r="J28" s="8">
        <f t="shared" si="36"/>
        <v>0.029999999999999995</v>
      </c>
      <c r="K28" s="8">
        <f t="shared" si="37"/>
        <v>0.05999999999999999</v>
      </c>
      <c r="L28" s="1">
        <f t="shared" si="38"/>
        <v>17</v>
      </c>
      <c r="M28" s="1">
        <f t="shared" si="39"/>
        <v>22</v>
      </c>
      <c r="N28" s="1">
        <f t="shared" si="40"/>
        <v>9</v>
      </c>
      <c r="O28" s="1">
        <f t="shared" si="41"/>
        <v>11</v>
      </c>
      <c r="P28" s="8">
        <f t="shared" si="42"/>
        <v>159.375</v>
      </c>
      <c r="Q28" s="8">
        <f t="shared" si="43"/>
        <v>252.08333333333331</v>
      </c>
      <c r="R28" s="2">
        <v>300</v>
      </c>
      <c r="S28" s="8">
        <f t="shared" si="44"/>
        <v>0.55</v>
      </c>
      <c r="T28" s="8">
        <f t="shared" si="45"/>
        <v>11.88</v>
      </c>
      <c r="U28" s="8">
        <f t="shared" si="46"/>
        <v>5.94</v>
      </c>
      <c r="V28" s="8">
        <f t="shared" si="47"/>
        <v>5.94</v>
      </c>
      <c r="W28" s="8">
        <f t="shared" si="48"/>
        <v>5.94</v>
      </c>
      <c r="X28" s="8">
        <f t="shared" si="49"/>
        <v>13.365000000000002</v>
      </c>
      <c r="Y28" s="8">
        <f t="shared" si="50"/>
        <v>13.5</v>
      </c>
      <c r="Z28" s="8">
        <f t="shared" si="51"/>
        <v>11</v>
      </c>
      <c r="AA28" s="8">
        <f t="shared" si="52"/>
        <v>0.15</v>
      </c>
      <c r="AB28" s="8">
        <f t="shared" si="53"/>
        <v>546.9</v>
      </c>
      <c r="AC28" s="8">
        <f t="shared" si="54"/>
        <v>325.8365331870544</v>
      </c>
      <c r="AD28" s="8">
        <f t="shared" si="55"/>
        <v>5.251367588961429</v>
      </c>
      <c r="AE28" s="8">
        <f t="shared" si="56"/>
        <v>7.877051383442144</v>
      </c>
      <c r="AF28" s="8">
        <f t="shared" si="57"/>
        <v>4.3349084339884545</v>
      </c>
      <c r="AG28" s="8">
        <f t="shared" si="58"/>
        <v>8.669816867976909</v>
      </c>
      <c r="AH28" s="8"/>
      <c r="AI28" s="8"/>
      <c r="AJ28" s="8"/>
      <c r="AK28" s="8"/>
      <c r="AL28" s="8">
        <f t="shared" si="59"/>
        <v>0.39688909431837877</v>
      </c>
      <c r="AM28" s="8">
        <f t="shared" si="60"/>
        <v>1.3337335608682688</v>
      </c>
      <c r="AN28" s="8">
        <f t="shared" si="61"/>
        <v>0.1693188854489164</v>
      </c>
      <c r="AO28" s="8">
        <f t="shared" si="62"/>
        <v>0.41191733132060854</v>
      </c>
      <c r="AP28" s="8">
        <f t="shared" si="63"/>
        <v>0.1826691065309551</v>
      </c>
      <c r="AQ28" s="8">
        <f t="shared" si="64"/>
        <v>0.19255014492858574</v>
      </c>
      <c r="AR28" s="8">
        <f t="shared" si="65"/>
        <v>0.41</v>
      </c>
      <c r="AS28" s="8">
        <f t="shared" si="66"/>
        <v>1.875</v>
      </c>
      <c r="AT28" s="8">
        <f t="shared" si="67"/>
        <v>10.3125</v>
      </c>
      <c r="AU28" s="8">
        <f t="shared" si="68"/>
        <v>88.55999999999999</v>
      </c>
      <c r="AV28" s="8">
        <f t="shared" si="69"/>
        <v>8507.215494117516</v>
      </c>
    </row>
    <row r="29" spans="1:48" ht="12.75">
      <c r="A29" t="s">
        <v>75</v>
      </c>
      <c r="B29">
        <v>11.42</v>
      </c>
      <c r="C29">
        <v>0</v>
      </c>
      <c r="D29">
        <v>0.25</v>
      </c>
      <c r="E29" s="1">
        <v>20.89</v>
      </c>
      <c r="F29" s="1">
        <v>5.71</v>
      </c>
      <c r="G29" s="1">
        <v>0</v>
      </c>
      <c r="H29" s="1"/>
      <c r="I29" s="8">
        <f t="shared" si="35"/>
        <v>24.316</v>
      </c>
      <c r="J29" s="8">
        <f t="shared" si="36"/>
        <v>0.2129246935201401</v>
      </c>
      <c r="K29" s="8">
        <f t="shared" si="37"/>
        <v>0.4258493870402802</v>
      </c>
      <c r="L29" s="1">
        <f t="shared" si="38"/>
        <v>11</v>
      </c>
      <c r="M29" s="1">
        <f t="shared" si="39"/>
        <v>14</v>
      </c>
      <c r="N29" s="1">
        <f t="shared" si="40"/>
        <v>6</v>
      </c>
      <c r="O29" s="1">
        <f t="shared" si="41"/>
        <v>7</v>
      </c>
      <c r="P29" s="8">
        <f t="shared" si="42"/>
        <v>68.75</v>
      </c>
      <c r="Q29" s="8">
        <f t="shared" si="43"/>
        <v>102.08333333333336</v>
      </c>
      <c r="R29" s="2">
        <v>300</v>
      </c>
      <c r="S29" s="8">
        <f t="shared" si="44"/>
        <v>0.55</v>
      </c>
      <c r="T29" s="8">
        <f t="shared" si="45"/>
        <v>28.4272</v>
      </c>
      <c r="U29" s="8">
        <f t="shared" si="46"/>
        <v>14.213599999999996</v>
      </c>
      <c r="V29" s="8">
        <f t="shared" si="47"/>
        <v>14.213600000000003</v>
      </c>
      <c r="W29" s="8">
        <f t="shared" si="48"/>
        <v>14.213600000000003</v>
      </c>
      <c r="X29" s="8">
        <f t="shared" si="49"/>
        <v>94.84110149999997</v>
      </c>
      <c r="Y29" s="8">
        <f t="shared" si="50"/>
        <v>8.565</v>
      </c>
      <c r="Z29" s="8">
        <f t="shared" si="51"/>
        <v>6.0649999999999995</v>
      </c>
      <c r="AA29" s="8">
        <f t="shared" si="52"/>
        <v>0.15</v>
      </c>
      <c r="AB29" s="8">
        <f t="shared" si="53"/>
        <v>546.9</v>
      </c>
      <c r="AC29" s="8">
        <f t="shared" si="54"/>
        <v>2312.2106783689883</v>
      </c>
      <c r="AD29" s="8">
        <f t="shared" si="55"/>
        <v>10.091327360172775</v>
      </c>
      <c r="AE29" s="8">
        <f t="shared" si="56"/>
        <v>15.136991040259161</v>
      </c>
      <c r="AF29" s="8">
        <f t="shared" si="57"/>
        <v>8.330207197017591</v>
      </c>
      <c r="AG29" s="8">
        <f t="shared" si="58"/>
        <v>16.660414394035183</v>
      </c>
      <c r="AH29" s="8"/>
      <c r="AI29" s="8"/>
      <c r="AJ29" s="8"/>
      <c r="AK29" s="8"/>
      <c r="AL29" s="8">
        <f t="shared" si="59"/>
        <v>1.4656184259772345</v>
      </c>
      <c r="AM29" s="8">
        <f t="shared" si="60"/>
        <v>2.5629784519869174</v>
      </c>
      <c r="AN29" s="8">
        <f t="shared" si="61"/>
        <v>0.16931888544891657</v>
      </c>
      <c r="AO29" s="8">
        <f t="shared" si="62"/>
        <v>1.5211141837990714</v>
      </c>
      <c r="AP29" s="8">
        <f t="shared" si="63"/>
        <v>0.19354372707483566</v>
      </c>
      <c r="AQ29" s="8">
        <f t="shared" si="64"/>
        <v>0.20401300146482623</v>
      </c>
      <c r="AR29" s="8">
        <f t="shared" si="65"/>
        <v>1.52</v>
      </c>
      <c r="AS29" s="8">
        <f t="shared" si="66"/>
        <v>1.875</v>
      </c>
      <c r="AT29" s="8">
        <f t="shared" si="67"/>
        <v>10.3125</v>
      </c>
      <c r="AU29" s="8">
        <f t="shared" si="68"/>
        <v>208.30079999999998</v>
      </c>
      <c r="AV29" s="8">
        <f t="shared" si="69"/>
        <v>3547.178261188667</v>
      </c>
    </row>
    <row r="30" spans="1:48" ht="12.75">
      <c r="A30" t="s">
        <v>78</v>
      </c>
      <c r="B30">
        <v>17.75</v>
      </c>
      <c r="C30">
        <v>0</v>
      </c>
      <c r="D30">
        <v>0.25</v>
      </c>
      <c r="E30" s="1">
        <v>27.67</v>
      </c>
      <c r="F30" s="1">
        <v>9.46</v>
      </c>
      <c r="G30" s="1">
        <v>0</v>
      </c>
      <c r="H30" s="1"/>
      <c r="I30" s="8">
        <f t="shared" si="35"/>
        <v>32.995000000000005</v>
      </c>
      <c r="J30" s="8">
        <f t="shared" si="36"/>
        <v>0.185887323943662</v>
      </c>
      <c r="K30" s="8">
        <f t="shared" si="37"/>
        <v>0.371774647887324</v>
      </c>
      <c r="L30" s="1">
        <f t="shared" si="38"/>
        <v>17</v>
      </c>
      <c r="M30" s="1">
        <f t="shared" si="39"/>
        <v>21</v>
      </c>
      <c r="N30" s="1">
        <f t="shared" si="40"/>
        <v>9</v>
      </c>
      <c r="O30" s="1">
        <f t="shared" si="41"/>
        <v>11</v>
      </c>
      <c r="P30" s="8">
        <f t="shared" si="42"/>
        <v>159.375</v>
      </c>
      <c r="Q30" s="8">
        <f t="shared" si="43"/>
        <v>240.62499999999997</v>
      </c>
      <c r="R30" s="2">
        <v>300</v>
      </c>
      <c r="S30" s="8">
        <f t="shared" si="44"/>
        <v>0.55</v>
      </c>
      <c r="T30" s="8">
        <f t="shared" si="45"/>
        <v>39.385000000000005</v>
      </c>
      <c r="U30" s="8">
        <f t="shared" si="46"/>
        <v>18.78055915492958</v>
      </c>
      <c r="V30" s="8">
        <f t="shared" si="47"/>
        <v>20.604440845070425</v>
      </c>
      <c r="W30" s="8">
        <f t="shared" si="48"/>
        <v>20.604440845070425</v>
      </c>
      <c r="X30" s="8">
        <f t="shared" si="49"/>
        <v>192.66556440845076</v>
      </c>
      <c r="Y30" s="8">
        <f t="shared" si="50"/>
        <v>13.3125</v>
      </c>
      <c r="Z30" s="8">
        <f t="shared" si="51"/>
        <v>10.8125</v>
      </c>
      <c r="AA30" s="8">
        <f t="shared" si="52"/>
        <v>0.15</v>
      </c>
      <c r="AB30" s="8">
        <f t="shared" si="53"/>
        <v>546.9</v>
      </c>
      <c r="AC30" s="8">
        <f t="shared" si="54"/>
        <v>4697.155224195789</v>
      </c>
      <c r="AD30" s="8">
        <f t="shared" si="55"/>
        <v>12.780586913400521</v>
      </c>
      <c r="AE30" s="8">
        <f t="shared" si="56"/>
        <v>19.170880370100782</v>
      </c>
      <c r="AF30" s="8">
        <f t="shared" si="57"/>
        <v>10.550142046555813</v>
      </c>
      <c r="AG30" s="8">
        <f t="shared" si="58"/>
        <v>21.100284093111625</v>
      </c>
      <c r="AH30" s="8"/>
      <c r="AI30" s="8"/>
      <c r="AJ30" s="8"/>
      <c r="AK30" s="8"/>
      <c r="AL30" s="8">
        <f t="shared" si="59"/>
        <v>2.3508554334816716</v>
      </c>
      <c r="AM30" s="8">
        <f t="shared" si="60"/>
        <v>3.2459920973399754</v>
      </c>
      <c r="AN30" s="8">
        <f t="shared" si="61"/>
        <v>0.16931888544891646</v>
      </c>
      <c r="AO30" s="8">
        <f t="shared" si="62"/>
        <v>2.439870760730754</v>
      </c>
      <c r="AP30" s="8">
        <f t="shared" si="63"/>
        <v>0.4369954534409386</v>
      </c>
      <c r="AQ30" s="8">
        <f t="shared" si="64"/>
        <v>0.4606336533371438</v>
      </c>
      <c r="AR30" s="8">
        <f t="shared" si="65"/>
        <v>2.44</v>
      </c>
      <c r="AS30" s="8">
        <f t="shared" si="66"/>
        <v>1.875</v>
      </c>
      <c r="AT30" s="8">
        <f t="shared" si="67"/>
        <v>10.3125</v>
      </c>
      <c r="AU30" s="8">
        <f t="shared" si="68"/>
        <v>519.72</v>
      </c>
      <c r="AV30" s="8">
        <f t="shared" si="69"/>
        <v>19906.5629043034</v>
      </c>
    </row>
    <row r="31" spans="1:48" ht="12.75">
      <c r="A31" t="s">
        <v>79</v>
      </c>
      <c r="B31">
        <v>17.75</v>
      </c>
      <c r="C31">
        <v>0</v>
      </c>
      <c r="D31">
        <v>0.25</v>
      </c>
      <c r="E31" s="1">
        <v>27.67</v>
      </c>
      <c r="F31" s="1">
        <v>9.46</v>
      </c>
      <c r="G31" s="1">
        <v>0</v>
      </c>
      <c r="H31" s="1"/>
      <c r="I31" s="8">
        <f t="shared" si="35"/>
        <v>32.995000000000005</v>
      </c>
      <c r="J31" s="8">
        <f t="shared" si="36"/>
        <v>0.185887323943662</v>
      </c>
      <c r="K31" s="8">
        <f t="shared" si="37"/>
        <v>0.371774647887324</v>
      </c>
      <c r="L31" s="1">
        <f t="shared" si="38"/>
        <v>17</v>
      </c>
      <c r="M31" s="1">
        <f t="shared" si="39"/>
        <v>21</v>
      </c>
      <c r="N31" s="1">
        <f t="shared" si="40"/>
        <v>9</v>
      </c>
      <c r="O31" s="1">
        <f t="shared" si="41"/>
        <v>11</v>
      </c>
      <c r="P31" s="8">
        <f t="shared" si="42"/>
        <v>159.375</v>
      </c>
      <c r="Q31" s="8">
        <f t="shared" si="43"/>
        <v>240.62499999999997</v>
      </c>
      <c r="R31" s="2">
        <v>300</v>
      </c>
      <c r="S31" s="8">
        <f t="shared" si="44"/>
        <v>0.55</v>
      </c>
      <c r="T31" s="8">
        <f t="shared" si="45"/>
        <v>39.385000000000005</v>
      </c>
      <c r="U31" s="8">
        <f t="shared" si="46"/>
        <v>18.78055915492958</v>
      </c>
      <c r="V31" s="8">
        <f t="shared" si="47"/>
        <v>20.604440845070425</v>
      </c>
      <c r="W31" s="8">
        <f t="shared" si="48"/>
        <v>20.604440845070425</v>
      </c>
      <c r="X31" s="8">
        <f t="shared" si="49"/>
        <v>192.66556440845076</v>
      </c>
      <c r="Y31" s="8">
        <f t="shared" si="50"/>
        <v>13.3125</v>
      </c>
      <c r="Z31" s="8">
        <f t="shared" si="51"/>
        <v>10.8125</v>
      </c>
      <c r="AA31" s="8">
        <f t="shared" si="52"/>
        <v>0.15</v>
      </c>
      <c r="AB31" s="8">
        <f t="shared" si="53"/>
        <v>546.9</v>
      </c>
      <c r="AC31" s="8">
        <f t="shared" si="54"/>
        <v>4697.155224195789</v>
      </c>
      <c r="AD31" s="8">
        <f t="shared" si="55"/>
        <v>12.780586913400521</v>
      </c>
      <c r="AE31" s="8">
        <f t="shared" si="56"/>
        <v>19.170880370100782</v>
      </c>
      <c r="AF31" s="8">
        <f t="shared" si="57"/>
        <v>10.550142046555813</v>
      </c>
      <c r="AG31" s="8">
        <f t="shared" si="58"/>
        <v>21.100284093111625</v>
      </c>
      <c r="AH31" s="8"/>
      <c r="AI31" s="8"/>
      <c r="AJ31" s="8"/>
      <c r="AK31" s="8"/>
      <c r="AL31" s="8">
        <f t="shared" si="59"/>
        <v>2.3508554334816716</v>
      </c>
      <c r="AM31" s="8">
        <f t="shared" si="60"/>
        <v>3.2459920973399754</v>
      </c>
      <c r="AN31" s="8">
        <f t="shared" si="61"/>
        <v>0.16931888544891646</v>
      </c>
      <c r="AO31" s="8">
        <f t="shared" si="62"/>
        <v>2.439870760730754</v>
      </c>
      <c r="AP31" s="8">
        <f t="shared" si="63"/>
        <v>0.4369954534409386</v>
      </c>
      <c r="AQ31" s="8">
        <f t="shared" si="64"/>
        <v>0.4606336533371438</v>
      </c>
      <c r="AR31" s="8">
        <f t="shared" si="65"/>
        <v>2.44</v>
      </c>
      <c r="AS31" s="8">
        <f t="shared" si="66"/>
        <v>1.875</v>
      </c>
      <c r="AT31" s="8">
        <f t="shared" si="67"/>
        <v>10.3125</v>
      </c>
      <c r="AU31" s="8">
        <f t="shared" si="68"/>
        <v>519.72</v>
      </c>
      <c r="AV31" s="8">
        <f t="shared" si="69"/>
        <v>19906.5629043034</v>
      </c>
    </row>
    <row r="32" spans="1:48" ht="12.75">
      <c r="A32" t="s">
        <v>76</v>
      </c>
      <c r="B32">
        <v>11.42</v>
      </c>
      <c r="C32">
        <v>0</v>
      </c>
      <c r="D32">
        <v>0.25</v>
      </c>
      <c r="E32" s="1">
        <v>20.89</v>
      </c>
      <c r="F32" s="1">
        <v>5.71</v>
      </c>
      <c r="G32" s="1">
        <v>0</v>
      </c>
      <c r="H32" s="1"/>
      <c r="I32" s="8">
        <f t="shared" si="35"/>
        <v>24.316</v>
      </c>
      <c r="J32" s="8">
        <f t="shared" si="36"/>
        <v>0.2129246935201401</v>
      </c>
      <c r="K32" s="8">
        <f t="shared" si="37"/>
        <v>0.4258493870402802</v>
      </c>
      <c r="L32" s="1">
        <f t="shared" si="38"/>
        <v>11</v>
      </c>
      <c r="M32" s="1">
        <f t="shared" si="39"/>
        <v>14</v>
      </c>
      <c r="N32" s="1">
        <f t="shared" si="40"/>
        <v>6</v>
      </c>
      <c r="O32" s="1">
        <f t="shared" si="41"/>
        <v>7</v>
      </c>
      <c r="P32" s="8">
        <f t="shared" si="42"/>
        <v>68.75</v>
      </c>
      <c r="Q32" s="8">
        <f t="shared" si="43"/>
        <v>102.08333333333336</v>
      </c>
      <c r="R32" s="2">
        <v>300</v>
      </c>
      <c r="S32" s="8">
        <f t="shared" si="44"/>
        <v>0.55</v>
      </c>
      <c r="T32" s="8">
        <f t="shared" si="45"/>
        <v>28.4272</v>
      </c>
      <c r="U32" s="8">
        <f t="shared" si="46"/>
        <v>14.213599999999996</v>
      </c>
      <c r="V32" s="8">
        <f t="shared" si="47"/>
        <v>14.213600000000003</v>
      </c>
      <c r="W32" s="8">
        <f t="shared" si="48"/>
        <v>14.213600000000003</v>
      </c>
      <c r="X32" s="8">
        <f t="shared" si="49"/>
        <v>94.84110149999997</v>
      </c>
      <c r="Y32" s="8">
        <f t="shared" si="50"/>
        <v>8.565</v>
      </c>
      <c r="Z32" s="8">
        <f t="shared" si="51"/>
        <v>6.0649999999999995</v>
      </c>
      <c r="AA32" s="8">
        <f t="shared" si="52"/>
        <v>0.15</v>
      </c>
      <c r="AB32" s="8">
        <f t="shared" si="53"/>
        <v>546.9</v>
      </c>
      <c r="AC32" s="8">
        <f t="shared" si="54"/>
        <v>2312.2106783689883</v>
      </c>
      <c r="AD32" s="8">
        <f t="shared" si="55"/>
        <v>10.091327360172775</v>
      </c>
      <c r="AE32" s="8">
        <f t="shared" si="56"/>
        <v>15.136991040259161</v>
      </c>
      <c r="AF32" s="8">
        <f t="shared" si="57"/>
        <v>8.330207197017591</v>
      </c>
      <c r="AG32" s="8">
        <f t="shared" si="58"/>
        <v>16.660414394035183</v>
      </c>
      <c r="AH32" s="8"/>
      <c r="AI32" s="8"/>
      <c r="AJ32" s="8"/>
      <c r="AK32" s="8"/>
      <c r="AL32" s="8">
        <f t="shared" si="59"/>
        <v>1.4656184259772345</v>
      </c>
      <c r="AM32" s="8">
        <f t="shared" si="60"/>
        <v>2.5629784519869174</v>
      </c>
      <c r="AN32" s="8">
        <f t="shared" si="61"/>
        <v>0.16931888544891657</v>
      </c>
      <c r="AO32" s="8">
        <f t="shared" si="62"/>
        <v>1.5211141837990714</v>
      </c>
      <c r="AP32" s="8">
        <f t="shared" si="63"/>
        <v>0.19354372707483566</v>
      </c>
      <c r="AQ32" s="8">
        <f t="shared" si="64"/>
        <v>0.20401300146482623</v>
      </c>
      <c r="AR32" s="8">
        <f t="shared" si="65"/>
        <v>1.52</v>
      </c>
      <c r="AS32" s="8">
        <f t="shared" si="66"/>
        <v>1.875</v>
      </c>
      <c r="AT32" s="8">
        <f t="shared" si="67"/>
        <v>10.3125</v>
      </c>
      <c r="AU32" s="8">
        <f t="shared" si="68"/>
        <v>208.30079999999998</v>
      </c>
      <c r="AV32" s="8">
        <f t="shared" si="69"/>
        <v>3547.178261188667</v>
      </c>
    </row>
    <row r="33" spans="1:48" ht="12.75">
      <c r="A33" t="s">
        <v>77</v>
      </c>
      <c r="B33">
        <v>18</v>
      </c>
      <c r="C33">
        <v>0</v>
      </c>
      <c r="D33">
        <v>0.25</v>
      </c>
      <c r="E33" s="1">
        <v>18</v>
      </c>
      <c r="F33" s="1">
        <v>9</v>
      </c>
      <c r="G33" s="1">
        <v>0</v>
      </c>
      <c r="H33" s="1"/>
      <c r="I33" s="8">
        <f t="shared" si="35"/>
        <v>23.4</v>
      </c>
      <c r="J33" s="8">
        <f t="shared" si="36"/>
        <v>0.13</v>
      </c>
      <c r="K33" s="8">
        <f t="shared" si="37"/>
        <v>0.26</v>
      </c>
      <c r="L33" s="1">
        <f t="shared" si="38"/>
        <v>17</v>
      </c>
      <c r="M33" s="1">
        <f t="shared" si="39"/>
        <v>22</v>
      </c>
      <c r="N33" s="1">
        <f t="shared" si="40"/>
        <v>9</v>
      </c>
      <c r="O33" s="1">
        <f t="shared" si="41"/>
        <v>11</v>
      </c>
      <c r="P33" s="8">
        <f t="shared" si="42"/>
        <v>159.375</v>
      </c>
      <c r="Q33" s="8">
        <f t="shared" si="43"/>
        <v>252.08333333333331</v>
      </c>
      <c r="R33" s="2">
        <v>300</v>
      </c>
      <c r="S33" s="8">
        <f t="shared" si="44"/>
        <v>0.55</v>
      </c>
      <c r="T33" s="8">
        <f t="shared" si="45"/>
        <v>29.880000000000003</v>
      </c>
      <c r="U33" s="8">
        <f t="shared" si="46"/>
        <v>14.940000000000001</v>
      </c>
      <c r="V33" s="8">
        <f t="shared" si="47"/>
        <v>14.940000000000001</v>
      </c>
      <c r="W33" s="8">
        <f t="shared" si="48"/>
        <v>14.940000000000001</v>
      </c>
      <c r="X33" s="8">
        <f t="shared" si="49"/>
        <v>134.86500000000004</v>
      </c>
      <c r="Y33" s="8">
        <f t="shared" si="50"/>
        <v>13.5</v>
      </c>
      <c r="Z33" s="8">
        <f t="shared" si="51"/>
        <v>11</v>
      </c>
      <c r="AA33" s="8">
        <f t="shared" si="52"/>
        <v>0.15</v>
      </c>
      <c r="AB33" s="8">
        <f t="shared" si="53"/>
        <v>546.9</v>
      </c>
      <c r="AC33" s="8">
        <f t="shared" si="54"/>
        <v>3287.986834887549</v>
      </c>
      <c r="AD33" s="8">
        <f t="shared" si="55"/>
        <v>11.347909160092405</v>
      </c>
      <c r="AE33" s="8">
        <f t="shared" si="56"/>
        <v>17.021863740138606</v>
      </c>
      <c r="AF33" s="8">
        <f t="shared" si="57"/>
        <v>9.367492618422512</v>
      </c>
      <c r="AG33" s="8">
        <f t="shared" si="58"/>
        <v>18.734985236845024</v>
      </c>
      <c r="AH33" s="8"/>
      <c r="AI33" s="8"/>
      <c r="AJ33" s="8"/>
      <c r="AK33" s="8"/>
      <c r="AL33" s="8">
        <f t="shared" si="59"/>
        <v>1.8533439641313776</v>
      </c>
      <c r="AM33" s="8">
        <f t="shared" si="60"/>
        <v>2.882122996743594</v>
      </c>
      <c r="AN33" s="8">
        <f t="shared" si="61"/>
        <v>0.16931888544891652</v>
      </c>
      <c r="AO33" s="8">
        <f t="shared" si="62"/>
        <v>1.9235209801752489</v>
      </c>
      <c r="AP33" s="8">
        <f t="shared" si="63"/>
        <v>0.3947376358923836</v>
      </c>
      <c r="AQ33" s="8">
        <f t="shared" si="64"/>
        <v>0.41609000253672146</v>
      </c>
      <c r="AR33" s="8">
        <f t="shared" si="65"/>
        <v>1.92</v>
      </c>
      <c r="AS33" s="8">
        <f t="shared" si="66"/>
        <v>1.875</v>
      </c>
      <c r="AT33" s="8">
        <f t="shared" si="67"/>
        <v>10.3125</v>
      </c>
      <c r="AU33" s="8">
        <f t="shared" si="68"/>
        <v>414.71999999999997</v>
      </c>
      <c r="AV33" s="8">
        <f t="shared" si="69"/>
        <v>18383.612839349695</v>
      </c>
    </row>
    <row r="34" spans="5:34" ht="12.7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AH34" s="4"/>
    </row>
    <row r="35" spans="4:34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1"/>
      <c r="T35" s="1"/>
      <c r="AH35" s="4"/>
    </row>
    <row r="36" spans="4:34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  <c r="AH36" s="4"/>
    </row>
    <row r="37" spans="4:34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  <c r="AH37" s="4"/>
    </row>
    <row r="38" spans="4:34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  <c r="AH38" s="4"/>
    </row>
    <row r="39" spans="4:34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S39" s="1"/>
      <c r="T39" s="1"/>
      <c r="AH39" s="4"/>
    </row>
    <row r="40" spans="4:34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  <c r="AH40" s="4"/>
    </row>
    <row r="41" spans="4:34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s="1"/>
      <c r="T41" s="1"/>
      <c r="AH41" s="4"/>
    </row>
    <row r="42" spans="4:34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s="1"/>
      <c r="T42" s="1"/>
      <c r="AH42" s="4"/>
    </row>
    <row r="43" spans="4:34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  <c r="AH43" s="4"/>
    </row>
    <row r="44" spans="4:34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1"/>
      <c r="T44" s="1"/>
      <c r="AH44" s="4"/>
    </row>
    <row r="45" spans="4:34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s="1"/>
      <c r="T45" s="1"/>
      <c r="AH45" s="4"/>
    </row>
    <row r="46" spans="4:34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S46" s="1"/>
      <c r="T46" s="1"/>
      <c r="AH46" s="4"/>
    </row>
    <row r="47" spans="4:34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S47" s="1"/>
      <c r="T47" s="1"/>
      <c r="AH47" s="4"/>
    </row>
    <row r="48" spans="4:34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s="1"/>
      <c r="T48" s="1"/>
      <c r="AH48" s="4"/>
    </row>
    <row r="49" spans="4:34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"/>
      <c r="T49" s="1"/>
      <c r="AH49" s="4"/>
    </row>
    <row r="50" spans="4:34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  <c r="AH50" s="4"/>
    </row>
    <row r="51" spans="4:34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1"/>
      <c r="T51" s="1"/>
      <c r="AH51" s="4"/>
    </row>
    <row r="52" spans="4:34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1"/>
      <c r="T52" s="1"/>
      <c r="AH52" s="4"/>
    </row>
    <row r="53" spans="4:34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1"/>
      <c r="T53" s="1"/>
      <c r="AH53" s="4"/>
    </row>
    <row r="54" spans="4:34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1"/>
      <c r="AH54" s="4"/>
    </row>
    <row r="55" spans="4:34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"/>
      <c r="T55" s="1"/>
      <c r="AH55" s="4"/>
    </row>
  </sheetData>
  <sheetProtection/>
  <dataValidations count="1">
    <dataValidation allowBlank="1" showInputMessage="1" showErrorMessage="1" sqref="K14:Q33 S35:S55 I14:I33 E5:Q13 E14:F26 G14:G33 H14:H26 K34:K55 J14:J55 S2:V34 G2:Q4"/>
  </dataValidation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O1">
      <selection activeCell="T2" sqref="T2:AV33"/>
    </sheetView>
  </sheetViews>
  <sheetFormatPr defaultColWidth="11.00390625" defaultRowHeight="12.75"/>
  <cols>
    <col min="4" max="4" width="5.00390625" style="0" bestFit="1" customWidth="1"/>
    <col min="5" max="5" width="9.00390625" style="0" bestFit="1" customWidth="1"/>
    <col min="6" max="6" width="9.00390625" style="0" customWidth="1"/>
    <col min="7" max="7" width="4.00390625" style="0" bestFit="1" customWidth="1"/>
    <col min="8" max="8" width="6.875" style="0" bestFit="1" customWidth="1"/>
    <col min="9" max="9" width="7.75390625" style="0" bestFit="1" customWidth="1"/>
    <col min="10" max="11" width="9.00390625" style="0" bestFit="1" customWidth="1"/>
    <col min="12" max="12" width="5.125" style="0" bestFit="1" customWidth="1"/>
    <col min="13" max="14" width="6.125" style="0" bestFit="1" customWidth="1"/>
    <col min="15" max="15" width="7.125" style="0" bestFit="1" customWidth="1"/>
    <col min="24" max="24" width="12.375" style="0" bestFit="1" customWidth="1"/>
    <col min="34" max="34" width="12.00390625" style="0" bestFit="1" customWidth="1"/>
    <col min="47" max="47" width="13.75390625" style="0" bestFit="1" customWidth="1"/>
    <col min="48" max="48" width="16.75390625" style="0" bestFit="1" customWidth="1"/>
  </cols>
  <sheetData>
    <row r="1" spans="1:48" ht="12.75">
      <c r="A1" t="s">
        <v>44</v>
      </c>
      <c r="B1" t="s">
        <v>4</v>
      </c>
      <c r="C1" t="s">
        <v>0</v>
      </c>
      <c r="D1" t="s">
        <v>3</v>
      </c>
      <c r="E1" t="s">
        <v>46</v>
      </c>
      <c r="F1" t="s">
        <v>48</v>
      </c>
      <c r="G1" t="s">
        <v>47</v>
      </c>
      <c r="H1" t="s">
        <v>49</v>
      </c>
      <c r="I1" t="s">
        <v>45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s="2" t="s">
        <v>15</v>
      </c>
      <c r="S1" s="1" t="s">
        <v>51</v>
      </c>
      <c r="T1" s="1" t="s">
        <v>50</v>
      </c>
      <c r="U1" s="1" t="s">
        <v>19</v>
      </c>
      <c r="V1" s="1" t="s">
        <v>20</v>
      </c>
      <c r="W1" s="1" t="s">
        <v>18</v>
      </c>
      <c r="X1" s="1" t="s">
        <v>22</v>
      </c>
      <c r="Y1" s="1" t="s">
        <v>23</v>
      </c>
      <c r="Z1" s="1" t="s">
        <v>24</v>
      </c>
      <c r="AA1" s="1" t="s">
        <v>28</v>
      </c>
      <c r="AB1" s="1" t="s">
        <v>26</v>
      </c>
      <c r="AC1" s="1" t="s">
        <v>25</v>
      </c>
      <c r="AD1" s="1" t="s">
        <v>52</v>
      </c>
      <c r="AE1" s="1" t="s">
        <v>55</v>
      </c>
      <c r="AF1" s="1" t="s">
        <v>53</v>
      </c>
      <c r="AG1" s="1" t="s">
        <v>54</v>
      </c>
      <c r="AH1" s="1"/>
      <c r="AI1" s="1"/>
      <c r="AJ1" s="1"/>
      <c r="AK1" s="1"/>
      <c r="AL1" s="1" t="s">
        <v>33</v>
      </c>
      <c r="AM1" s="1" t="s">
        <v>35</v>
      </c>
      <c r="AN1" s="1" t="s">
        <v>36</v>
      </c>
      <c r="AO1" s="1" t="s">
        <v>37</v>
      </c>
      <c r="AP1" s="1" t="s">
        <v>34</v>
      </c>
      <c r="AQ1" s="1" t="s">
        <v>38</v>
      </c>
      <c r="AR1" s="1" t="s">
        <v>39</v>
      </c>
      <c r="AS1" s="1" t="s">
        <v>41</v>
      </c>
      <c r="AT1" s="1" t="s">
        <v>40</v>
      </c>
      <c r="AU1" s="1" t="s">
        <v>42</v>
      </c>
      <c r="AV1" s="1" t="s">
        <v>43</v>
      </c>
    </row>
    <row r="2" spans="1:48" ht="13.5" customHeight="1">
      <c r="A2" t="s">
        <v>98</v>
      </c>
      <c r="B2">
        <v>17.16</v>
      </c>
      <c r="C2">
        <v>0</v>
      </c>
      <c r="D2">
        <v>0.25</v>
      </c>
      <c r="E2">
        <v>66.47</v>
      </c>
      <c r="F2">
        <v>8.58</v>
      </c>
      <c r="G2" s="1">
        <v>0</v>
      </c>
      <c r="H2" s="1"/>
      <c r="I2" s="8">
        <f>(1.2*D2*B2)+E2+G2</f>
        <v>71.618</v>
      </c>
      <c r="J2" s="8">
        <f>(0.1*I2)/B2</f>
        <v>0.4173543123543123</v>
      </c>
      <c r="K2" s="8">
        <f>(0.2*I2)/B2</f>
        <v>0.8347086247086246</v>
      </c>
      <c r="L2" s="1">
        <f>ROUND(((0.08*B2)*12),0)</f>
        <v>16</v>
      </c>
      <c r="M2" s="1">
        <f>ROUND(((0.1*B2)*12),0)</f>
        <v>21</v>
      </c>
      <c r="N2" s="1">
        <f>ROUND((0.5*L2),0)</f>
        <v>8</v>
      </c>
      <c r="O2" s="1">
        <f>ROUND((0.5*M2),0)</f>
        <v>11</v>
      </c>
      <c r="P2" s="8">
        <f>(N2/12)*(L2/12)*150</f>
        <v>133.33333333333331</v>
      </c>
      <c r="Q2" s="8">
        <f>(O2/12)*(M2/12)*150</f>
        <v>240.62499999999997</v>
      </c>
      <c r="R2" s="2">
        <v>200</v>
      </c>
      <c r="S2" s="1">
        <f>D2+(R2/1000)</f>
        <v>0.45</v>
      </c>
      <c r="T2" s="8">
        <f>(1.2*S2*B2)+E2+G2</f>
        <v>75.7364</v>
      </c>
      <c r="U2" s="8">
        <v>30.72</v>
      </c>
      <c r="V2" s="8">
        <v>44.33</v>
      </c>
      <c r="W2" s="8">
        <f>MAX(U2:V2)</f>
        <v>44.33</v>
      </c>
      <c r="X2" s="8">
        <v>301.62</v>
      </c>
      <c r="Y2" s="8">
        <f>(B2/16)*12</f>
        <v>12.870000000000001</v>
      </c>
      <c r="Z2" s="8">
        <f>Y2-2.5</f>
        <v>10.370000000000001</v>
      </c>
      <c r="AA2" s="8">
        <f>(60000/4000)*0.01</f>
        <v>0.15</v>
      </c>
      <c r="AB2" s="8">
        <f>4000*AA2*(1-(0.59*AA2))</f>
        <v>546.9</v>
      </c>
      <c r="AC2" s="8">
        <f>(12000*X2)/(AB2*0.9)</f>
        <v>7353.446699579448</v>
      </c>
      <c r="AD2" s="8">
        <f>(AC2/2.25)^(1/3)</f>
        <v>14.84007663184931</v>
      </c>
      <c r="AE2" s="8">
        <f>AD2*(1.5)</f>
        <v>22.260114947773964</v>
      </c>
      <c r="AF2" s="8">
        <f>(AC2/4)^(1/3)</f>
        <v>12.250213351596907</v>
      </c>
      <c r="AG2" s="8">
        <f>AF2*2</f>
        <v>24.500426703193813</v>
      </c>
      <c r="AH2" s="8"/>
      <c r="AI2" s="8"/>
      <c r="AJ2" s="8"/>
      <c r="AK2" s="8"/>
      <c r="AL2" s="8">
        <f>(X2*12000)/(0.9*60000*0.95*AE2)</f>
        <v>3.1695427508099097</v>
      </c>
      <c r="AM2" s="8">
        <f>(AL2*60000)/(0.85*4000*AD2)</f>
        <v>3.7690578529218515</v>
      </c>
      <c r="AN2" s="8">
        <f>AM2/AE2</f>
        <v>0.1693188854489164</v>
      </c>
      <c r="AO2" s="8">
        <f>(X2*12000)/(0.9*60000*(AE2-(AM2/2)))</f>
        <v>3.289557738194926</v>
      </c>
      <c r="AP2" s="8">
        <f>(3*(4000^0.5)*AD2*Z2)/60000</f>
        <v>0.4866479519198299</v>
      </c>
      <c r="AQ2" s="8">
        <f>(200*AD2*Z2)/60000</f>
        <v>0.5129719822409246</v>
      </c>
      <c r="AR2" s="8">
        <f>ROUND(MAX(AO2:AQ2),2)</f>
        <v>3.29</v>
      </c>
      <c r="AS2" s="8">
        <f>1.875</f>
        <v>1.875</v>
      </c>
      <c r="AT2" s="8">
        <f>(540/(0.6*60))-(2.5*AS2)</f>
        <v>10.3125</v>
      </c>
      <c r="AU2" s="8">
        <f>AR2*(B2*12)</f>
        <v>677.4768</v>
      </c>
      <c r="AV2" s="8">
        <f>(Y2-6)*AD2*(12*B2)</f>
        <v>20993.817144808923</v>
      </c>
    </row>
    <row r="3" spans="1:48" ht="13.5" customHeight="1">
      <c r="A3" t="s">
        <v>100</v>
      </c>
      <c r="B3">
        <v>23.08</v>
      </c>
      <c r="C3">
        <v>0</v>
      </c>
      <c r="D3">
        <v>0.25</v>
      </c>
      <c r="E3">
        <v>65.8</v>
      </c>
      <c r="F3">
        <v>13.54</v>
      </c>
      <c r="G3" s="1">
        <v>0</v>
      </c>
      <c r="H3" s="1"/>
      <c r="I3" s="8">
        <f>(1.2*D3*B3)+E3+G3</f>
        <v>72.72399999999999</v>
      </c>
      <c r="J3" s="8">
        <f>(0.1*I3)/B3</f>
        <v>0.3150953206239168</v>
      </c>
      <c r="K3" s="8">
        <f>(0.2*I3)/B3</f>
        <v>0.6301906412478336</v>
      </c>
      <c r="L3" s="1">
        <f>ROUND(((0.08*B3)*12),0)</f>
        <v>22</v>
      </c>
      <c r="M3" s="1">
        <f>ROUND(((0.1*B3)*12),0)</f>
        <v>28</v>
      </c>
      <c r="N3" s="1">
        <f>ROUND((0.5*L3),0)</f>
        <v>11</v>
      </c>
      <c r="O3" s="1">
        <f>ROUND((0.5*M3),0)</f>
        <v>14</v>
      </c>
      <c r="P3" s="8">
        <f>(N3/12)*(L3/12)*150</f>
        <v>252.08333333333331</v>
      </c>
      <c r="Q3" s="8">
        <f>(O3/12)*(M3/12)*150</f>
        <v>408.3333333333334</v>
      </c>
      <c r="R3" s="2">
        <v>300</v>
      </c>
      <c r="S3" s="1">
        <f>D3+(R3/1000)</f>
        <v>0.55</v>
      </c>
      <c r="T3" s="8">
        <f>(1.2*S3*B3)+E3+G3</f>
        <v>81.0328</v>
      </c>
      <c r="U3" s="8">
        <v>43.44</v>
      </c>
      <c r="V3" s="8">
        <v>29.3</v>
      </c>
      <c r="W3" s="8">
        <f>MAX(U3:V3)</f>
        <v>43.44</v>
      </c>
      <c r="X3" s="8">
        <v>217.04</v>
      </c>
      <c r="Y3" s="8">
        <f>(B3/16)*12</f>
        <v>17.31</v>
      </c>
      <c r="Z3" s="8">
        <f>Y3-2.5</f>
        <v>14.809999999999999</v>
      </c>
      <c r="AA3" s="8">
        <f>(60000/4000)*0.01</f>
        <v>0.15</v>
      </c>
      <c r="AB3" s="8">
        <f>4000*AA3*(1-(0.59*AA3))</f>
        <v>546.9</v>
      </c>
      <c r="AC3" s="8">
        <f>(12000*X3)/(AB3*0.9)</f>
        <v>5291.400012189919</v>
      </c>
      <c r="AD3" s="8">
        <f>(AC3/2.25)^(1/3)</f>
        <v>13.298296913384782</v>
      </c>
      <c r="AE3" s="8">
        <f>AD3*(1.5)</f>
        <v>19.947445370077173</v>
      </c>
      <c r="AF3" s="8">
        <f>(AC3/4)^(1/3)</f>
        <v>10.977502235549133</v>
      </c>
      <c r="AG3" s="8">
        <f>AF3*2</f>
        <v>21.955004471098267</v>
      </c>
      <c r="AH3" s="8"/>
      <c r="AI3" s="8"/>
      <c r="AJ3" s="8"/>
      <c r="AK3" s="8"/>
      <c r="AL3" s="8">
        <f>(X3*12000)/(0.9*60000*0.95*AE3)</f>
        <v>2.5451675490954577</v>
      </c>
      <c r="AM3" s="8">
        <f>(AL3*60000)/(0.85*4000*AD3)</f>
        <v>3.3774792176146176</v>
      </c>
      <c r="AN3" s="8">
        <f>AM3/AE3</f>
        <v>0.16931888544891655</v>
      </c>
      <c r="AO3" s="8">
        <f>(X3*12000)/(0.9*60000*(AE3-(AM3/2)))</f>
        <v>2.6415405199977724</v>
      </c>
      <c r="AP3" s="8">
        <f>(3*(4000^0.5)*AD3*Z3)/60000</f>
        <v>0.6228035563352202</v>
      </c>
      <c r="AQ3" s="8">
        <f>(200*AD3*Z3)/60000</f>
        <v>0.6564925909574286</v>
      </c>
      <c r="AR3" s="8">
        <f>ROUND(MAX(AO3:AQ3),2)</f>
        <v>2.64</v>
      </c>
      <c r="AS3" s="8">
        <f>1.875</f>
        <v>1.875</v>
      </c>
      <c r="AT3" s="8">
        <f>(540/(0.6*60))-(2.5*AS3)</f>
        <v>10.3125</v>
      </c>
      <c r="AU3" s="8">
        <f>AR3*(B3*12)</f>
        <v>731.1744</v>
      </c>
      <c r="AV3" s="8">
        <f>(Y3-6)*AD3*(12*B3)</f>
        <v>41655.81930151216</v>
      </c>
    </row>
    <row r="4" spans="7:48" ht="12.75">
      <c r="G4" s="1"/>
      <c r="H4" s="1"/>
      <c r="I4" s="8"/>
      <c r="J4" s="8"/>
      <c r="K4" s="8"/>
      <c r="L4" s="1"/>
      <c r="M4" s="1"/>
      <c r="N4" s="1"/>
      <c r="O4" s="1"/>
      <c r="P4" s="8"/>
      <c r="Q4" s="8"/>
      <c r="R4" s="2"/>
      <c r="S4" s="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2.75">
      <c r="A5" t="s">
        <v>96</v>
      </c>
      <c r="B5">
        <v>14.16</v>
      </c>
      <c r="C5">
        <v>0</v>
      </c>
      <c r="D5">
        <v>0.25</v>
      </c>
      <c r="E5" s="1">
        <v>15.76</v>
      </c>
      <c r="F5" s="1">
        <v>7.08</v>
      </c>
      <c r="G5" s="1">
        <v>0</v>
      </c>
      <c r="H5" s="1"/>
      <c r="I5" s="8">
        <f aca="true" t="shared" si="0" ref="I5:I16">(1.2*D5*B5)+E5+G5</f>
        <v>20.008</v>
      </c>
      <c r="J5" s="8">
        <f aca="true" t="shared" si="1" ref="J5:J16">(0.1*I5)/B5</f>
        <v>0.14129943502824857</v>
      </c>
      <c r="K5" s="8">
        <f aca="true" t="shared" si="2" ref="K5:K16">(0.2*I5)/B5</f>
        <v>0.28259887005649714</v>
      </c>
      <c r="L5" s="1">
        <f aca="true" t="shared" si="3" ref="L5:L16">ROUND(((0.08*B5)*12),0)</f>
        <v>14</v>
      </c>
      <c r="M5" s="1">
        <f aca="true" t="shared" si="4" ref="M5:M16">ROUND(((0.1*B5)*12),0)</f>
        <v>17</v>
      </c>
      <c r="N5" s="1">
        <f aca="true" t="shared" si="5" ref="N5:N16">ROUND((0.5*L5),0)</f>
        <v>7</v>
      </c>
      <c r="O5" s="1">
        <f aca="true" t="shared" si="6" ref="O5:O16">ROUND((0.5*M5),0)</f>
        <v>9</v>
      </c>
      <c r="P5" s="8">
        <f aca="true" t="shared" si="7" ref="P5:P16">(N5/12)*(L5/12)*150</f>
        <v>102.08333333333336</v>
      </c>
      <c r="Q5" s="8">
        <f aca="true" t="shared" si="8" ref="Q5:Q16">(O5/12)*(M5/12)*150</f>
        <v>159.375</v>
      </c>
      <c r="R5" s="2">
        <v>300</v>
      </c>
      <c r="S5" s="1">
        <f aca="true" t="shared" si="9" ref="S5:S16">D5+(R5/1000)</f>
        <v>0.55</v>
      </c>
      <c r="T5" s="8">
        <f aca="true" t="shared" si="10" ref="T5:T16">(1.2*S5*B5)+E5+G5</f>
        <v>25.105600000000003</v>
      </c>
      <c r="U5" s="8">
        <f aca="true" t="shared" si="11" ref="U5:U16">T5-V5</f>
        <v>12.552800000000003</v>
      </c>
      <c r="V5" s="8">
        <f aca="true" t="shared" si="12" ref="V5:V16">((E5*F5)+(G5*H5)+((1.2*S5)*B5*(0.5*B5)))/B5</f>
        <v>12.5528</v>
      </c>
      <c r="W5" s="8">
        <f aca="true" t="shared" si="13" ref="W5:W16">MAX(U5:V5)</f>
        <v>12.552800000000003</v>
      </c>
      <c r="X5" s="8">
        <f aca="true" t="shared" si="14" ref="X5:X16">(((U5-((S5)*F5))*F5)/2)+(F5*(U5-((S5)*F5)))</f>
        <v>91.95645600000003</v>
      </c>
      <c r="Y5" s="8">
        <f aca="true" t="shared" si="15" ref="Y5:Y16">(B5/16)*12</f>
        <v>10.620000000000001</v>
      </c>
      <c r="Z5" s="8">
        <f aca="true" t="shared" si="16" ref="Z5:Z16">Y5-2.5</f>
        <v>8.120000000000001</v>
      </c>
      <c r="AA5" s="8">
        <f aca="true" t="shared" si="17" ref="AA5:AA16">(60000/4000)*0.01</f>
        <v>0.15</v>
      </c>
      <c r="AB5" s="8">
        <f aca="true" t="shared" si="18" ref="AB5:AB16">4000*AA5*(1-(0.59*AA5))</f>
        <v>546.9</v>
      </c>
      <c r="AC5" s="8">
        <f aca="true" t="shared" si="19" ref="AC5:AC16">(12000*X5)/(AB5*0.9)</f>
        <v>2241.8834887548005</v>
      </c>
      <c r="AD5" s="8">
        <f aca="true" t="shared" si="20" ref="AD5:AD16">(AC5/2.25)^(1/3)</f>
        <v>9.987961051083168</v>
      </c>
      <c r="AE5" s="8">
        <f aca="true" t="shared" si="21" ref="AE5:AE16">AD5*(1.5)</f>
        <v>14.981941576624752</v>
      </c>
      <c r="AF5" s="8">
        <f aca="true" t="shared" si="22" ref="AF5:AF16">(AC5/4)^(1/3)</f>
        <v>8.244880188867432</v>
      </c>
      <c r="AG5" s="8">
        <f aca="true" t="shared" si="23" ref="AG5:AG16">AF5*2</f>
        <v>16.489760377734864</v>
      </c>
      <c r="AH5" s="8"/>
      <c r="AI5" s="8"/>
      <c r="AJ5" s="8"/>
      <c r="AK5" s="8"/>
      <c r="AL5" s="8">
        <f aca="true" t="shared" si="24" ref="AL5:AL16">(X5*12000)/(0.9*60000*0.95*AE5)</f>
        <v>1.4357472958527693</v>
      </c>
      <c r="AM5" s="8">
        <f aca="true" t="shared" si="25" ref="AM5:AM16">(AL5*60000)/(0.85*4000*AD5)</f>
        <v>2.536725649614884</v>
      </c>
      <c r="AN5" s="8">
        <f aca="true" t="shared" si="26" ref="AN5:AN16">AM5/AE5</f>
        <v>0.16931888544891635</v>
      </c>
      <c r="AO5" s="8">
        <f aca="true" t="shared" si="27" ref="AO5:AO16">(X5*12000)/(0.9*60000*(AE5-(AM5/2)))</f>
        <v>1.4901119809657277</v>
      </c>
      <c r="AP5" s="8">
        <f>(3*(4000^0.5)*AD5*Z5)/60000</f>
        <v>0.2564678135520742</v>
      </c>
      <c r="AQ5" s="8">
        <f>(200*AD5*Z5)/60000</f>
        <v>0.2703408124493178</v>
      </c>
      <c r="AR5" s="8">
        <f aca="true" t="shared" si="28" ref="AR5:AR16">ROUND(MAX(AO5:AQ5),2)</f>
        <v>1.49</v>
      </c>
      <c r="AS5" s="8">
        <f aca="true" t="shared" si="29" ref="AS5:AS16">1.875</f>
        <v>1.875</v>
      </c>
      <c r="AT5" s="8">
        <f aca="true" t="shared" si="30" ref="AT5:AT16">(540/(0.6*60))-(2.5*AS5)</f>
        <v>10.3125</v>
      </c>
      <c r="AU5" s="8">
        <f aca="true" t="shared" si="31" ref="AU5:AU16">AR5*(B5*12)</f>
        <v>253.18080000000003</v>
      </c>
      <c r="AV5" s="8">
        <f aca="true" t="shared" si="32" ref="AV5:AV16">(Y5-6)*AD5*(12*B5)</f>
        <v>7840.853059116242</v>
      </c>
    </row>
    <row r="6" spans="1:48" ht="12.75">
      <c r="A6" t="s">
        <v>97</v>
      </c>
      <c r="B6">
        <v>14.16</v>
      </c>
      <c r="C6">
        <v>0</v>
      </c>
      <c r="D6">
        <v>0.25</v>
      </c>
      <c r="E6" s="1">
        <v>15.76</v>
      </c>
      <c r="F6" s="1">
        <v>7.08</v>
      </c>
      <c r="G6" s="1">
        <v>0</v>
      </c>
      <c r="H6" s="1"/>
      <c r="I6" s="8">
        <f t="shared" si="0"/>
        <v>20.008</v>
      </c>
      <c r="J6" s="8">
        <f t="shared" si="1"/>
        <v>0.14129943502824857</v>
      </c>
      <c r="K6" s="8">
        <f t="shared" si="2"/>
        <v>0.28259887005649714</v>
      </c>
      <c r="L6" s="1">
        <f t="shared" si="3"/>
        <v>14</v>
      </c>
      <c r="M6" s="1">
        <f t="shared" si="4"/>
        <v>17</v>
      </c>
      <c r="N6" s="1">
        <f t="shared" si="5"/>
        <v>7</v>
      </c>
      <c r="O6" s="1">
        <f t="shared" si="6"/>
        <v>9</v>
      </c>
      <c r="P6" s="8">
        <f t="shared" si="7"/>
        <v>102.08333333333336</v>
      </c>
      <c r="Q6" s="8">
        <f t="shared" si="8"/>
        <v>159.375</v>
      </c>
      <c r="R6" s="2">
        <v>300</v>
      </c>
      <c r="S6" s="1">
        <f t="shared" si="9"/>
        <v>0.55</v>
      </c>
      <c r="T6" s="8">
        <f t="shared" si="10"/>
        <v>25.105600000000003</v>
      </c>
      <c r="U6" s="8">
        <f t="shared" si="11"/>
        <v>12.552800000000003</v>
      </c>
      <c r="V6" s="8">
        <f t="shared" si="12"/>
        <v>12.5528</v>
      </c>
      <c r="W6" s="8">
        <f t="shared" si="13"/>
        <v>12.552800000000003</v>
      </c>
      <c r="X6" s="8">
        <f t="shared" si="14"/>
        <v>91.95645600000003</v>
      </c>
      <c r="Y6" s="8">
        <f t="shared" si="15"/>
        <v>10.620000000000001</v>
      </c>
      <c r="Z6" s="8">
        <f t="shared" si="16"/>
        <v>8.120000000000001</v>
      </c>
      <c r="AA6" s="8">
        <f t="shared" si="17"/>
        <v>0.15</v>
      </c>
      <c r="AB6" s="8">
        <f t="shared" si="18"/>
        <v>546.9</v>
      </c>
      <c r="AC6" s="8">
        <f t="shared" si="19"/>
        <v>2241.8834887548005</v>
      </c>
      <c r="AD6" s="8">
        <f t="shared" si="20"/>
        <v>9.987961051083168</v>
      </c>
      <c r="AE6" s="8">
        <f t="shared" si="21"/>
        <v>14.981941576624752</v>
      </c>
      <c r="AF6" s="8">
        <f t="shared" si="22"/>
        <v>8.244880188867432</v>
      </c>
      <c r="AG6" s="8">
        <f t="shared" si="23"/>
        <v>16.489760377734864</v>
      </c>
      <c r="AH6" s="8"/>
      <c r="AI6" s="8"/>
      <c r="AJ6" s="8"/>
      <c r="AK6" s="8"/>
      <c r="AL6" s="8">
        <f t="shared" si="24"/>
        <v>1.4357472958527693</v>
      </c>
      <c r="AM6" s="8">
        <f t="shared" si="25"/>
        <v>2.536725649614884</v>
      </c>
      <c r="AN6" s="8">
        <f t="shared" si="26"/>
        <v>0.16931888544891635</v>
      </c>
      <c r="AO6" s="8">
        <f t="shared" si="27"/>
        <v>1.4901119809657277</v>
      </c>
      <c r="AP6" s="8">
        <f>(3*(4000^0.5)*AD6*Z6)/60000</f>
        <v>0.2564678135520742</v>
      </c>
      <c r="AQ6" s="8">
        <f>(200*AD6*Z6)/60000</f>
        <v>0.2703408124493178</v>
      </c>
      <c r="AR6" s="8">
        <f t="shared" si="28"/>
        <v>1.49</v>
      </c>
      <c r="AS6" s="8">
        <f t="shared" si="29"/>
        <v>1.875</v>
      </c>
      <c r="AT6" s="8">
        <f t="shared" si="30"/>
        <v>10.3125</v>
      </c>
      <c r="AU6" s="8">
        <f t="shared" si="31"/>
        <v>253.18080000000003</v>
      </c>
      <c r="AV6" s="8">
        <f t="shared" si="32"/>
        <v>7840.853059116242</v>
      </c>
    </row>
    <row r="7" spans="1:48" ht="12.75">
      <c r="A7" t="s">
        <v>58</v>
      </c>
      <c r="B7">
        <v>12.92</v>
      </c>
      <c r="C7">
        <v>0</v>
      </c>
      <c r="D7">
        <v>0.25</v>
      </c>
      <c r="E7" s="1">
        <v>20.62</v>
      </c>
      <c r="F7" s="1">
        <v>6.46</v>
      </c>
      <c r="G7" s="1">
        <f>C7*60</f>
        <v>0</v>
      </c>
      <c r="H7" s="1"/>
      <c r="I7" s="8">
        <f t="shared" si="0"/>
        <v>24.496000000000002</v>
      </c>
      <c r="J7" s="8">
        <f t="shared" si="1"/>
        <v>0.18959752321981427</v>
      </c>
      <c r="K7" s="8">
        <f t="shared" si="2"/>
        <v>0.37919504643962854</v>
      </c>
      <c r="L7" s="1">
        <f t="shared" si="3"/>
        <v>12</v>
      </c>
      <c r="M7" s="1">
        <f t="shared" si="4"/>
        <v>16</v>
      </c>
      <c r="N7" s="1">
        <f t="shared" si="5"/>
        <v>6</v>
      </c>
      <c r="O7" s="1">
        <f t="shared" si="6"/>
        <v>8</v>
      </c>
      <c r="P7" s="8">
        <f t="shared" si="7"/>
        <v>75</v>
      </c>
      <c r="Q7" s="8">
        <f t="shared" si="8"/>
        <v>133.33333333333331</v>
      </c>
      <c r="R7" s="2">
        <v>300</v>
      </c>
      <c r="S7" s="1">
        <f t="shared" si="9"/>
        <v>0.55</v>
      </c>
      <c r="T7" s="8">
        <f t="shared" si="10"/>
        <v>29.1472</v>
      </c>
      <c r="U7" s="8">
        <f t="shared" si="11"/>
        <v>14.5736</v>
      </c>
      <c r="V7" s="8">
        <f t="shared" si="12"/>
        <v>14.5736</v>
      </c>
      <c r="W7" s="8">
        <f t="shared" si="13"/>
        <v>14.5736</v>
      </c>
      <c r="X7" s="8">
        <f t="shared" si="14"/>
        <v>106.789614</v>
      </c>
      <c r="Y7" s="8">
        <f t="shared" si="15"/>
        <v>9.69</v>
      </c>
      <c r="Z7" s="8">
        <f t="shared" si="16"/>
        <v>7.1899999999999995</v>
      </c>
      <c r="AA7" s="8">
        <f t="shared" si="17"/>
        <v>0.15</v>
      </c>
      <c r="AB7" s="8">
        <f t="shared" si="18"/>
        <v>546.9</v>
      </c>
      <c r="AC7" s="8">
        <f t="shared" si="19"/>
        <v>2603.513475955385</v>
      </c>
      <c r="AD7" s="8">
        <f t="shared" si="20"/>
        <v>10.498464175744274</v>
      </c>
      <c r="AE7" s="8">
        <f t="shared" si="21"/>
        <v>15.747696263616412</v>
      </c>
      <c r="AF7" s="8">
        <f t="shared" si="22"/>
        <v>8.666291233358521</v>
      </c>
      <c r="AG7" s="8">
        <f t="shared" si="23"/>
        <v>17.332582466717042</v>
      </c>
      <c r="AH7" s="8"/>
      <c r="AI7" s="8"/>
      <c r="AJ7" s="8"/>
      <c r="AK7" s="8"/>
      <c r="AL7" s="8">
        <f t="shared" si="24"/>
        <v>1.5862654605791895</v>
      </c>
      <c r="AM7" s="8">
        <f t="shared" si="25"/>
        <v>2.666382379743598</v>
      </c>
      <c r="AN7" s="8">
        <f t="shared" si="26"/>
        <v>0.16931888544891652</v>
      </c>
      <c r="AO7" s="8">
        <f t="shared" si="27"/>
        <v>1.6463295279251977</v>
      </c>
      <c r="AP7" s="8">
        <f>(3*(4000^0.5)*AD7*AE7)/60000</f>
        <v>0.522808693102793</v>
      </c>
      <c r="AQ7" s="8">
        <f>(200*AD7*AE7)/60000</f>
        <v>0.5510887502469296</v>
      </c>
      <c r="AR7" s="8">
        <f t="shared" si="28"/>
        <v>1.65</v>
      </c>
      <c r="AS7" s="8">
        <f t="shared" si="29"/>
        <v>1.875</v>
      </c>
      <c r="AT7" s="8">
        <f t="shared" si="30"/>
        <v>10.3125</v>
      </c>
      <c r="AU7" s="8">
        <f t="shared" si="31"/>
        <v>255.81599999999997</v>
      </c>
      <c r="AV7" s="8">
        <f t="shared" si="32"/>
        <v>6006.146158629276</v>
      </c>
    </row>
    <row r="8" spans="1:48" ht="12.75">
      <c r="A8" t="s">
        <v>99</v>
      </c>
      <c r="B8">
        <v>24</v>
      </c>
      <c r="C8">
        <v>0</v>
      </c>
      <c r="D8">
        <v>0.25</v>
      </c>
      <c r="E8" s="1">
        <v>78.18</v>
      </c>
      <c r="F8" s="1">
        <v>8</v>
      </c>
      <c r="G8" s="1">
        <v>34.28</v>
      </c>
      <c r="H8" s="1">
        <v>16</v>
      </c>
      <c r="I8" s="8">
        <f t="shared" si="0"/>
        <v>119.66000000000001</v>
      </c>
      <c r="J8" s="8">
        <f t="shared" si="1"/>
        <v>0.4985833333333334</v>
      </c>
      <c r="K8" s="8">
        <f t="shared" si="2"/>
        <v>0.9971666666666668</v>
      </c>
      <c r="L8" s="1">
        <f t="shared" si="3"/>
        <v>23</v>
      </c>
      <c r="M8" s="1">
        <f t="shared" si="4"/>
        <v>29</v>
      </c>
      <c r="N8" s="1">
        <f t="shared" si="5"/>
        <v>12</v>
      </c>
      <c r="O8" s="1">
        <f t="shared" si="6"/>
        <v>15</v>
      </c>
      <c r="P8" s="8">
        <f t="shared" si="7"/>
        <v>287.5</v>
      </c>
      <c r="Q8" s="8">
        <f t="shared" si="8"/>
        <v>453.12499999999994</v>
      </c>
      <c r="R8" s="2">
        <v>300</v>
      </c>
      <c r="S8" s="1">
        <f t="shared" si="9"/>
        <v>0.55</v>
      </c>
      <c r="T8" s="8">
        <f t="shared" si="10"/>
        <v>128.3</v>
      </c>
      <c r="U8" s="8">
        <f t="shared" si="11"/>
        <v>71.46666666666667</v>
      </c>
      <c r="V8" s="8">
        <f t="shared" si="12"/>
        <v>56.833333333333336</v>
      </c>
      <c r="W8" s="8">
        <f t="shared" si="13"/>
        <v>71.46666666666667</v>
      </c>
      <c r="X8" s="8">
        <f t="shared" si="14"/>
        <v>804.8</v>
      </c>
      <c r="Y8" s="8">
        <f t="shared" si="15"/>
        <v>18</v>
      </c>
      <c r="Z8" s="8">
        <f t="shared" si="16"/>
        <v>15.5</v>
      </c>
      <c r="AA8" s="8">
        <f t="shared" si="17"/>
        <v>0.15</v>
      </c>
      <c r="AB8" s="8">
        <f t="shared" si="18"/>
        <v>546.9</v>
      </c>
      <c r="AC8" s="8">
        <f t="shared" si="19"/>
        <v>19620.893521058086</v>
      </c>
      <c r="AD8" s="8">
        <f t="shared" si="20"/>
        <v>20.58316178352209</v>
      </c>
      <c r="AE8" s="8">
        <f t="shared" si="21"/>
        <v>30.874742675283137</v>
      </c>
      <c r="AF8" s="8">
        <f t="shared" si="22"/>
        <v>16.991025690354533</v>
      </c>
      <c r="AG8" s="8">
        <f t="shared" si="23"/>
        <v>33.982051380709066</v>
      </c>
      <c r="AH8" s="8"/>
      <c r="AI8" s="8"/>
      <c r="AJ8" s="8"/>
      <c r="AK8" s="8"/>
      <c r="AL8" s="8">
        <f t="shared" si="24"/>
        <v>6.097453569782474</v>
      </c>
      <c r="AM8" s="8">
        <f t="shared" si="25"/>
        <v>5.2276770183010415</v>
      </c>
      <c r="AN8" s="8">
        <f t="shared" si="26"/>
        <v>0.16931888544891657</v>
      </c>
      <c r="AO8" s="8">
        <f t="shared" si="27"/>
        <v>6.32833413230878</v>
      </c>
      <c r="AP8" s="8">
        <f>(3*(4000^0.5)*AD8*AE8)/60000</f>
        <v>2.0096268949265146</v>
      </c>
      <c r="AQ8" s="8">
        <f>(200*AD8*AE8)/60000</f>
        <v>2.118332745033222</v>
      </c>
      <c r="AR8" s="8">
        <f t="shared" si="28"/>
        <v>6.33</v>
      </c>
      <c r="AS8" s="8">
        <f t="shared" si="29"/>
        <v>1.875</v>
      </c>
      <c r="AT8" s="8">
        <f t="shared" si="30"/>
        <v>10.3125</v>
      </c>
      <c r="AU8" s="8">
        <f t="shared" si="31"/>
        <v>1823.04</v>
      </c>
      <c r="AV8" s="8">
        <f t="shared" si="32"/>
        <v>71135.40712385235</v>
      </c>
    </row>
    <row r="9" spans="1:48" ht="12.75">
      <c r="A9" s="5" t="s">
        <v>56</v>
      </c>
      <c r="B9">
        <v>21.33</v>
      </c>
      <c r="C9">
        <v>0</v>
      </c>
      <c r="D9">
        <v>0.25</v>
      </c>
      <c r="E9" s="1">
        <v>43.31</v>
      </c>
      <c r="F9" s="1">
        <v>10.66</v>
      </c>
      <c r="G9" s="1">
        <f>C9*60</f>
        <v>0</v>
      </c>
      <c r="H9" s="1"/>
      <c r="I9" s="8">
        <f t="shared" si="0"/>
        <v>49.709</v>
      </c>
      <c r="J9" s="8">
        <f t="shared" si="1"/>
        <v>0.233047351148617</v>
      </c>
      <c r="K9" s="8">
        <f t="shared" si="2"/>
        <v>0.466094702297234</v>
      </c>
      <c r="L9" s="1">
        <f t="shared" si="3"/>
        <v>20</v>
      </c>
      <c r="M9" s="1">
        <f t="shared" si="4"/>
        <v>26</v>
      </c>
      <c r="N9" s="1">
        <f t="shared" si="5"/>
        <v>10</v>
      </c>
      <c r="O9" s="1">
        <f t="shared" si="6"/>
        <v>13</v>
      </c>
      <c r="P9" s="8">
        <f t="shared" si="7"/>
        <v>208.33333333333337</v>
      </c>
      <c r="Q9" s="8">
        <f t="shared" si="8"/>
        <v>352.08333333333326</v>
      </c>
      <c r="R9" s="2">
        <v>400</v>
      </c>
      <c r="S9" s="1">
        <f t="shared" si="9"/>
        <v>0.65</v>
      </c>
      <c r="T9" s="8">
        <f t="shared" si="10"/>
        <v>59.9474</v>
      </c>
      <c r="U9" s="8">
        <f t="shared" si="11"/>
        <v>29.98385236755743</v>
      </c>
      <c r="V9" s="8">
        <f t="shared" si="12"/>
        <v>29.963547632442573</v>
      </c>
      <c r="W9" s="8">
        <f t="shared" si="13"/>
        <v>29.98385236755743</v>
      </c>
      <c r="X9" s="8">
        <f t="shared" si="14"/>
        <v>368.6470893572433</v>
      </c>
      <c r="Y9" s="8">
        <f t="shared" si="15"/>
        <v>15.997499999999999</v>
      </c>
      <c r="Z9" s="8">
        <f t="shared" si="16"/>
        <v>13.497499999999999</v>
      </c>
      <c r="AA9" s="8">
        <f t="shared" si="17"/>
        <v>0.15</v>
      </c>
      <c r="AB9" s="8">
        <f t="shared" si="18"/>
        <v>546.9</v>
      </c>
      <c r="AC9" s="8">
        <f t="shared" si="19"/>
        <v>8987.556271280388</v>
      </c>
      <c r="AD9" s="8">
        <f t="shared" si="20"/>
        <v>15.866691149724312</v>
      </c>
      <c r="AE9" s="8">
        <f t="shared" si="21"/>
        <v>23.80003672458647</v>
      </c>
      <c r="AF9" s="8">
        <f t="shared" si="22"/>
        <v>13.09766496426748</v>
      </c>
      <c r="AG9" s="8">
        <f t="shared" si="23"/>
        <v>26.19532992853496</v>
      </c>
      <c r="AH9" s="8"/>
      <c r="AI9" s="8"/>
      <c r="AJ9" s="8"/>
      <c r="AK9" s="8"/>
      <c r="AL9" s="8">
        <f t="shared" si="24"/>
        <v>3.6232396728810707</v>
      </c>
      <c r="AM9" s="8">
        <f t="shared" si="25"/>
        <v>4.029795691850262</v>
      </c>
      <c r="AN9" s="8">
        <f t="shared" si="26"/>
        <v>0.16931888544891652</v>
      </c>
      <c r="AO9" s="8">
        <f t="shared" si="27"/>
        <v>3.760433930167109</v>
      </c>
      <c r="AP9" s="8">
        <f>(3*(4000^0.5)*AD9*AE9)/60000</f>
        <v>1.1941640571846637</v>
      </c>
      <c r="AQ9" s="8">
        <f>(200*AD9*AE9)/60000</f>
        <v>1.258759440203699</v>
      </c>
      <c r="AR9" s="8">
        <f t="shared" si="28"/>
        <v>3.76</v>
      </c>
      <c r="AS9" s="8">
        <f t="shared" si="29"/>
        <v>1.875</v>
      </c>
      <c r="AT9" s="8">
        <f t="shared" si="30"/>
        <v>10.3125</v>
      </c>
      <c r="AU9" s="8">
        <f t="shared" si="31"/>
        <v>962.4095999999998</v>
      </c>
      <c r="AV9" s="8">
        <f t="shared" si="32"/>
        <v>40602.229571167634</v>
      </c>
    </row>
    <row r="10" spans="1:48" ht="12.75">
      <c r="A10" t="s">
        <v>57</v>
      </c>
      <c r="B10">
        <v>12.92</v>
      </c>
      <c r="C10">
        <v>0</v>
      </c>
      <c r="D10">
        <v>0.25</v>
      </c>
      <c r="E10" s="1">
        <v>20.62</v>
      </c>
      <c r="F10" s="1">
        <v>6.46</v>
      </c>
      <c r="G10" s="1">
        <f>C10*60</f>
        <v>0</v>
      </c>
      <c r="H10" s="1"/>
      <c r="I10" s="8">
        <f t="shared" si="0"/>
        <v>24.496000000000002</v>
      </c>
      <c r="J10" s="8">
        <f t="shared" si="1"/>
        <v>0.18959752321981427</v>
      </c>
      <c r="K10" s="8">
        <f t="shared" si="2"/>
        <v>0.37919504643962854</v>
      </c>
      <c r="L10" s="1">
        <f t="shared" si="3"/>
        <v>12</v>
      </c>
      <c r="M10" s="1">
        <f t="shared" si="4"/>
        <v>16</v>
      </c>
      <c r="N10" s="1">
        <f t="shared" si="5"/>
        <v>6</v>
      </c>
      <c r="O10" s="1">
        <f t="shared" si="6"/>
        <v>8</v>
      </c>
      <c r="P10" s="8">
        <f t="shared" si="7"/>
        <v>75</v>
      </c>
      <c r="Q10" s="8">
        <f t="shared" si="8"/>
        <v>133.33333333333331</v>
      </c>
      <c r="R10" s="2">
        <v>300</v>
      </c>
      <c r="S10" s="1">
        <f t="shared" si="9"/>
        <v>0.55</v>
      </c>
      <c r="T10" s="8">
        <f t="shared" si="10"/>
        <v>29.1472</v>
      </c>
      <c r="U10" s="8">
        <f t="shared" si="11"/>
        <v>14.5736</v>
      </c>
      <c r="V10" s="8">
        <f t="shared" si="12"/>
        <v>14.5736</v>
      </c>
      <c r="W10" s="8">
        <f t="shared" si="13"/>
        <v>14.5736</v>
      </c>
      <c r="X10" s="8">
        <f t="shared" si="14"/>
        <v>106.789614</v>
      </c>
      <c r="Y10" s="8">
        <f t="shared" si="15"/>
        <v>9.69</v>
      </c>
      <c r="Z10" s="8">
        <f t="shared" si="16"/>
        <v>7.1899999999999995</v>
      </c>
      <c r="AA10" s="8">
        <f t="shared" si="17"/>
        <v>0.15</v>
      </c>
      <c r="AB10" s="8">
        <f t="shared" si="18"/>
        <v>546.9</v>
      </c>
      <c r="AC10" s="8">
        <f t="shared" si="19"/>
        <v>2603.513475955385</v>
      </c>
      <c r="AD10" s="8">
        <f t="shared" si="20"/>
        <v>10.498464175744274</v>
      </c>
      <c r="AE10" s="8">
        <f t="shared" si="21"/>
        <v>15.747696263616412</v>
      </c>
      <c r="AF10" s="8">
        <f t="shared" si="22"/>
        <v>8.666291233358521</v>
      </c>
      <c r="AG10" s="8">
        <f t="shared" si="23"/>
        <v>17.332582466717042</v>
      </c>
      <c r="AH10" s="8"/>
      <c r="AI10" s="8"/>
      <c r="AJ10" s="8"/>
      <c r="AK10" s="8"/>
      <c r="AL10" s="8">
        <f t="shared" si="24"/>
        <v>1.5862654605791895</v>
      </c>
      <c r="AM10" s="8">
        <f t="shared" si="25"/>
        <v>2.666382379743598</v>
      </c>
      <c r="AN10" s="8">
        <f t="shared" si="26"/>
        <v>0.16931888544891652</v>
      </c>
      <c r="AO10" s="8">
        <f t="shared" si="27"/>
        <v>1.6463295279251977</v>
      </c>
      <c r="AP10" s="8">
        <f aca="true" t="shared" si="33" ref="AP10:AP16">(3*(4000^0.5)*AD10*Z10)/60000</f>
        <v>0.23870123226175555</v>
      </c>
      <c r="AQ10" s="8">
        <f aca="true" t="shared" si="34" ref="AQ10:AQ16">(200*AD10*Z10)/60000</f>
        <v>0.25161319141200444</v>
      </c>
      <c r="AR10" s="8">
        <f t="shared" si="28"/>
        <v>1.65</v>
      </c>
      <c r="AS10" s="8">
        <f t="shared" si="29"/>
        <v>1.875</v>
      </c>
      <c r="AT10" s="8">
        <f t="shared" si="30"/>
        <v>10.3125</v>
      </c>
      <c r="AU10" s="8">
        <f t="shared" si="31"/>
        <v>255.81599999999997</v>
      </c>
      <c r="AV10" s="8">
        <f t="shared" si="32"/>
        <v>6006.146158629276</v>
      </c>
    </row>
    <row r="11" spans="1:48" ht="12.75">
      <c r="A11" t="s">
        <v>59</v>
      </c>
      <c r="B11">
        <v>18</v>
      </c>
      <c r="C11">
        <v>0</v>
      </c>
      <c r="D11">
        <v>0.25</v>
      </c>
      <c r="E11" s="1">
        <v>27.01</v>
      </c>
      <c r="F11" s="1">
        <v>9</v>
      </c>
      <c r="G11" s="1">
        <v>0</v>
      </c>
      <c r="H11" s="1"/>
      <c r="I11" s="8">
        <f t="shared" si="0"/>
        <v>32.410000000000004</v>
      </c>
      <c r="J11" s="8">
        <f t="shared" si="1"/>
        <v>0.18005555555555558</v>
      </c>
      <c r="K11" s="8">
        <f t="shared" si="2"/>
        <v>0.36011111111111116</v>
      </c>
      <c r="L11" s="1">
        <f t="shared" si="3"/>
        <v>17</v>
      </c>
      <c r="M11" s="1">
        <f t="shared" si="4"/>
        <v>22</v>
      </c>
      <c r="N11" s="1">
        <f t="shared" si="5"/>
        <v>9</v>
      </c>
      <c r="O11" s="1">
        <f t="shared" si="6"/>
        <v>11</v>
      </c>
      <c r="P11" s="8">
        <f t="shared" si="7"/>
        <v>159.375</v>
      </c>
      <c r="Q11" s="8">
        <f t="shared" si="8"/>
        <v>252.08333333333331</v>
      </c>
      <c r="R11" s="2">
        <v>300</v>
      </c>
      <c r="S11" s="1">
        <f t="shared" si="9"/>
        <v>0.55</v>
      </c>
      <c r="T11" s="8">
        <f t="shared" si="10"/>
        <v>38.89</v>
      </c>
      <c r="U11" s="8">
        <f t="shared" si="11"/>
        <v>19.445</v>
      </c>
      <c r="V11" s="8">
        <f t="shared" si="12"/>
        <v>19.445</v>
      </c>
      <c r="W11" s="8">
        <f t="shared" si="13"/>
        <v>19.445</v>
      </c>
      <c r="X11" s="8">
        <f t="shared" si="14"/>
        <v>195.6825</v>
      </c>
      <c r="Y11" s="8">
        <f t="shared" si="15"/>
        <v>13.5</v>
      </c>
      <c r="Z11" s="8">
        <f t="shared" si="16"/>
        <v>11</v>
      </c>
      <c r="AA11" s="8">
        <f t="shared" si="17"/>
        <v>0.15</v>
      </c>
      <c r="AB11" s="8">
        <f t="shared" si="18"/>
        <v>546.9</v>
      </c>
      <c r="AC11" s="8">
        <f t="shared" si="19"/>
        <v>4770.707624794295</v>
      </c>
      <c r="AD11" s="8">
        <f t="shared" si="20"/>
        <v>12.846951791844965</v>
      </c>
      <c r="AE11" s="8">
        <f t="shared" si="21"/>
        <v>19.270427687767448</v>
      </c>
      <c r="AF11" s="8">
        <f t="shared" si="22"/>
        <v>10.60492504668213</v>
      </c>
      <c r="AG11" s="8">
        <f t="shared" si="23"/>
        <v>21.20985009336426</v>
      </c>
      <c r="AH11" s="8"/>
      <c r="AI11" s="8"/>
      <c r="AJ11" s="8"/>
      <c r="AK11" s="8"/>
      <c r="AL11" s="8">
        <f t="shared" si="24"/>
        <v>2.3753330726324613</v>
      </c>
      <c r="AM11" s="8">
        <f t="shared" si="25"/>
        <v>3.262847338216723</v>
      </c>
      <c r="AN11" s="8">
        <f t="shared" si="26"/>
        <v>0.16931888544891638</v>
      </c>
      <c r="AO11" s="8">
        <f t="shared" si="27"/>
        <v>2.4652752476273725</v>
      </c>
      <c r="AP11" s="8">
        <f t="shared" si="33"/>
        <v>0.44688191517872605</v>
      </c>
      <c r="AQ11" s="8">
        <f t="shared" si="34"/>
        <v>0.4710548990343154</v>
      </c>
      <c r="AR11" s="8">
        <f t="shared" si="28"/>
        <v>2.47</v>
      </c>
      <c r="AS11" s="8">
        <f t="shared" si="29"/>
        <v>1.875</v>
      </c>
      <c r="AT11" s="8">
        <f t="shared" si="30"/>
        <v>10.3125</v>
      </c>
      <c r="AU11" s="8">
        <f t="shared" si="31"/>
        <v>533.5200000000001</v>
      </c>
      <c r="AV11" s="8">
        <f t="shared" si="32"/>
        <v>20812.061902788846</v>
      </c>
    </row>
    <row r="12" spans="1:48" ht="12.75">
      <c r="A12" t="s">
        <v>62</v>
      </c>
      <c r="B12">
        <v>18</v>
      </c>
      <c r="C12">
        <v>0</v>
      </c>
      <c r="D12">
        <v>0.25</v>
      </c>
      <c r="E12" s="1">
        <v>27.01</v>
      </c>
      <c r="F12" s="1">
        <v>9</v>
      </c>
      <c r="G12" s="1">
        <v>0</v>
      </c>
      <c r="H12" s="1"/>
      <c r="I12" s="8">
        <f t="shared" si="0"/>
        <v>32.410000000000004</v>
      </c>
      <c r="J12" s="8">
        <f t="shared" si="1"/>
        <v>0.18005555555555558</v>
      </c>
      <c r="K12" s="8">
        <f t="shared" si="2"/>
        <v>0.36011111111111116</v>
      </c>
      <c r="L12" s="1">
        <f t="shared" si="3"/>
        <v>17</v>
      </c>
      <c r="M12" s="1">
        <f t="shared" si="4"/>
        <v>22</v>
      </c>
      <c r="N12" s="1">
        <f t="shared" si="5"/>
        <v>9</v>
      </c>
      <c r="O12" s="1">
        <f t="shared" si="6"/>
        <v>11</v>
      </c>
      <c r="P12" s="8">
        <f t="shared" si="7"/>
        <v>159.375</v>
      </c>
      <c r="Q12" s="8">
        <f t="shared" si="8"/>
        <v>252.08333333333331</v>
      </c>
      <c r="R12" s="2">
        <v>300</v>
      </c>
      <c r="S12" s="1">
        <f t="shared" si="9"/>
        <v>0.55</v>
      </c>
      <c r="T12" s="8">
        <f t="shared" si="10"/>
        <v>38.89</v>
      </c>
      <c r="U12" s="8">
        <f t="shared" si="11"/>
        <v>19.445</v>
      </c>
      <c r="V12" s="8">
        <f t="shared" si="12"/>
        <v>19.445</v>
      </c>
      <c r="W12" s="8">
        <f t="shared" si="13"/>
        <v>19.445</v>
      </c>
      <c r="X12" s="8">
        <f t="shared" si="14"/>
        <v>195.6825</v>
      </c>
      <c r="Y12" s="8">
        <f t="shared" si="15"/>
        <v>13.5</v>
      </c>
      <c r="Z12" s="8">
        <f t="shared" si="16"/>
        <v>11</v>
      </c>
      <c r="AA12" s="8">
        <f t="shared" si="17"/>
        <v>0.15</v>
      </c>
      <c r="AB12" s="8">
        <f t="shared" si="18"/>
        <v>546.9</v>
      </c>
      <c r="AC12" s="8">
        <f t="shared" si="19"/>
        <v>4770.707624794295</v>
      </c>
      <c r="AD12" s="8">
        <f t="shared" si="20"/>
        <v>12.846951791844965</v>
      </c>
      <c r="AE12" s="8">
        <f t="shared" si="21"/>
        <v>19.270427687767448</v>
      </c>
      <c r="AF12" s="8">
        <f t="shared" si="22"/>
        <v>10.60492504668213</v>
      </c>
      <c r="AG12" s="8">
        <f t="shared" si="23"/>
        <v>21.20985009336426</v>
      </c>
      <c r="AH12" s="8"/>
      <c r="AI12" s="8"/>
      <c r="AJ12" s="8"/>
      <c r="AK12" s="8"/>
      <c r="AL12" s="8">
        <f t="shared" si="24"/>
        <v>2.3753330726324613</v>
      </c>
      <c r="AM12" s="8">
        <f t="shared" si="25"/>
        <v>3.262847338216723</v>
      </c>
      <c r="AN12" s="8">
        <f t="shared" si="26"/>
        <v>0.16931888544891638</v>
      </c>
      <c r="AO12" s="8">
        <f t="shared" si="27"/>
        <v>2.4652752476273725</v>
      </c>
      <c r="AP12" s="8">
        <f t="shared" si="33"/>
        <v>0.44688191517872605</v>
      </c>
      <c r="AQ12" s="8">
        <f t="shared" si="34"/>
        <v>0.4710548990343154</v>
      </c>
      <c r="AR12" s="8">
        <f t="shared" si="28"/>
        <v>2.47</v>
      </c>
      <c r="AS12" s="8">
        <f t="shared" si="29"/>
        <v>1.875</v>
      </c>
      <c r="AT12" s="8">
        <f t="shared" si="30"/>
        <v>10.3125</v>
      </c>
      <c r="AU12" s="8">
        <f t="shared" si="31"/>
        <v>533.5200000000001</v>
      </c>
      <c r="AV12" s="8">
        <f t="shared" si="32"/>
        <v>20812.061902788846</v>
      </c>
    </row>
    <row r="13" spans="1:48" ht="12.75">
      <c r="A13" t="s">
        <v>63</v>
      </c>
      <c r="B13">
        <v>18</v>
      </c>
      <c r="C13">
        <v>0</v>
      </c>
      <c r="D13">
        <v>0.25</v>
      </c>
      <c r="E13" s="1">
        <v>27.01</v>
      </c>
      <c r="F13" s="1">
        <v>9</v>
      </c>
      <c r="G13" s="1">
        <v>0</v>
      </c>
      <c r="H13" s="1"/>
      <c r="I13" s="8">
        <f t="shared" si="0"/>
        <v>32.410000000000004</v>
      </c>
      <c r="J13" s="8">
        <f t="shared" si="1"/>
        <v>0.18005555555555558</v>
      </c>
      <c r="K13" s="8">
        <f t="shared" si="2"/>
        <v>0.36011111111111116</v>
      </c>
      <c r="L13" s="1">
        <f t="shared" si="3"/>
        <v>17</v>
      </c>
      <c r="M13" s="1">
        <f t="shared" si="4"/>
        <v>22</v>
      </c>
      <c r="N13" s="1">
        <f t="shared" si="5"/>
        <v>9</v>
      </c>
      <c r="O13" s="1">
        <f t="shared" si="6"/>
        <v>11</v>
      </c>
      <c r="P13" s="8">
        <f t="shared" si="7"/>
        <v>159.375</v>
      </c>
      <c r="Q13" s="8">
        <f t="shared" si="8"/>
        <v>252.08333333333331</v>
      </c>
      <c r="R13" s="2">
        <v>300</v>
      </c>
      <c r="S13" s="1">
        <f t="shared" si="9"/>
        <v>0.55</v>
      </c>
      <c r="T13" s="8">
        <f t="shared" si="10"/>
        <v>38.89</v>
      </c>
      <c r="U13" s="8">
        <f t="shared" si="11"/>
        <v>19.445</v>
      </c>
      <c r="V13" s="8">
        <f t="shared" si="12"/>
        <v>19.445</v>
      </c>
      <c r="W13" s="8">
        <f t="shared" si="13"/>
        <v>19.445</v>
      </c>
      <c r="X13" s="8">
        <f t="shared" si="14"/>
        <v>195.6825</v>
      </c>
      <c r="Y13" s="8">
        <f t="shared" si="15"/>
        <v>13.5</v>
      </c>
      <c r="Z13" s="8">
        <f t="shared" si="16"/>
        <v>11</v>
      </c>
      <c r="AA13" s="8">
        <f t="shared" si="17"/>
        <v>0.15</v>
      </c>
      <c r="AB13" s="8">
        <f t="shared" si="18"/>
        <v>546.9</v>
      </c>
      <c r="AC13" s="8">
        <f t="shared" si="19"/>
        <v>4770.707624794295</v>
      </c>
      <c r="AD13" s="8">
        <f t="shared" si="20"/>
        <v>12.846951791844965</v>
      </c>
      <c r="AE13" s="8">
        <f t="shared" si="21"/>
        <v>19.270427687767448</v>
      </c>
      <c r="AF13" s="8">
        <f t="shared" si="22"/>
        <v>10.60492504668213</v>
      </c>
      <c r="AG13" s="8">
        <f t="shared" si="23"/>
        <v>21.20985009336426</v>
      </c>
      <c r="AH13" s="8"/>
      <c r="AI13" s="8"/>
      <c r="AJ13" s="8"/>
      <c r="AK13" s="8"/>
      <c r="AL13" s="8">
        <f t="shared" si="24"/>
        <v>2.3753330726324613</v>
      </c>
      <c r="AM13" s="8">
        <f t="shared" si="25"/>
        <v>3.262847338216723</v>
      </c>
      <c r="AN13" s="8">
        <f t="shared" si="26"/>
        <v>0.16931888544891638</v>
      </c>
      <c r="AO13" s="8">
        <f t="shared" si="27"/>
        <v>2.4652752476273725</v>
      </c>
      <c r="AP13" s="8">
        <f t="shared" si="33"/>
        <v>0.44688191517872605</v>
      </c>
      <c r="AQ13" s="8">
        <f t="shared" si="34"/>
        <v>0.4710548990343154</v>
      </c>
      <c r="AR13" s="8">
        <f t="shared" si="28"/>
        <v>2.47</v>
      </c>
      <c r="AS13" s="8">
        <f t="shared" si="29"/>
        <v>1.875</v>
      </c>
      <c r="AT13" s="8">
        <f t="shared" si="30"/>
        <v>10.3125</v>
      </c>
      <c r="AU13" s="8">
        <f t="shared" si="31"/>
        <v>533.5200000000001</v>
      </c>
      <c r="AV13" s="8">
        <f t="shared" si="32"/>
        <v>20812.061902788846</v>
      </c>
    </row>
    <row r="14" spans="1:48" ht="12.75">
      <c r="A14" t="s">
        <v>64</v>
      </c>
      <c r="B14">
        <v>18</v>
      </c>
      <c r="C14">
        <v>0</v>
      </c>
      <c r="D14">
        <v>0.25</v>
      </c>
      <c r="E14" s="1">
        <v>27.01</v>
      </c>
      <c r="F14" s="1">
        <v>9</v>
      </c>
      <c r="G14" s="1">
        <v>0</v>
      </c>
      <c r="H14" s="1"/>
      <c r="I14" s="8">
        <f t="shared" si="0"/>
        <v>32.410000000000004</v>
      </c>
      <c r="J14" s="8">
        <f t="shared" si="1"/>
        <v>0.18005555555555558</v>
      </c>
      <c r="K14" s="8">
        <f t="shared" si="2"/>
        <v>0.36011111111111116</v>
      </c>
      <c r="L14" s="1">
        <f t="shared" si="3"/>
        <v>17</v>
      </c>
      <c r="M14" s="1">
        <f t="shared" si="4"/>
        <v>22</v>
      </c>
      <c r="N14" s="1">
        <f t="shared" si="5"/>
        <v>9</v>
      </c>
      <c r="O14" s="1">
        <f t="shared" si="6"/>
        <v>11</v>
      </c>
      <c r="P14" s="8">
        <f t="shared" si="7"/>
        <v>159.375</v>
      </c>
      <c r="Q14" s="8">
        <f t="shared" si="8"/>
        <v>252.08333333333331</v>
      </c>
      <c r="R14" s="2">
        <v>300</v>
      </c>
      <c r="S14" s="1">
        <f t="shared" si="9"/>
        <v>0.55</v>
      </c>
      <c r="T14" s="8">
        <f t="shared" si="10"/>
        <v>38.89</v>
      </c>
      <c r="U14" s="8">
        <f t="shared" si="11"/>
        <v>19.445</v>
      </c>
      <c r="V14" s="8">
        <f t="shared" si="12"/>
        <v>19.445</v>
      </c>
      <c r="W14" s="8">
        <f t="shared" si="13"/>
        <v>19.445</v>
      </c>
      <c r="X14" s="8">
        <f t="shared" si="14"/>
        <v>195.6825</v>
      </c>
      <c r="Y14" s="8">
        <f t="shared" si="15"/>
        <v>13.5</v>
      </c>
      <c r="Z14" s="8">
        <f t="shared" si="16"/>
        <v>11</v>
      </c>
      <c r="AA14" s="8">
        <f t="shared" si="17"/>
        <v>0.15</v>
      </c>
      <c r="AB14" s="8">
        <f t="shared" si="18"/>
        <v>546.9</v>
      </c>
      <c r="AC14" s="8">
        <f t="shared" si="19"/>
        <v>4770.707624794295</v>
      </c>
      <c r="AD14" s="8">
        <f t="shared" si="20"/>
        <v>12.846951791844965</v>
      </c>
      <c r="AE14" s="8">
        <f t="shared" si="21"/>
        <v>19.270427687767448</v>
      </c>
      <c r="AF14" s="8">
        <f t="shared" si="22"/>
        <v>10.60492504668213</v>
      </c>
      <c r="AG14" s="8">
        <f t="shared" si="23"/>
        <v>21.20985009336426</v>
      </c>
      <c r="AH14" s="8"/>
      <c r="AI14" s="8"/>
      <c r="AJ14" s="8"/>
      <c r="AK14" s="8"/>
      <c r="AL14" s="8">
        <f t="shared" si="24"/>
        <v>2.3753330726324613</v>
      </c>
      <c r="AM14" s="8">
        <f t="shared" si="25"/>
        <v>3.262847338216723</v>
      </c>
      <c r="AN14" s="8">
        <f t="shared" si="26"/>
        <v>0.16931888544891638</v>
      </c>
      <c r="AO14" s="8">
        <f t="shared" si="27"/>
        <v>2.4652752476273725</v>
      </c>
      <c r="AP14" s="8">
        <f t="shared" si="33"/>
        <v>0.44688191517872605</v>
      </c>
      <c r="AQ14" s="8">
        <f t="shared" si="34"/>
        <v>0.4710548990343154</v>
      </c>
      <c r="AR14" s="8">
        <f t="shared" si="28"/>
        <v>2.47</v>
      </c>
      <c r="AS14" s="8">
        <f t="shared" si="29"/>
        <v>1.875</v>
      </c>
      <c r="AT14" s="8">
        <f t="shared" si="30"/>
        <v>10.3125</v>
      </c>
      <c r="AU14" s="8">
        <f t="shared" si="31"/>
        <v>533.5200000000001</v>
      </c>
      <c r="AV14" s="8">
        <f t="shared" si="32"/>
        <v>20812.061902788846</v>
      </c>
    </row>
    <row r="15" spans="1:48" ht="12.75">
      <c r="A15" t="s">
        <v>60</v>
      </c>
      <c r="B15">
        <v>14.16</v>
      </c>
      <c r="C15">
        <v>0</v>
      </c>
      <c r="D15">
        <v>0.25</v>
      </c>
      <c r="E15" s="1">
        <v>15.76</v>
      </c>
      <c r="F15" s="1">
        <v>7.08</v>
      </c>
      <c r="G15" s="1">
        <v>0</v>
      </c>
      <c r="H15" s="1"/>
      <c r="I15" s="8">
        <f t="shared" si="0"/>
        <v>20.008</v>
      </c>
      <c r="J15" s="8">
        <f t="shared" si="1"/>
        <v>0.14129943502824857</v>
      </c>
      <c r="K15" s="8">
        <f t="shared" si="2"/>
        <v>0.28259887005649714</v>
      </c>
      <c r="L15" s="1">
        <f t="shared" si="3"/>
        <v>14</v>
      </c>
      <c r="M15" s="1">
        <f t="shared" si="4"/>
        <v>17</v>
      </c>
      <c r="N15" s="1">
        <f t="shared" si="5"/>
        <v>7</v>
      </c>
      <c r="O15" s="1">
        <f t="shared" si="6"/>
        <v>9</v>
      </c>
      <c r="P15" s="8">
        <f t="shared" si="7"/>
        <v>102.08333333333336</v>
      </c>
      <c r="Q15" s="8">
        <f t="shared" si="8"/>
        <v>159.375</v>
      </c>
      <c r="R15" s="2">
        <v>300</v>
      </c>
      <c r="S15" s="1">
        <f t="shared" si="9"/>
        <v>0.55</v>
      </c>
      <c r="T15" s="8">
        <f t="shared" si="10"/>
        <v>25.105600000000003</v>
      </c>
      <c r="U15" s="8">
        <f t="shared" si="11"/>
        <v>12.552800000000003</v>
      </c>
      <c r="V15" s="8">
        <f t="shared" si="12"/>
        <v>12.5528</v>
      </c>
      <c r="W15" s="8">
        <f t="shared" si="13"/>
        <v>12.552800000000003</v>
      </c>
      <c r="X15" s="8">
        <f t="shared" si="14"/>
        <v>91.95645600000003</v>
      </c>
      <c r="Y15" s="8">
        <f t="shared" si="15"/>
        <v>10.620000000000001</v>
      </c>
      <c r="Z15" s="8">
        <f t="shared" si="16"/>
        <v>8.120000000000001</v>
      </c>
      <c r="AA15" s="8">
        <f t="shared" si="17"/>
        <v>0.15</v>
      </c>
      <c r="AB15" s="8">
        <f t="shared" si="18"/>
        <v>546.9</v>
      </c>
      <c r="AC15" s="8">
        <f t="shared" si="19"/>
        <v>2241.8834887548005</v>
      </c>
      <c r="AD15" s="8">
        <f t="shared" si="20"/>
        <v>9.987961051083168</v>
      </c>
      <c r="AE15" s="8">
        <f t="shared" si="21"/>
        <v>14.981941576624752</v>
      </c>
      <c r="AF15" s="8">
        <f t="shared" si="22"/>
        <v>8.244880188867432</v>
      </c>
      <c r="AG15" s="8">
        <f t="shared" si="23"/>
        <v>16.489760377734864</v>
      </c>
      <c r="AH15" s="8"/>
      <c r="AI15" s="8"/>
      <c r="AJ15" s="8"/>
      <c r="AK15" s="8"/>
      <c r="AL15" s="8">
        <f t="shared" si="24"/>
        <v>1.4357472958527693</v>
      </c>
      <c r="AM15" s="8">
        <f t="shared" si="25"/>
        <v>2.536725649614884</v>
      </c>
      <c r="AN15" s="8">
        <f t="shared" si="26"/>
        <v>0.16931888544891635</v>
      </c>
      <c r="AO15" s="8">
        <f t="shared" si="27"/>
        <v>1.4901119809657277</v>
      </c>
      <c r="AP15" s="8">
        <f t="shared" si="33"/>
        <v>0.2564678135520742</v>
      </c>
      <c r="AQ15" s="8">
        <f t="shared" si="34"/>
        <v>0.2703408124493178</v>
      </c>
      <c r="AR15" s="8">
        <f t="shared" si="28"/>
        <v>1.49</v>
      </c>
      <c r="AS15" s="8">
        <f t="shared" si="29"/>
        <v>1.875</v>
      </c>
      <c r="AT15" s="8">
        <f t="shared" si="30"/>
        <v>10.3125</v>
      </c>
      <c r="AU15" s="8">
        <f t="shared" si="31"/>
        <v>253.18080000000003</v>
      </c>
      <c r="AV15" s="8">
        <f t="shared" si="32"/>
        <v>7840.853059116242</v>
      </c>
    </row>
    <row r="16" spans="1:48" ht="12.75" customHeight="1">
      <c r="A16" t="s">
        <v>61</v>
      </c>
      <c r="B16">
        <v>14.16</v>
      </c>
      <c r="C16">
        <v>0</v>
      </c>
      <c r="D16">
        <v>0.25</v>
      </c>
      <c r="E16" s="1">
        <v>15.76</v>
      </c>
      <c r="F16" s="1">
        <v>7.08</v>
      </c>
      <c r="G16" s="1">
        <v>0</v>
      </c>
      <c r="H16" s="1"/>
      <c r="I16" s="8">
        <f t="shared" si="0"/>
        <v>20.008</v>
      </c>
      <c r="J16" s="8">
        <f t="shared" si="1"/>
        <v>0.14129943502824857</v>
      </c>
      <c r="K16" s="8">
        <f t="shared" si="2"/>
        <v>0.28259887005649714</v>
      </c>
      <c r="L16" s="1">
        <f t="shared" si="3"/>
        <v>14</v>
      </c>
      <c r="M16" s="1">
        <f t="shared" si="4"/>
        <v>17</v>
      </c>
      <c r="N16" s="1">
        <f t="shared" si="5"/>
        <v>7</v>
      </c>
      <c r="O16" s="1">
        <f t="shared" si="6"/>
        <v>9</v>
      </c>
      <c r="P16" s="8">
        <f t="shared" si="7"/>
        <v>102.08333333333336</v>
      </c>
      <c r="Q16" s="8">
        <f t="shared" si="8"/>
        <v>159.375</v>
      </c>
      <c r="R16" s="2">
        <v>300</v>
      </c>
      <c r="S16" s="1">
        <f t="shared" si="9"/>
        <v>0.55</v>
      </c>
      <c r="T16" s="8">
        <f t="shared" si="10"/>
        <v>25.105600000000003</v>
      </c>
      <c r="U16" s="8">
        <f t="shared" si="11"/>
        <v>12.552800000000003</v>
      </c>
      <c r="V16" s="8">
        <f t="shared" si="12"/>
        <v>12.5528</v>
      </c>
      <c r="W16" s="8">
        <f t="shared" si="13"/>
        <v>12.552800000000003</v>
      </c>
      <c r="X16" s="8">
        <f t="shared" si="14"/>
        <v>91.95645600000003</v>
      </c>
      <c r="Y16" s="8">
        <f t="shared" si="15"/>
        <v>10.620000000000001</v>
      </c>
      <c r="Z16" s="8">
        <f t="shared" si="16"/>
        <v>8.120000000000001</v>
      </c>
      <c r="AA16" s="8">
        <f t="shared" si="17"/>
        <v>0.15</v>
      </c>
      <c r="AB16" s="8">
        <f t="shared" si="18"/>
        <v>546.9</v>
      </c>
      <c r="AC16" s="8">
        <f t="shared" si="19"/>
        <v>2241.8834887548005</v>
      </c>
      <c r="AD16" s="8">
        <f t="shared" si="20"/>
        <v>9.987961051083168</v>
      </c>
      <c r="AE16" s="8">
        <f t="shared" si="21"/>
        <v>14.981941576624752</v>
      </c>
      <c r="AF16" s="8">
        <f t="shared" si="22"/>
        <v>8.244880188867432</v>
      </c>
      <c r="AG16" s="8">
        <f t="shared" si="23"/>
        <v>16.489760377734864</v>
      </c>
      <c r="AH16" s="8"/>
      <c r="AI16" s="8"/>
      <c r="AJ16" s="8"/>
      <c r="AK16" s="8"/>
      <c r="AL16" s="8">
        <f t="shared" si="24"/>
        <v>1.4357472958527693</v>
      </c>
      <c r="AM16" s="8">
        <f t="shared" si="25"/>
        <v>2.536725649614884</v>
      </c>
      <c r="AN16" s="8">
        <f t="shared" si="26"/>
        <v>0.16931888544891635</v>
      </c>
      <c r="AO16" s="8">
        <f t="shared" si="27"/>
        <v>1.4901119809657277</v>
      </c>
      <c r="AP16" s="8">
        <f t="shared" si="33"/>
        <v>0.2564678135520742</v>
      </c>
      <c r="AQ16" s="8">
        <f t="shared" si="34"/>
        <v>0.2703408124493178</v>
      </c>
      <c r="AR16" s="8">
        <f t="shared" si="28"/>
        <v>1.49</v>
      </c>
      <c r="AS16" s="8">
        <f t="shared" si="29"/>
        <v>1.875</v>
      </c>
      <c r="AT16" s="8">
        <f t="shared" si="30"/>
        <v>10.3125</v>
      </c>
      <c r="AU16" s="8">
        <f t="shared" si="31"/>
        <v>253.18080000000003</v>
      </c>
      <c r="AV16" s="8">
        <f t="shared" si="32"/>
        <v>7840.853059116242</v>
      </c>
    </row>
    <row r="17" spans="5:48" ht="12.75">
      <c r="E17" s="1"/>
      <c r="F17" s="1"/>
      <c r="G17" s="1"/>
      <c r="H17" s="1"/>
      <c r="I17" s="8"/>
      <c r="J17" s="8"/>
      <c r="K17" s="8"/>
      <c r="L17" s="1"/>
      <c r="M17" s="1"/>
      <c r="N17" s="1"/>
      <c r="O17" s="1"/>
      <c r="P17" s="8"/>
      <c r="Q17" s="8"/>
      <c r="R17" s="2"/>
      <c r="S17" s="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5:48" ht="12.75">
      <c r="E18" s="1"/>
      <c r="F18" s="1"/>
      <c r="G18" s="1"/>
      <c r="H18" s="1"/>
      <c r="I18" s="8"/>
      <c r="J18" s="8"/>
      <c r="K18" s="8"/>
      <c r="L18" s="1"/>
      <c r="M18" s="1"/>
      <c r="N18" s="1"/>
      <c r="O18" s="1"/>
      <c r="P18" s="8"/>
      <c r="Q18" s="8"/>
      <c r="R18" s="2"/>
      <c r="S18" s="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2.75">
      <c r="A19" t="s">
        <v>65</v>
      </c>
      <c r="B19">
        <v>20.75</v>
      </c>
      <c r="C19">
        <v>0</v>
      </c>
      <c r="D19">
        <v>0.25</v>
      </c>
      <c r="E19" s="1">
        <v>42.36</v>
      </c>
      <c r="F19" s="1">
        <v>9.38</v>
      </c>
      <c r="G19" s="1">
        <v>0</v>
      </c>
      <c r="H19" s="1"/>
      <c r="I19" s="8">
        <f aca="true" t="shared" si="35" ref="I19:I33">(1.2*D19*B19)+E19+G19</f>
        <v>48.585</v>
      </c>
      <c r="J19" s="8">
        <f aca="true" t="shared" si="36" ref="J19:J33">(0.1*I19)/B19</f>
        <v>0.23414457831325303</v>
      </c>
      <c r="K19" s="8">
        <f aca="true" t="shared" si="37" ref="K19:K33">(0.2*I19)/B19</f>
        <v>0.46828915662650605</v>
      </c>
      <c r="L19" s="1">
        <f aca="true" t="shared" si="38" ref="L19:L33">ROUND(((0.08*B19)*12),0)</f>
        <v>20</v>
      </c>
      <c r="M19" s="1">
        <f aca="true" t="shared" si="39" ref="M19:M33">ROUND(((0.1*B19)*12),0)</f>
        <v>25</v>
      </c>
      <c r="N19" s="1">
        <f aca="true" t="shared" si="40" ref="N19:N33">ROUND((0.5*L19),0)</f>
        <v>10</v>
      </c>
      <c r="O19" s="1">
        <f aca="true" t="shared" si="41" ref="O19:O33">ROUND((0.5*M19),0)</f>
        <v>13</v>
      </c>
      <c r="P19" s="8">
        <f aca="true" t="shared" si="42" ref="P19:P33">(N19/12)*(L19/12)*150</f>
        <v>208.33333333333337</v>
      </c>
      <c r="Q19" s="8">
        <f aca="true" t="shared" si="43" ref="Q19:Q33">(O19/12)*(M19/12)*150</f>
        <v>338.5416666666667</v>
      </c>
      <c r="R19" s="2">
        <v>300</v>
      </c>
      <c r="S19" s="1">
        <f aca="true" t="shared" si="44" ref="S19:S33">D19+(R19/1000)</f>
        <v>0.55</v>
      </c>
      <c r="T19" s="8">
        <f aca="true" t="shared" si="45" ref="T19:T33">(1.2*S19*B19)+E19+G19</f>
        <v>56.055</v>
      </c>
      <c r="U19" s="8">
        <f aca="true" t="shared" si="46" ref="U19:U33">T19-V19</f>
        <v>30.05873855421687</v>
      </c>
      <c r="V19" s="8">
        <f aca="true" t="shared" si="47" ref="V19:V33">((E19*F19)+(G19*H19)+((1.2*S19)*B19*(0.5*B19)))/B19</f>
        <v>25.99626144578313</v>
      </c>
      <c r="W19" s="8">
        <f aca="true" t="shared" si="48" ref="W19:W33">MAX(U19:V19)</f>
        <v>30.05873855421687</v>
      </c>
      <c r="X19" s="8">
        <f aca="true" t="shared" si="49" ref="X19:X33">(((U19-((S19)*F19))*F19)/2)+(F19*(U19-((S19)*F19)))</f>
        <v>350.3393214578313</v>
      </c>
      <c r="Y19" s="8">
        <f aca="true" t="shared" si="50" ref="Y19:Y33">(B19/16)*12</f>
        <v>15.5625</v>
      </c>
      <c r="Z19" s="8">
        <f aca="true" t="shared" si="51" ref="Z19:Z33">Y19-2.5</f>
        <v>13.0625</v>
      </c>
      <c r="AA19" s="8">
        <f aca="true" t="shared" si="52" ref="AA19:AA33">(60000/4000)*0.01</f>
        <v>0.15</v>
      </c>
      <c r="AB19" s="8">
        <f aca="true" t="shared" si="53" ref="AB19:AB33">4000*AA19*(1-(0.59*AA19))</f>
        <v>546.9</v>
      </c>
      <c r="AC19" s="8">
        <f aca="true" t="shared" si="54" ref="AC19:AC33">(12000*X19)/(AB19*0.9)</f>
        <v>8541.215858056472</v>
      </c>
      <c r="AD19" s="8">
        <f aca="true" t="shared" si="55" ref="AD19:AD33">(AC19/2.25)^(1/3)</f>
        <v>15.599561593139217</v>
      </c>
      <c r="AE19" s="8">
        <f aca="true" t="shared" si="56" ref="AE19:AE33">AD19*(1.5)</f>
        <v>23.399342389708828</v>
      </c>
      <c r="AF19" s="8">
        <f aca="true" t="shared" si="57" ref="AF19:AF33">(AC19/4)^(1/3)</f>
        <v>12.877154373799119</v>
      </c>
      <c r="AG19" s="8">
        <f aca="true" t="shared" si="58" ref="AG19:AG33">AF19*2</f>
        <v>25.754308747598238</v>
      </c>
      <c r="AH19" s="8"/>
      <c r="AI19" s="8"/>
      <c r="AJ19" s="8"/>
      <c r="AK19" s="8"/>
      <c r="AL19" s="8">
        <f aca="true" t="shared" si="59" ref="AL19:AL33">(X19*12000)/(0.9*60000*0.95*AE19)</f>
        <v>3.5022658801604</v>
      </c>
      <c r="AM19" s="8">
        <f aca="true" t="shared" si="60" ref="AM19:AM33">(AL19*60000)/(0.85*4000*AD19)</f>
        <v>3.961950573663087</v>
      </c>
      <c r="AN19" s="8">
        <f aca="true" t="shared" si="61" ref="AN19:AN33">AM19/AE19</f>
        <v>0.1693188854489166</v>
      </c>
      <c r="AO19" s="8">
        <f aca="true" t="shared" si="62" ref="AO19:AO33">(X19*12000)/(0.9*60000*(AE19-(AM19/2)))</f>
        <v>3.634879455200213</v>
      </c>
      <c r="AP19" s="8">
        <f aca="true" t="shared" si="63" ref="AP19:AP33">(3*(4000^0.5)*AD19*Z19)/60000</f>
        <v>0.6443750208181627</v>
      </c>
      <c r="AQ19" s="8">
        <f aca="true" t="shared" si="64" ref="AQ19:AQ33">(200*AD19*Z19)/60000</f>
        <v>0.6792309110346034</v>
      </c>
      <c r="AR19" s="8">
        <f aca="true" t="shared" si="65" ref="AR19:AR33">ROUND(MAX(AO19:AQ19),2)</f>
        <v>3.63</v>
      </c>
      <c r="AS19" s="8">
        <f aca="true" t="shared" si="66" ref="AS19:AS33">1.875</f>
        <v>1.875</v>
      </c>
      <c r="AT19" s="8">
        <f aca="true" t="shared" si="67" ref="AT19:AT33">(540/(0.6*60))-(2.5*AS19)</f>
        <v>10.3125</v>
      </c>
      <c r="AU19" s="8">
        <f aca="true" t="shared" si="68" ref="AU19:AU33">AR19*(B19*12)</f>
        <v>903.87</v>
      </c>
      <c r="AV19" s="8">
        <f aca="true" t="shared" si="69" ref="AV19:AV33">(Y19-6)*AD19*(12*B19)</f>
        <v>37143.53112586405</v>
      </c>
    </row>
    <row r="20" spans="1:48" ht="12.75">
      <c r="A20" t="s">
        <v>73</v>
      </c>
      <c r="B20">
        <v>13</v>
      </c>
      <c r="C20">
        <v>0</v>
      </c>
      <c r="D20">
        <v>0.25</v>
      </c>
      <c r="E20" s="1">
        <v>20.04</v>
      </c>
      <c r="F20" s="1">
        <v>6.5</v>
      </c>
      <c r="G20" s="1">
        <v>0</v>
      </c>
      <c r="H20" s="1"/>
      <c r="I20" s="8">
        <f t="shared" si="35"/>
        <v>23.939999999999998</v>
      </c>
      <c r="J20" s="8">
        <f t="shared" si="36"/>
        <v>0.18415384615384614</v>
      </c>
      <c r="K20" s="8">
        <f t="shared" si="37"/>
        <v>0.3683076923076923</v>
      </c>
      <c r="L20" s="1">
        <f t="shared" si="38"/>
        <v>12</v>
      </c>
      <c r="M20" s="1">
        <f t="shared" si="39"/>
        <v>16</v>
      </c>
      <c r="N20" s="1">
        <f t="shared" si="40"/>
        <v>6</v>
      </c>
      <c r="O20" s="1">
        <f t="shared" si="41"/>
        <v>8</v>
      </c>
      <c r="P20" s="8">
        <f t="shared" si="42"/>
        <v>75</v>
      </c>
      <c r="Q20" s="8">
        <f t="shared" si="43"/>
        <v>133.33333333333331</v>
      </c>
      <c r="R20" s="2">
        <v>300</v>
      </c>
      <c r="S20" s="1">
        <f t="shared" si="44"/>
        <v>0.55</v>
      </c>
      <c r="T20" s="8">
        <f t="shared" si="45"/>
        <v>28.619999999999997</v>
      </c>
      <c r="U20" s="8">
        <f t="shared" si="46"/>
        <v>14.309999999999997</v>
      </c>
      <c r="V20" s="8">
        <f t="shared" si="47"/>
        <v>14.31</v>
      </c>
      <c r="W20" s="8">
        <f t="shared" si="48"/>
        <v>14.31</v>
      </c>
      <c r="X20" s="8">
        <f t="shared" si="49"/>
        <v>104.66624999999996</v>
      </c>
      <c r="Y20" s="8">
        <f t="shared" si="50"/>
        <v>9.75</v>
      </c>
      <c r="Z20" s="8">
        <f t="shared" si="51"/>
        <v>7.25</v>
      </c>
      <c r="AA20" s="8">
        <f t="shared" si="52"/>
        <v>0.15</v>
      </c>
      <c r="AB20" s="8">
        <f t="shared" si="53"/>
        <v>546.9</v>
      </c>
      <c r="AC20" s="8">
        <f t="shared" si="54"/>
        <v>2551.74620588773</v>
      </c>
      <c r="AD20" s="8">
        <f t="shared" si="55"/>
        <v>10.428415341557285</v>
      </c>
      <c r="AE20" s="8">
        <f t="shared" si="56"/>
        <v>15.642623012335928</v>
      </c>
      <c r="AF20" s="8">
        <f t="shared" si="57"/>
        <v>8.608467194769691</v>
      </c>
      <c r="AG20" s="8">
        <f t="shared" si="58"/>
        <v>17.216934389539382</v>
      </c>
      <c r="AH20" s="8"/>
      <c r="AI20" s="8"/>
      <c r="AJ20" s="8"/>
      <c r="AK20" s="8"/>
      <c r="AL20" s="8">
        <f t="shared" si="59"/>
        <v>1.5651680229092988</v>
      </c>
      <c r="AM20" s="8">
        <f t="shared" si="60"/>
        <v>2.6485914939462907</v>
      </c>
      <c r="AN20" s="8">
        <f t="shared" si="61"/>
        <v>0.1693188854489164</v>
      </c>
      <c r="AO20" s="8">
        <f t="shared" si="62"/>
        <v>1.6244332341063683</v>
      </c>
      <c r="AP20" s="8">
        <f t="shared" si="63"/>
        <v>0.23908720027533756</v>
      </c>
      <c r="AQ20" s="8">
        <f t="shared" si="64"/>
        <v>0.25202003742096774</v>
      </c>
      <c r="AR20" s="8">
        <f t="shared" si="65"/>
        <v>1.62</v>
      </c>
      <c r="AS20" s="8">
        <f t="shared" si="66"/>
        <v>1.875</v>
      </c>
      <c r="AT20" s="8">
        <f t="shared" si="67"/>
        <v>10.3125</v>
      </c>
      <c r="AU20" s="8">
        <f t="shared" si="68"/>
        <v>252.72000000000003</v>
      </c>
      <c r="AV20" s="8">
        <f t="shared" si="69"/>
        <v>6100.622974811011</v>
      </c>
    </row>
    <row r="21" spans="1:48" ht="12.75">
      <c r="A21" t="s">
        <v>66</v>
      </c>
      <c r="B21">
        <v>18</v>
      </c>
      <c r="C21">
        <v>0</v>
      </c>
      <c r="D21">
        <v>0.25</v>
      </c>
      <c r="E21" s="1">
        <v>37.05</v>
      </c>
      <c r="F21" s="1">
        <v>9</v>
      </c>
      <c r="G21" s="1">
        <v>0</v>
      </c>
      <c r="H21" s="1"/>
      <c r="I21" s="8">
        <f t="shared" si="35"/>
        <v>42.449999999999996</v>
      </c>
      <c r="J21" s="8">
        <f t="shared" si="36"/>
        <v>0.23583333333333334</v>
      </c>
      <c r="K21" s="8">
        <f t="shared" si="37"/>
        <v>0.4716666666666667</v>
      </c>
      <c r="L21" s="1">
        <f t="shared" si="38"/>
        <v>17</v>
      </c>
      <c r="M21" s="1">
        <f t="shared" si="39"/>
        <v>22</v>
      </c>
      <c r="N21" s="1">
        <f t="shared" si="40"/>
        <v>9</v>
      </c>
      <c r="O21" s="1">
        <f t="shared" si="41"/>
        <v>11</v>
      </c>
      <c r="P21" s="8">
        <f t="shared" si="42"/>
        <v>159.375</v>
      </c>
      <c r="Q21" s="8">
        <f t="shared" si="43"/>
        <v>252.08333333333331</v>
      </c>
      <c r="R21" s="2">
        <v>300</v>
      </c>
      <c r="S21" s="1">
        <f t="shared" si="44"/>
        <v>0.55</v>
      </c>
      <c r="T21" s="8">
        <f t="shared" si="45"/>
        <v>48.93</v>
      </c>
      <c r="U21" s="8">
        <f t="shared" si="46"/>
        <v>24.465</v>
      </c>
      <c r="V21" s="8">
        <f t="shared" si="47"/>
        <v>24.465</v>
      </c>
      <c r="W21" s="8">
        <f t="shared" si="48"/>
        <v>24.465</v>
      </c>
      <c r="X21" s="8">
        <f t="shared" si="49"/>
        <v>263.4525</v>
      </c>
      <c r="Y21" s="8">
        <f t="shared" si="50"/>
        <v>13.5</v>
      </c>
      <c r="Z21" s="8">
        <f t="shared" si="51"/>
        <v>11</v>
      </c>
      <c r="AA21" s="8">
        <f t="shared" si="52"/>
        <v>0.15</v>
      </c>
      <c r="AB21" s="8">
        <f t="shared" si="53"/>
        <v>546.9</v>
      </c>
      <c r="AC21" s="8">
        <f t="shared" si="54"/>
        <v>6422.9292375205705</v>
      </c>
      <c r="AD21" s="8">
        <f t="shared" si="55"/>
        <v>14.185681554336757</v>
      </c>
      <c r="AE21" s="8">
        <f t="shared" si="56"/>
        <v>21.278522331505137</v>
      </c>
      <c r="AF21" s="8">
        <f t="shared" si="57"/>
        <v>11.710022117101609</v>
      </c>
      <c r="AG21" s="8">
        <f t="shared" si="58"/>
        <v>23.420044234203218</v>
      </c>
      <c r="AH21" s="8"/>
      <c r="AI21" s="8"/>
      <c r="AJ21" s="8"/>
      <c r="AK21" s="8"/>
      <c r="AL21" s="8">
        <f t="shared" si="59"/>
        <v>2.896174594709958</v>
      </c>
      <c r="AM21" s="8">
        <f t="shared" si="60"/>
        <v>3.602855685170331</v>
      </c>
      <c r="AN21" s="8">
        <f t="shared" si="61"/>
        <v>0.16931888544891655</v>
      </c>
      <c r="AO21" s="8">
        <f t="shared" si="62"/>
        <v>3.0058384752050555</v>
      </c>
      <c r="AP21" s="8">
        <f t="shared" si="63"/>
        <v>0.49344970260895954</v>
      </c>
      <c r="AQ21" s="8">
        <f t="shared" si="64"/>
        <v>0.5201416569923477</v>
      </c>
      <c r="AR21" s="8">
        <f t="shared" si="65"/>
        <v>3.01</v>
      </c>
      <c r="AS21" s="8">
        <f t="shared" si="66"/>
        <v>1.875</v>
      </c>
      <c r="AT21" s="8">
        <f t="shared" si="67"/>
        <v>10.3125</v>
      </c>
      <c r="AU21" s="8">
        <f t="shared" si="68"/>
        <v>650.16</v>
      </c>
      <c r="AV21" s="8">
        <f t="shared" si="69"/>
        <v>22980.804118025546</v>
      </c>
    </row>
    <row r="22" spans="1:48" ht="12.75">
      <c r="A22" t="s">
        <v>67</v>
      </c>
      <c r="B22">
        <v>11.42</v>
      </c>
      <c r="C22">
        <v>0</v>
      </c>
      <c r="D22">
        <v>0.25</v>
      </c>
      <c r="E22" s="1">
        <v>27.8</v>
      </c>
      <c r="F22" s="1">
        <v>5.71</v>
      </c>
      <c r="G22" s="1">
        <v>0</v>
      </c>
      <c r="H22" s="1"/>
      <c r="I22" s="8">
        <f t="shared" si="35"/>
        <v>31.226</v>
      </c>
      <c r="J22" s="8">
        <f t="shared" si="36"/>
        <v>0.27343257443082314</v>
      </c>
      <c r="K22" s="8">
        <f t="shared" si="37"/>
        <v>0.5468651488616463</v>
      </c>
      <c r="L22" s="1">
        <f t="shared" si="38"/>
        <v>11</v>
      </c>
      <c r="M22" s="1">
        <f t="shared" si="39"/>
        <v>14</v>
      </c>
      <c r="N22" s="1">
        <f t="shared" si="40"/>
        <v>6</v>
      </c>
      <c r="O22" s="1">
        <f t="shared" si="41"/>
        <v>7</v>
      </c>
      <c r="P22" s="8">
        <f t="shared" si="42"/>
        <v>68.75</v>
      </c>
      <c r="Q22" s="8">
        <f t="shared" si="43"/>
        <v>102.08333333333336</v>
      </c>
      <c r="R22" s="2">
        <v>300</v>
      </c>
      <c r="S22" s="1">
        <f t="shared" si="44"/>
        <v>0.55</v>
      </c>
      <c r="T22" s="8">
        <f t="shared" si="45"/>
        <v>35.3372</v>
      </c>
      <c r="U22" s="8">
        <f t="shared" si="46"/>
        <v>17.6686</v>
      </c>
      <c r="V22" s="8">
        <f t="shared" si="47"/>
        <v>17.6686</v>
      </c>
      <c r="W22" s="8">
        <f t="shared" si="48"/>
        <v>17.6686</v>
      </c>
      <c r="X22" s="8">
        <f t="shared" si="49"/>
        <v>124.43317650000002</v>
      </c>
      <c r="Y22" s="8">
        <f t="shared" si="50"/>
        <v>8.565</v>
      </c>
      <c r="Z22" s="8">
        <f t="shared" si="51"/>
        <v>6.0649999999999995</v>
      </c>
      <c r="AA22" s="8">
        <f t="shared" si="52"/>
        <v>0.15</v>
      </c>
      <c r="AB22" s="8">
        <f t="shared" si="53"/>
        <v>546.9</v>
      </c>
      <c r="AC22" s="8">
        <f t="shared" si="54"/>
        <v>3033.6606692265505</v>
      </c>
      <c r="AD22" s="8">
        <f t="shared" si="55"/>
        <v>11.047436000772736</v>
      </c>
      <c r="AE22" s="8">
        <f t="shared" si="56"/>
        <v>16.571154001159105</v>
      </c>
      <c r="AF22" s="8">
        <f t="shared" si="57"/>
        <v>9.119457490342748</v>
      </c>
      <c r="AG22" s="8">
        <f t="shared" si="58"/>
        <v>18.238914980685497</v>
      </c>
      <c r="AH22" s="8"/>
      <c r="AI22" s="8"/>
      <c r="AJ22" s="8"/>
      <c r="AK22" s="8"/>
      <c r="AL22" s="8">
        <f t="shared" si="59"/>
        <v>1.7564966077460704</v>
      </c>
      <c r="AM22" s="8">
        <f t="shared" si="60"/>
        <v>2.8058093260786143</v>
      </c>
      <c r="AN22" s="8">
        <f t="shared" si="61"/>
        <v>0.1693188854489166</v>
      </c>
      <c r="AO22" s="8">
        <f t="shared" si="62"/>
        <v>1.8230064909671129</v>
      </c>
      <c r="AP22" s="8">
        <f t="shared" si="63"/>
        <v>0.21188113930868102</v>
      </c>
      <c r="AQ22" s="8">
        <f t="shared" si="64"/>
        <v>0.2233423311489555</v>
      </c>
      <c r="AR22" s="8">
        <f t="shared" si="65"/>
        <v>1.82</v>
      </c>
      <c r="AS22" s="8">
        <f t="shared" si="66"/>
        <v>1.875</v>
      </c>
      <c r="AT22" s="8">
        <f t="shared" si="67"/>
        <v>10.3125</v>
      </c>
      <c r="AU22" s="8">
        <f t="shared" si="68"/>
        <v>249.4128</v>
      </c>
      <c r="AV22" s="8">
        <f t="shared" si="69"/>
        <v>3883.2577147852217</v>
      </c>
    </row>
    <row r="23" spans="1:48" ht="12.75">
      <c r="A23" t="s">
        <v>68</v>
      </c>
      <c r="B23">
        <v>17.75</v>
      </c>
      <c r="C23">
        <v>0</v>
      </c>
      <c r="D23">
        <v>0.25</v>
      </c>
      <c r="E23" s="1">
        <v>37.53</v>
      </c>
      <c r="F23" s="1">
        <v>9.46</v>
      </c>
      <c r="G23" s="1">
        <v>0</v>
      </c>
      <c r="H23" s="1"/>
      <c r="I23" s="8">
        <f t="shared" si="35"/>
        <v>42.855000000000004</v>
      </c>
      <c r="J23" s="8">
        <f t="shared" si="36"/>
        <v>0.2414366197183099</v>
      </c>
      <c r="K23" s="8">
        <f t="shared" si="37"/>
        <v>0.4828732394366198</v>
      </c>
      <c r="L23" s="1">
        <f t="shared" si="38"/>
        <v>17</v>
      </c>
      <c r="M23" s="1">
        <f t="shared" si="39"/>
        <v>21</v>
      </c>
      <c r="N23" s="1">
        <f t="shared" si="40"/>
        <v>9</v>
      </c>
      <c r="O23" s="1">
        <f t="shared" si="41"/>
        <v>11</v>
      </c>
      <c r="P23" s="8">
        <f t="shared" si="42"/>
        <v>159.375</v>
      </c>
      <c r="Q23" s="8">
        <f t="shared" si="43"/>
        <v>240.62499999999997</v>
      </c>
      <c r="R23" s="2">
        <v>300</v>
      </c>
      <c r="S23" s="1">
        <f t="shared" si="44"/>
        <v>0.55</v>
      </c>
      <c r="T23" s="8">
        <f t="shared" si="45"/>
        <v>49.245000000000005</v>
      </c>
      <c r="U23" s="8">
        <f t="shared" si="46"/>
        <v>23.38559577464789</v>
      </c>
      <c r="V23" s="8">
        <f t="shared" si="47"/>
        <v>25.859404225352115</v>
      </c>
      <c r="W23" s="8">
        <f t="shared" si="48"/>
        <v>25.859404225352115</v>
      </c>
      <c r="X23" s="8">
        <f t="shared" si="49"/>
        <v>258.0110340422535</v>
      </c>
      <c r="Y23" s="8">
        <f t="shared" si="50"/>
        <v>13.3125</v>
      </c>
      <c r="Z23" s="8">
        <f t="shared" si="51"/>
        <v>10.8125</v>
      </c>
      <c r="AA23" s="8">
        <f t="shared" si="52"/>
        <v>0.15</v>
      </c>
      <c r="AB23" s="8">
        <f t="shared" si="53"/>
        <v>546.9</v>
      </c>
      <c r="AC23" s="8">
        <f t="shared" si="54"/>
        <v>6290.267179673396</v>
      </c>
      <c r="AD23" s="8">
        <f t="shared" si="55"/>
        <v>14.087335512370547</v>
      </c>
      <c r="AE23" s="8">
        <f t="shared" si="56"/>
        <v>21.131003268555823</v>
      </c>
      <c r="AF23" s="8">
        <f t="shared" si="57"/>
        <v>11.628839248154314</v>
      </c>
      <c r="AG23" s="8">
        <f t="shared" si="58"/>
        <v>23.25767849630863</v>
      </c>
      <c r="AH23" s="8"/>
      <c r="AI23" s="8"/>
      <c r="AJ23" s="8"/>
      <c r="AK23" s="8"/>
      <c r="AL23" s="8">
        <f t="shared" si="59"/>
        <v>2.8561567800856573</v>
      </c>
      <c r="AM23" s="8">
        <f t="shared" si="60"/>
        <v>3.5778779218492844</v>
      </c>
      <c r="AN23" s="8">
        <f t="shared" si="61"/>
        <v>0.16931888544891655</v>
      </c>
      <c r="AO23" s="8">
        <f t="shared" si="62"/>
        <v>2.9643053828593597</v>
      </c>
      <c r="AP23" s="8">
        <f t="shared" si="63"/>
        <v>0.4816759677560891</v>
      </c>
      <c r="AQ23" s="8">
        <f t="shared" si="64"/>
        <v>0.5077310507583552</v>
      </c>
      <c r="AR23" s="8">
        <f t="shared" si="65"/>
        <v>2.96</v>
      </c>
      <c r="AS23" s="8">
        <f t="shared" si="66"/>
        <v>1.875</v>
      </c>
      <c r="AT23" s="8">
        <f t="shared" si="67"/>
        <v>10.3125</v>
      </c>
      <c r="AU23" s="8">
        <f t="shared" si="68"/>
        <v>630.48</v>
      </c>
      <c r="AV23" s="8">
        <f t="shared" si="69"/>
        <v>21941.905518986652</v>
      </c>
    </row>
    <row r="24" spans="1:48" ht="12.75">
      <c r="A24" t="s">
        <v>69</v>
      </c>
      <c r="B24">
        <v>17.75</v>
      </c>
      <c r="C24">
        <v>0</v>
      </c>
      <c r="D24">
        <v>0.25</v>
      </c>
      <c r="E24" s="1">
        <v>37.53</v>
      </c>
      <c r="F24" s="1">
        <v>9.46</v>
      </c>
      <c r="G24" s="1">
        <v>0</v>
      </c>
      <c r="H24" s="1"/>
      <c r="I24" s="8">
        <f t="shared" si="35"/>
        <v>42.855000000000004</v>
      </c>
      <c r="J24" s="8">
        <f t="shared" si="36"/>
        <v>0.2414366197183099</v>
      </c>
      <c r="K24" s="8">
        <f t="shared" si="37"/>
        <v>0.4828732394366198</v>
      </c>
      <c r="L24" s="1">
        <f t="shared" si="38"/>
        <v>17</v>
      </c>
      <c r="M24" s="1">
        <f t="shared" si="39"/>
        <v>21</v>
      </c>
      <c r="N24" s="1">
        <f t="shared" si="40"/>
        <v>9</v>
      </c>
      <c r="O24" s="1">
        <f t="shared" si="41"/>
        <v>11</v>
      </c>
      <c r="P24" s="8">
        <f t="shared" si="42"/>
        <v>159.375</v>
      </c>
      <c r="Q24" s="8">
        <f t="shared" si="43"/>
        <v>240.62499999999997</v>
      </c>
      <c r="R24" s="2">
        <v>300</v>
      </c>
      <c r="S24" s="1">
        <f t="shared" si="44"/>
        <v>0.55</v>
      </c>
      <c r="T24" s="8">
        <f t="shared" si="45"/>
        <v>49.245000000000005</v>
      </c>
      <c r="U24" s="8">
        <f t="shared" si="46"/>
        <v>23.38559577464789</v>
      </c>
      <c r="V24" s="8">
        <f t="shared" si="47"/>
        <v>25.859404225352115</v>
      </c>
      <c r="W24" s="8">
        <f t="shared" si="48"/>
        <v>25.859404225352115</v>
      </c>
      <c r="X24" s="8">
        <f t="shared" si="49"/>
        <v>258.0110340422535</v>
      </c>
      <c r="Y24" s="8">
        <f t="shared" si="50"/>
        <v>13.3125</v>
      </c>
      <c r="Z24" s="8">
        <f t="shared" si="51"/>
        <v>10.8125</v>
      </c>
      <c r="AA24" s="8">
        <f t="shared" si="52"/>
        <v>0.15</v>
      </c>
      <c r="AB24" s="8">
        <f t="shared" si="53"/>
        <v>546.9</v>
      </c>
      <c r="AC24" s="8">
        <f t="shared" si="54"/>
        <v>6290.267179673396</v>
      </c>
      <c r="AD24" s="8">
        <f t="shared" si="55"/>
        <v>14.087335512370547</v>
      </c>
      <c r="AE24" s="8">
        <f t="shared" si="56"/>
        <v>21.131003268555823</v>
      </c>
      <c r="AF24" s="8">
        <f t="shared" si="57"/>
        <v>11.628839248154314</v>
      </c>
      <c r="AG24" s="8">
        <f t="shared" si="58"/>
        <v>23.25767849630863</v>
      </c>
      <c r="AH24" s="8"/>
      <c r="AI24" s="8"/>
      <c r="AJ24" s="8"/>
      <c r="AK24" s="8"/>
      <c r="AL24" s="8">
        <f t="shared" si="59"/>
        <v>2.8561567800856573</v>
      </c>
      <c r="AM24" s="8">
        <f t="shared" si="60"/>
        <v>3.5778779218492844</v>
      </c>
      <c r="AN24" s="8">
        <f t="shared" si="61"/>
        <v>0.16931888544891655</v>
      </c>
      <c r="AO24" s="8">
        <f t="shared" si="62"/>
        <v>2.9643053828593597</v>
      </c>
      <c r="AP24" s="8">
        <f t="shared" si="63"/>
        <v>0.4816759677560891</v>
      </c>
      <c r="AQ24" s="8">
        <f t="shared" si="64"/>
        <v>0.5077310507583552</v>
      </c>
      <c r="AR24" s="8">
        <f t="shared" si="65"/>
        <v>2.96</v>
      </c>
      <c r="AS24" s="8">
        <f t="shared" si="66"/>
        <v>1.875</v>
      </c>
      <c r="AT24" s="8">
        <f t="shared" si="67"/>
        <v>10.3125</v>
      </c>
      <c r="AU24" s="8">
        <f t="shared" si="68"/>
        <v>630.48</v>
      </c>
      <c r="AV24" s="8">
        <f t="shared" si="69"/>
        <v>21941.905518986652</v>
      </c>
    </row>
    <row r="25" spans="1:48" ht="12.75">
      <c r="A25" t="s">
        <v>70</v>
      </c>
      <c r="B25">
        <v>11.42</v>
      </c>
      <c r="C25">
        <v>0</v>
      </c>
      <c r="D25">
        <v>0.25</v>
      </c>
      <c r="E25" s="1">
        <v>27.8</v>
      </c>
      <c r="F25" s="1">
        <v>5.71</v>
      </c>
      <c r="G25" s="1">
        <v>0</v>
      </c>
      <c r="H25" s="1"/>
      <c r="I25" s="8">
        <f t="shared" si="35"/>
        <v>31.226</v>
      </c>
      <c r="J25" s="8">
        <f t="shared" si="36"/>
        <v>0.27343257443082314</v>
      </c>
      <c r="K25" s="8">
        <f t="shared" si="37"/>
        <v>0.5468651488616463</v>
      </c>
      <c r="L25" s="1">
        <f t="shared" si="38"/>
        <v>11</v>
      </c>
      <c r="M25" s="1">
        <f t="shared" si="39"/>
        <v>14</v>
      </c>
      <c r="N25" s="1">
        <f t="shared" si="40"/>
        <v>6</v>
      </c>
      <c r="O25" s="1">
        <f t="shared" si="41"/>
        <v>7</v>
      </c>
      <c r="P25" s="8">
        <f t="shared" si="42"/>
        <v>68.75</v>
      </c>
      <c r="Q25" s="8">
        <f t="shared" si="43"/>
        <v>102.08333333333336</v>
      </c>
      <c r="R25" s="2">
        <v>300</v>
      </c>
      <c r="S25" s="1">
        <f t="shared" si="44"/>
        <v>0.55</v>
      </c>
      <c r="T25" s="8">
        <f t="shared" si="45"/>
        <v>35.3372</v>
      </c>
      <c r="U25" s="8">
        <f t="shared" si="46"/>
        <v>17.6686</v>
      </c>
      <c r="V25" s="8">
        <f t="shared" si="47"/>
        <v>17.6686</v>
      </c>
      <c r="W25" s="8">
        <f t="shared" si="48"/>
        <v>17.6686</v>
      </c>
      <c r="X25" s="8">
        <f t="shared" si="49"/>
        <v>124.43317650000002</v>
      </c>
      <c r="Y25" s="8">
        <f t="shared" si="50"/>
        <v>8.565</v>
      </c>
      <c r="Z25" s="8">
        <f t="shared" si="51"/>
        <v>6.0649999999999995</v>
      </c>
      <c r="AA25" s="8">
        <f t="shared" si="52"/>
        <v>0.15</v>
      </c>
      <c r="AB25" s="8">
        <f t="shared" si="53"/>
        <v>546.9</v>
      </c>
      <c r="AC25" s="8">
        <f t="shared" si="54"/>
        <v>3033.6606692265505</v>
      </c>
      <c r="AD25" s="8">
        <f t="shared" si="55"/>
        <v>11.047436000772736</v>
      </c>
      <c r="AE25" s="8">
        <f t="shared" si="56"/>
        <v>16.571154001159105</v>
      </c>
      <c r="AF25" s="8">
        <f t="shared" si="57"/>
        <v>9.119457490342748</v>
      </c>
      <c r="AG25" s="8">
        <f t="shared" si="58"/>
        <v>18.238914980685497</v>
      </c>
      <c r="AH25" s="8"/>
      <c r="AI25" s="8"/>
      <c r="AJ25" s="8"/>
      <c r="AK25" s="8"/>
      <c r="AL25" s="8">
        <f t="shared" si="59"/>
        <v>1.7564966077460704</v>
      </c>
      <c r="AM25" s="8">
        <f t="shared" si="60"/>
        <v>2.8058093260786143</v>
      </c>
      <c r="AN25" s="8">
        <f t="shared" si="61"/>
        <v>0.1693188854489166</v>
      </c>
      <c r="AO25" s="8">
        <f t="shared" si="62"/>
        <v>1.8230064909671129</v>
      </c>
      <c r="AP25" s="8">
        <f t="shared" si="63"/>
        <v>0.21188113930868102</v>
      </c>
      <c r="AQ25" s="8">
        <f t="shared" si="64"/>
        <v>0.2233423311489555</v>
      </c>
      <c r="AR25" s="8">
        <f t="shared" si="65"/>
        <v>1.82</v>
      </c>
      <c r="AS25" s="8">
        <f t="shared" si="66"/>
        <v>1.875</v>
      </c>
      <c r="AT25" s="8">
        <f t="shared" si="67"/>
        <v>10.3125</v>
      </c>
      <c r="AU25" s="8">
        <f t="shared" si="68"/>
        <v>249.4128</v>
      </c>
      <c r="AV25" s="8">
        <f t="shared" si="69"/>
        <v>3883.2577147852217</v>
      </c>
    </row>
    <row r="26" spans="1:48" ht="12.75">
      <c r="A26" t="s">
        <v>71</v>
      </c>
      <c r="B26">
        <v>18</v>
      </c>
      <c r="C26">
        <v>0</v>
      </c>
      <c r="D26">
        <v>0.25</v>
      </c>
      <c r="E26" s="1">
        <v>37.05</v>
      </c>
      <c r="F26" s="1">
        <v>9</v>
      </c>
      <c r="G26" s="1">
        <v>0</v>
      </c>
      <c r="H26" s="1"/>
      <c r="I26" s="8">
        <f t="shared" si="35"/>
        <v>42.449999999999996</v>
      </c>
      <c r="J26" s="8">
        <f t="shared" si="36"/>
        <v>0.23583333333333334</v>
      </c>
      <c r="K26" s="8">
        <f t="shared" si="37"/>
        <v>0.4716666666666667</v>
      </c>
      <c r="L26" s="1">
        <f t="shared" si="38"/>
        <v>17</v>
      </c>
      <c r="M26" s="1">
        <f t="shared" si="39"/>
        <v>22</v>
      </c>
      <c r="N26" s="1">
        <f t="shared" si="40"/>
        <v>9</v>
      </c>
      <c r="O26" s="1">
        <f t="shared" si="41"/>
        <v>11</v>
      </c>
      <c r="P26" s="8">
        <f t="shared" si="42"/>
        <v>159.375</v>
      </c>
      <c r="Q26" s="8">
        <f t="shared" si="43"/>
        <v>252.08333333333331</v>
      </c>
      <c r="R26" s="2">
        <v>300</v>
      </c>
      <c r="S26" s="1">
        <f t="shared" si="44"/>
        <v>0.55</v>
      </c>
      <c r="T26" s="8">
        <f t="shared" si="45"/>
        <v>48.93</v>
      </c>
      <c r="U26" s="8">
        <f t="shared" si="46"/>
        <v>24.465</v>
      </c>
      <c r="V26" s="8">
        <f t="shared" si="47"/>
        <v>24.465</v>
      </c>
      <c r="W26" s="8">
        <f t="shared" si="48"/>
        <v>24.465</v>
      </c>
      <c r="X26" s="8">
        <f t="shared" si="49"/>
        <v>263.4525</v>
      </c>
      <c r="Y26" s="8">
        <f t="shared" si="50"/>
        <v>13.5</v>
      </c>
      <c r="Z26" s="8">
        <f t="shared" si="51"/>
        <v>11</v>
      </c>
      <c r="AA26" s="8">
        <f t="shared" si="52"/>
        <v>0.15</v>
      </c>
      <c r="AB26" s="8">
        <f t="shared" si="53"/>
        <v>546.9</v>
      </c>
      <c r="AC26" s="8">
        <f t="shared" si="54"/>
        <v>6422.9292375205705</v>
      </c>
      <c r="AD26" s="8">
        <f t="shared" si="55"/>
        <v>14.185681554336757</v>
      </c>
      <c r="AE26" s="8">
        <f t="shared" si="56"/>
        <v>21.278522331505137</v>
      </c>
      <c r="AF26" s="8">
        <f t="shared" si="57"/>
        <v>11.710022117101609</v>
      </c>
      <c r="AG26" s="8">
        <f t="shared" si="58"/>
        <v>23.420044234203218</v>
      </c>
      <c r="AH26" s="8"/>
      <c r="AI26" s="8"/>
      <c r="AJ26" s="8"/>
      <c r="AK26" s="8"/>
      <c r="AL26" s="8">
        <f t="shared" si="59"/>
        <v>2.896174594709958</v>
      </c>
      <c r="AM26" s="8">
        <f t="shared" si="60"/>
        <v>3.602855685170331</v>
      </c>
      <c r="AN26" s="8">
        <f t="shared" si="61"/>
        <v>0.16931888544891655</v>
      </c>
      <c r="AO26" s="8">
        <f t="shared" si="62"/>
        <v>3.0058384752050555</v>
      </c>
      <c r="AP26" s="8">
        <f t="shared" si="63"/>
        <v>0.49344970260895954</v>
      </c>
      <c r="AQ26" s="8">
        <f t="shared" si="64"/>
        <v>0.5201416569923477</v>
      </c>
      <c r="AR26" s="8">
        <f t="shared" si="65"/>
        <v>3.01</v>
      </c>
      <c r="AS26" s="8">
        <f t="shared" si="66"/>
        <v>1.875</v>
      </c>
      <c r="AT26" s="8">
        <f t="shared" si="67"/>
        <v>10.3125</v>
      </c>
      <c r="AU26" s="8">
        <f t="shared" si="68"/>
        <v>650.16</v>
      </c>
      <c r="AV26" s="8">
        <f t="shared" si="69"/>
        <v>22980.804118025546</v>
      </c>
    </row>
    <row r="27" spans="1:48" ht="12.75">
      <c r="A27" t="s">
        <v>72</v>
      </c>
      <c r="B27">
        <v>13</v>
      </c>
      <c r="C27">
        <v>0</v>
      </c>
      <c r="D27">
        <v>0.25</v>
      </c>
      <c r="E27" s="1">
        <v>20.04</v>
      </c>
      <c r="F27" s="1">
        <v>6.5</v>
      </c>
      <c r="G27" s="1">
        <v>0</v>
      </c>
      <c r="H27" s="1"/>
      <c r="I27" s="8">
        <f t="shared" si="35"/>
        <v>23.939999999999998</v>
      </c>
      <c r="J27" s="8">
        <f t="shared" si="36"/>
        <v>0.18415384615384614</v>
      </c>
      <c r="K27" s="8">
        <f t="shared" si="37"/>
        <v>0.3683076923076923</v>
      </c>
      <c r="L27" s="1">
        <f t="shared" si="38"/>
        <v>12</v>
      </c>
      <c r="M27" s="1">
        <f t="shared" si="39"/>
        <v>16</v>
      </c>
      <c r="N27" s="1">
        <f t="shared" si="40"/>
        <v>6</v>
      </c>
      <c r="O27" s="1">
        <f t="shared" si="41"/>
        <v>8</v>
      </c>
      <c r="P27" s="8">
        <f t="shared" si="42"/>
        <v>75</v>
      </c>
      <c r="Q27" s="8">
        <f t="shared" si="43"/>
        <v>133.33333333333331</v>
      </c>
      <c r="R27" s="2">
        <v>300</v>
      </c>
      <c r="S27" s="1">
        <f t="shared" si="44"/>
        <v>0.55</v>
      </c>
      <c r="T27" s="8">
        <f t="shared" si="45"/>
        <v>28.619999999999997</v>
      </c>
      <c r="U27" s="8">
        <f t="shared" si="46"/>
        <v>14.309999999999997</v>
      </c>
      <c r="V27" s="8">
        <f t="shared" si="47"/>
        <v>14.31</v>
      </c>
      <c r="W27" s="8">
        <f t="shared" si="48"/>
        <v>14.31</v>
      </c>
      <c r="X27" s="8">
        <f t="shared" si="49"/>
        <v>104.66624999999996</v>
      </c>
      <c r="Y27" s="8">
        <f t="shared" si="50"/>
        <v>9.75</v>
      </c>
      <c r="Z27" s="8">
        <f t="shared" si="51"/>
        <v>7.25</v>
      </c>
      <c r="AA27" s="8">
        <f t="shared" si="52"/>
        <v>0.15</v>
      </c>
      <c r="AB27" s="8">
        <f t="shared" si="53"/>
        <v>546.9</v>
      </c>
      <c r="AC27" s="8">
        <f t="shared" si="54"/>
        <v>2551.74620588773</v>
      </c>
      <c r="AD27" s="8">
        <f t="shared" si="55"/>
        <v>10.428415341557285</v>
      </c>
      <c r="AE27" s="8">
        <f t="shared" si="56"/>
        <v>15.642623012335928</v>
      </c>
      <c r="AF27" s="8">
        <f t="shared" si="57"/>
        <v>8.608467194769691</v>
      </c>
      <c r="AG27" s="8">
        <f t="shared" si="58"/>
        <v>17.216934389539382</v>
      </c>
      <c r="AH27" s="8"/>
      <c r="AI27" s="8"/>
      <c r="AJ27" s="8"/>
      <c r="AK27" s="8"/>
      <c r="AL27" s="8">
        <f t="shared" si="59"/>
        <v>1.5651680229092988</v>
      </c>
      <c r="AM27" s="8">
        <f t="shared" si="60"/>
        <v>2.6485914939462907</v>
      </c>
      <c r="AN27" s="8">
        <f t="shared" si="61"/>
        <v>0.1693188854489164</v>
      </c>
      <c r="AO27" s="8">
        <f t="shared" si="62"/>
        <v>1.6244332341063683</v>
      </c>
      <c r="AP27" s="8">
        <f t="shared" si="63"/>
        <v>0.23908720027533756</v>
      </c>
      <c r="AQ27" s="8">
        <f t="shared" si="64"/>
        <v>0.25202003742096774</v>
      </c>
      <c r="AR27" s="8">
        <f t="shared" si="65"/>
        <v>1.62</v>
      </c>
      <c r="AS27" s="8">
        <f t="shared" si="66"/>
        <v>1.875</v>
      </c>
      <c r="AT27" s="8">
        <f t="shared" si="67"/>
        <v>10.3125</v>
      </c>
      <c r="AU27" s="8">
        <f t="shared" si="68"/>
        <v>252.72000000000003</v>
      </c>
      <c r="AV27" s="8">
        <f t="shared" si="69"/>
        <v>6100.622974811011</v>
      </c>
    </row>
    <row r="28" spans="1:48" ht="12.75">
      <c r="A28" t="s">
        <v>74</v>
      </c>
      <c r="B28">
        <v>18</v>
      </c>
      <c r="C28">
        <v>0</v>
      </c>
      <c r="D28">
        <v>0.25</v>
      </c>
      <c r="E28" s="1"/>
      <c r="F28" s="1">
        <v>9</v>
      </c>
      <c r="G28" s="1">
        <v>0</v>
      </c>
      <c r="H28" s="1"/>
      <c r="I28" s="8">
        <f t="shared" si="35"/>
        <v>5.3999999999999995</v>
      </c>
      <c r="J28" s="8">
        <f t="shared" si="36"/>
        <v>0.029999999999999995</v>
      </c>
      <c r="K28" s="8">
        <f t="shared" si="37"/>
        <v>0.05999999999999999</v>
      </c>
      <c r="L28" s="1">
        <f t="shared" si="38"/>
        <v>17</v>
      </c>
      <c r="M28" s="1">
        <f t="shared" si="39"/>
        <v>22</v>
      </c>
      <c r="N28" s="1">
        <f t="shared" si="40"/>
        <v>9</v>
      </c>
      <c r="O28" s="1">
        <f t="shared" si="41"/>
        <v>11</v>
      </c>
      <c r="P28" s="8">
        <f t="shared" si="42"/>
        <v>159.375</v>
      </c>
      <c r="Q28" s="8">
        <f t="shared" si="43"/>
        <v>252.08333333333331</v>
      </c>
      <c r="R28" s="2">
        <v>300</v>
      </c>
      <c r="S28" s="1">
        <f t="shared" si="44"/>
        <v>0.55</v>
      </c>
      <c r="T28" s="8">
        <f t="shared" si="45"/>
        <v>11.88</v>
      </c>
      <c r="U28" s="8">
        <f t="shared" si="46"/>
        <v>5.94</v>
      </c>
      <c r="V28" s="8">
        <f t="shared" si="47"/>
        <v>5.94</v>
      </c>
      <c r="W28" s="8">
        <f t="shared" si="48"/>
        <v>5.94</v>
      </c>
      <c r="X28" s="8">
        <f t="shared" si="49"/>
        <v>13.365000000000002</v>
      </c>
      <c r="Y28" s="8">
        <f t="shared" si="50"/>
        <v>13.5</v>
      </c>
      <c r="Z28" s="8">
        <f t="shared" si="51"/>
        <v>11</v>
      </c>
      <c r="AA28" s="8">
        <f t="shared" si="52"/>
        <v>0.15</v>
      </c>
      <c r="AB28" s="8">
        <f t="shared" si="53"/>
        <v>546.9</v>
      </c>
      <c r="AC28" s="8">
        <f t="shared" si="54"/>
        <v>325.8365331870544</v>
      </c>
      <c r="AD28" s="8">
        <f t="shared" si="55"/>
        <v>5.251367588961429</v>
      </c>
      <c r="AE28" s="8">
        <f t="shared" si="56"/>
        <v>7.877051383442144</v>
      </c>
      <c r="AF28" s="8">
        <f t="shared" si="57"/>
        <v>4.3349084339884545</v>
      </c>
      <c r="AG28" s="8">
        <f t="shared" si="58"/>
        <v>8.669816867976909</v>
      </c>
      <c r="AH28" s="8"/>
      <c r="AI28" s="8"/>
      <c r="AJ28" s="8"/>
      <c r="AK28" s="8"/>
      <c r="AL28" s="8">
        <f t="shared" si="59"/>
        <v>0.39688909431837877</v>
      </c>
      <c r="AM28" s="8">
        <f t="shared" si="60"/>
        <v>1.3337335608682688</v>
      </c>
      <c r="AN28" s="8">
        <f t="shared" si="61"/>
        <v>0.1693188854489164</v>
      </c>
      <c r="AO28" s="8">
        <f t="shared" si="62"/>
        <v>0.41191733132060854</v>
      </c>
      <c r="AP28" s="8">
        <f t="shared" si="63"/>
        <v>0.1826691065309551</v>
      </c>
      <c r="AQ28" s="8">
        <f t="shared" si="64"/>
        <v>0.19255014492858574</v>
      </c>
      <c r="AR28" s="8">
        <f t="shared" si="65"/>
        <v>0.41</v>
      </c>
      <c r="AS28" s="8">
        <f t="shared" si="66"/>
        <v>1.875</v>
      </c>
      <c r="AT28" s="8">
        <f t="shared" si="67"/>
        <v>10.3125</v>
      </c>
      <c r="AU28" s="8">
        <f t="shared" si="68"/>
        <v>88.55999999999999</v>
      </c>
      <c r="AV28" s="8">
        <f t="shared" si="69"/>
        <v>8507.215494117516</v>
      </c>
    </row>
    <row r="29" spans="1:48" ht="12.75">
      <c r="A29" t="s">
        <v>75</v>
      </c>
      <c r="B29">
        <v>11.42</v>
      </c>
      <c r="C29">
        <v>0</v>
      </c>
      <c r="D29">
        <v>0.25</v>
      </c>
      <c r="E29" s="1">
        <v>20.89</v>
      </c>
      <c r="F29" s="1">
        <v>5.71</v>
      </c>
      <c r="G29" s="1">
        <v>0</v>
      </c>
      <c r="H29" s="1"/>
      <c r="I29" s="8">
        <f t="shared" si="35"/>
        <v>24.316</v>
      </c>
      <c r="J29" s="8">
        <f t="shared" si="36"/>
        <v>0.2129246935201401</v>
      </c>
      <c r="K29" s="8">
        <f t="shared" si="37"/>
        <v>0.4258493870402802</v>
      </c>
      <c r="L29" s="1">
        <f t="shared" si="38"/>
        <v>11</v>
      </c>
      <c r="M29" s="1">
        <f t="shared" si="39"/>
        <v>14</v>
      </c>
      <c r="N29" s="1">
        <f t="shared" si="40"/>
        <v>6</v>
      </c>
      <c r="O29" s="1">
        <f t="shared" si="41"/>
        <v>7</v>
      </c>
      <c r="P29" s="8">
        <f t="shared" si="42"/>
        <v>68.75</v>
      </c>
      <c r="Q29" s="8">
        <f t="shared" si="43"/>
        <v>102.08333333333336</v>
      </c>
      <c r="R29" s="2">
        <v>300</v>
      </c>
      <c r="S29" s="1">
        <f t="shared" si="44"/>
        <v>0.55</v>
      </c>
      <c r="T29" s="8">
        <f t="shared" si="45"/>
        <v>28.4272</v>
      </c>
      <c r="U29" s="8">
        <f t="shared" si="46"/>
        <v>14.213599999999996</v>
      </c>
      <c r="V29" s="8">
        <f t="shared" si="47"/>
        <v>14.213600000000003</v>
      </c>
      <c r="W29" s="8">
        <f t="shared" si="48"/>
        <v>14.213600000000003</v>
      </c>
      <c r="X29" s="8">
        <f t="shared" si="49"/>
        <v>94.84110149999997</v>
      </c>
      <c r="Y29" s="8">
        <f t="shared" si="50"/>
        <v>8.565</v>
      </c>
      <c r="Z29" s="8">
        <f t="shared" si="51"/>
        <v>6.0649999999999995</v>
      </c>
      <c r="AA29" s="8">
        <f t="shared" si="52"/>
        <v>0.15</v>
      </c>
      <c r="AB29" s="8">
        <f t="shared" si="53"/>
        <v>546.9</v>
      </c>
      <c r="AC29" s="8">
        <f t="shared" si="54"/>
        <v>2312.2106783689883</v>
      </c>
      <c r="AD29" s="8">
        <f t="shared" si="55"/>
        <v>10.091327360172775</v>
      </c>
      <c r="AE29" s="8">
        <f t="shared" si="56"/>
        <v>15.136991040259161</v>
      </c>
      <c r="AF29" s="8">
        <f t="shared" si="57"/>
        <v>8.330207197017591</v>
      </c>
      <c r="AG29" s="8">
        <f t="shared" si="58"/>
        <v>16.660414394035183</v>
      </c>
      <c r="AH29" s="8"/>
      <c r="AI29" s="8"/>
      <c r="AJ29" s="8"/>
      <c r="AK29" s="8"/>
      <c r="AL29" s="8">
        <f t="shared" si="59"/>
        <v>1.4656184259772345</v>
      </c>
      <c r="AM29" s="8">
        <f t="shared" si="60"/>
        <v>2.5629784519869174</v>
      </c>
      <c r="AN29" s="8">
        <f t="shared" si="61"/>
        <v>0.16931888544891657</v>
      </c>
      <c r="AO29" s="8">
        <f t="shared" si="62"/>
        <v>1.5211141837990714</v>
      </c>
      <c r="AP29" s="8">
        <f t="shared" si="63"/>
        <v>0.19354372707483566</v>
      </c>
      <c r="AQ29" s="8">
        <f t="shared" si="64"/>
        <v>0.20401300146482623</v>
      </c>
      <c r="AR29" s="8">
        <f t="shared" si="65"/>
        <v>1.52</v>
      </c>
      <c r="AS29" s="8">
        <f t="shared" si="66"/>
        <v>1.875</v>
      </c>
      <c r="AT29" s="8">
        <f t="shared" si="67"/>
        <v>10.3125</v>
      </c>
      <c r="AU29" s="8">
        <f t="shared" si="68"/>
        <v>208.30079999999998</v>
      </c>
      <c r="AV29" s="8">
        <f t="shared" si="69"/>
        <v>3547.178261188667</v>
      </c>
    </row>
    <row r="30" spans="1:48" ht="12.75">
      <c r="A30" t="s">
        <v>78</v>
      </c>
      <c r="B30">
        <v>17.75</v>
      </c>
      <c r="C30">
        <v>0</v>
      </c>
      <c r="D30">
        <v>0.25</v>
      </c>
      <c r="E30" s="1">
        <v>27.67</v>
      </c>
      <c r="F30" s="1">
        <v>9.46</v>
      </c>
      <c r="G30" s="1">
        <v>0</v>
      </c>
      <c r="H30" s="1"/>
      <c r="I30" s="8">
        <f t="shared" si="35"/>
        <v>32.995000000000005</v>
      </c>
      <c r="J30" s="8">
        <f t="shared" si="36"/>
        <v>0.185887323943662</v>
      </c>
      <c r="K30" s="8">
        <f t="shared" si="37"/>
        <v>0.371774647887324</v>
      </c>
      <c r="L30" s="1">
        <f t="shared" si="38"/>
        <v>17</v>
      </c>
      <c r="M30" s="1">
        <f t="shared" si="39"/>
        <v>21</v>
      </c>
      <c r="N30" s="1">
        <f t="shared" si="40"/>
        <v>9</v>
      </c>
      <c r="O30" s="1">
        <f t="shared" si="41"/>
        <v>11</v>
      </c>
      <c r="P30" s="8">
        <f t="shared" si="42"/>
        <v>159.375</v>
      </c>
      <c r="Q30" s="8">
        <f t="shared" si="43"/>
        <v>240.62499999999997</v>
      </c>
      <c r="R30" s="2">
        <v>300</v>
      </c>
      <c r="S30" s="1">
        <f t="shared" si="44"/>
        <v>0.55</v>
      </c>
      <c r="T30" s="8">
        <f t="shared" si="45"/>
        <v>39.385000000000005</v>
      </c>
      <c r="U30" s="8">
        <f t="shared" si="46"/>
        <v>18.78055915492958</v>
      </c>
      <c r="V30" s="8">
        <f t="shared" si="47"/>
        <v>20.604440845070425</v>
      </c>
      <c r="W30" s="8">
        <f t="shared" si="48"/>
        <v>20.604440845070425</v>
      </c>
      <c r="X30" s="8">
        <f t="shared" si="49"/>
        <v>192.66556440845076</v>
      </c>
      <c r="Y30" s="8">
        <f t="shared" si="50"/>
        <v>13.3125</v>
      </c>
      <c r="Z30" s="8">
        <f t="shared" si="51"/>
        <v>10.8125</v>
      </c>
      <c r="AA30" s="8">
        <f t="shared" si="52"/>
        <v>0.15</v>
      </c>
      <c r="AB30" s="8">
        <f t="shared" si="53"/>
        <v>546.9</v>
      </c>
      <c r="AC30" s="8">
        <f t="shared" si="54"/>
        <v>4697.155224195789</v>
      </c>
      <c r="AD30" s="8">
        <f t="shared" si="55"/>
        <v>12.780586913400521</v>
      </c>
      <c r="AE30" s="8">
        <f t="shared" si="56"/>
        <v>19.170880370100782</v>
      </c>
      <c r="AF30" s="8">
        <f t="shared" si="57"/>
        <v>10.550142046555813</v>
      </c>
      <c r="AG30" s="8">
        <f t="shared" si="58"/>
        <v>21.100284093111625</v>
      </c>
      <c r="AH30" s="8"/>
      <c r="AI30" s="8"/>
      <c r="AJ30" s="8"/>
      <c r="AK30" s="8"/>
      <c r="AL30" s="8">
        <f t="shared" si="59"/>
        <v>2.3508554334816716</v>
      </c>
      <c r="AM30" s="8">
        <f t="shared" si="60"/>
        <v>3.2459920973399754</v>
      </c>
      <c r="AN30" s="8">
        <f t="shared" si="61"/>
        <v>0.16931888544891646</v>
      </c>
      <c r="AO30" s="8">
        <f t="shared" si="62"/>
        <v>2.439870760730754</v>
      </c>
      <c r="AP30" s="8">
        <f t="shared" si="63"/>
        <v>0.4369954534409386</v>
      </c>
      <c r="AQ30" s="8">
        <f t="shared" si="64"/>
        <v>0.4606336533371438</v>
      </c>
      <c r="AR30" s="8">
        <f t="shared" si="65"/>
        <v>2.44</v>
      </c>
      <c r="AS30" s="8">
        <f t="shared" si="66"/>
        <v>1.875</v>
      </c>
      <c r="AT30" s="8">
        <f t="shared" si="67"/>
        <v>10.3125</v>
      </c>
      <c r="AU30" s="8">
        <f t="shared" si="68"/>
        <v>519.72</v>
      </c>
      <c r="AV30" s="8">
        <f t="shared" si="69"/>
        <v>19906.5629043034</v>
      </c>
    </row>
    <row r="31" spans="1:48" ht="12.75">
      <c r="A31" t="s">
        <v>79</v>
      </c>
      <c r="B31">
        <v>17.75</v>
      </c>
      <c r="C31">
        <v>0</v>
      </c>
      <c r="D31">
        <v>0.25</v>
      </c>
      <c r="E31" s="1">
        <v>27.67</v>
      </c>
      <c r="F31" s="1">
        <v>9.46</v>
      </c>
      <c r="G31" s="1">
        <v>0</v>
      </c>
      <c r="H31" s="1"/>
      <c r="I31" s="8">
        <f t="shared" si="35"/>
        <v>32.995000000000005</v>
      </c>
      <c r="J31" s="8">
        <f t="shared" si="36"/>
        <v>0.185887323943662</v>
      </c>
      <c r="K31" s="8">
        <f t="shared" si="37"/>
        <v>0.371774647887324</v>
      </c>
      <c r="L31" s="1">
        <f t="shared" si="38"/>
        <v>17</v>
      </c>
      <c r="M31" s="1">
        <f t="shared" si="39"/>
        <v>21</v>
      </c>
      <c r="N31" s="1">
        <f t="shared" si="40"/>
        <v>9</v>
      </c>
      <c r="O31" s="1">
        <f t="shared" si="41"/>
        <v>11</v>
      </c>
      <c r="P31" s="8">
        <f t="shared" si="42"/>
        <v>159.375</v>
      </c>
      <c r="Q31" s="8">
        <f t="shared" si="43"/>
        <v>240.62499999999997</v>
      </c>
      <c r="R31" s="2">
        <v>300</v>
      </c>
      <c r="S31" s="1">
        <f t="shared" si="44"/>
        <v>0.55</v>
      </c>
      <c r="T31" s="8">
        <f t="shared" si="45"/>
        <v>39.385000000000005</v>
      </c>
      <c r="U31" s="8">
        <f t="shared" si="46"/>
        <v>18.78055915492958</v>
      </c>
      <c r="V31" s="8">
        <f t="shared" si="47"/>
        <v>20.604440845070425</v>
      </c>
      <c r="W31" s="8">
        <f t="shared" si="48"/>
        <v>20.604440845070425</v>
      </c>
      <c r="X31" s="8">
        <f t="shared" si="49"/>
        <v>192.66556440845076</v>
      </c>
      <c r="Y31" s="8">
        <f t="shared" si="50"/>
        <v>13.3125</v>
      </c>
      <c r="Z31" s="8">
        <f t="shared" si="51"/>
        <v>10.8125</v>
      </c>
      <c r="AA31" s="8">
        <f t="shared" si="52"/>
        <v>0.15</v>
      </c>
      <c r="AB31" s="8">
        <f t="shared" si="53"/>
        <v>546.9</v>
      </c>
      <c r="AC31" s="8">
        <f t="shared" si="54"/>
        <v>4697.155224195789</v>
      </c>
      <c r="AD31" s="8">
        <f t="shared" si="55"/>
        <v>12.780586913400521</v>
      </c>
      <c r="AE31" s="8">
        <f t="shared" si="56"/>
        <v>19.170880370100782</v>
      </c>
      <c r="AF31" s="8">
        <f t="shared" si="57"/>
        <v>10.550142046555813</v>
      </c>
      <c r="AG31" s="8">
        <f t="shared" si="58"/>
        <v>21.100284093111625</v>
      </c>
      <c r="AH31" s="8"/>
      <c r="AI31" s="8"/>
      <c r="AJ31" s="8"/>
      <c r="AK31" s="8"/>
      <c r="AL31" s="8">
        <f t="shared" si="59"/>
        <v>2.3508554334816716</v>
      </c>
      <c r="AM31" s="8">
        <f t="shared" si="60"/>
        <v>3.2459920973399754</v>
      </c>
      <c r="AN31" s="8">
        <f t="shared" si="61"/>
        <v>0.16931888544891646</v>
      </c>
      <c r="AO31" s="8">
        <f t="shared" si="62"/>
        <v>2.439870760730754</v>
      </c>
      <c r="AP31" s="8">
        <f t="shared" si="63"/>
        <v>0.4369954534409386</v>
      </c>
      <c r="AQ31" s="8">
        <f t="shared" si="64"/>
        <v>0.4606336533371438</v>
      </c>
      <c r="AR31" s="8">
        <f t="shared" si="65"/>
        <v>2.44</v>
      </c>
      <c r="AS31" s="8">
        <f t="shared" si="66"/>
        <v>1.875</v>
      </c>
      <c r="AT31" s="8">
        <f t="shared" si="67"/>
        <v>10.3125</v>
      </c>
      <c r="AU31" s="8">
        <f t="shared" si="68"/>
        <v>519.72</v>
      </c>
      <c r="AV31" s="8">
        <f t="shared" si="69"/>
        <v>19906.5629043034</v>
      </c>
    </row>
    <row r="32" spans="1:48" ht="12.75">
      <c r="A32" t="s">
        <v>76</v>
      </c>
      <c r="B32">
        <v>11.42</v>
      </c>
      <c r="C32">
        <v>0</v>
      </c>
      <c r="D32">
        <v>0.25</v>
      </c>
      <c r="E32" s="1">
        <v>20.89</v>
      </c>
      <c r="F32" s="1">
        <v>5.71</v>
      </c>
      <c r="G32" s="1">
        <v>0</v>
      </c>
      <c r="H32" s="1"/>
      <c r="I32" s="8">
        <f t="shared" si="35"/>
        <v>24.316</v>
      </c>
      <c r="J32" s="8">
        <f t="shared" si="36"/>
        <v>0.2129246935201401</v>
      </c>
      <c r="K32" s="8">
        <f t="shared" si="37"/>
        <v>0.4258493870402802</v>
      </c>
      <c r="L32" s="1">
        <f t="shared" si="38"/>
        <v>11</v>
      </c>
      <c r="M32" s="1">
        <f t="shared" si="39"/>
        <v>14</v>
      </c>
      <c r="N32" s="1">
        <f t="shared" si="40"/>
        <v>6</v>
      </c>
      <c r="O32" s="1">
        <f t="shared" si="41"/>
        <v>7</v>
      </c>
      <c r="P32" s="8">
        <f t="shared" si="42"/>
        <v>68.75</v>
      </c>
      <c r="Q32" s="8">
        <f t="shared" si="43"/>
        <v>102.08333333333336</v>
      </c>
      <c r="R32" s="2">
        <v>300</v>
      </c>
      <c r="S32" s="1">
        <f t="shared" si="44"/>
        <v>0.55</v>
      </c>
      <c r="T32" s="8">
        <f t="shared" si="45"/>
        <v>28.4272</v>
      </c>
      <c r="U32" s="8">
        <f t="shared" si="46"/>
        <v>14.213599999999996</v>
      </c>
      <c r="V32" s="8">
        <f t="shared" si="47"/>
        <v>14.213600000000003</v>
      </c>
      <c r="W32" s="8">
        <f t="shared" si="48"/>
        <v>14.213600000000003</v>
      </c>
      <c r="X32" s="8">
        <f t="shared" si="49"/>
        <v>94.84110149999997</v>
      </c>
      <c r="Y32" s="8">
        <f t="shared" si="50"/>
        <v>8.565</v>
      </c>
      <c r="Z32" s="8">
        <f t="shared" si="51"/>
        <v>6.0649999999999995</v>
      </c>
      <c r="AA32" s="8">
        <f t="shared" si="52"/>
        <v>0.15</v>
      </c>
      <c r="AB32" s="8">
        <f t="shared" si="53"/>
        <v>546.9</v>
      </c>
      <c r="AC32" s="8">
        <f t="shared" si="54"/>
        <v>2312.2106783689883</v>
      </c>
      <c r="AD32" s="8">
        <f t="shared" si="55"/>
        <v>10.091327360172775</v>
      </c>
      <c r="AE32" s="8">
        <f t="shared" si="56"/>
        <v>15.136991040259161</v>
      </c>
      <c r="AF32" s="8">
        <f t="shared" si="57"/>
        <v>8.330207197017591</v>
      </c>
      <c r="AG32" s="8">
        <f t="shared" si="58"/>
        <v>16.660414394035183</v>
      </c>
      <c r="AH32" s="8"/>
      <c r="AI32" s="8"/>
      <c r="AJ32" s="8"/>
      <c r="AK32" s="8"/>
      <c r="AL32" s="8">
        <f t="shared" si="59"/>
        <v>1.4656184259772345</v>
      </c>
      <c r="AM32" s="8">
        <f t="shared" si="60"/>
        <v>2.5629784519869174</v>
      </c>
      <c r="AN32" s="8">
        <f t="shared" si="61"/>
        <v>0.16931888544891657</v>
      </c>
      <c r="AO32" s="8">
        <f t="shared" si="62"/>
        <v>1.5211141837990714</v>
      </c>
      <c r="AP32" s="8">
        <f t="shared" si="63"/>
        <v>0.19354372707483566</v>
      </c>
      <c r="AQ32" s="8">
        <f t="shared" si="64"/>
        <v>0.20401300146482623</v>
      </c>
      <c r="AR32" s="8">
        <f t="shared" si="65"/>
        <v>1.52</v>
      </c>
      <c r="AS32" s="8">
        <f t="shared" si="66"/>
        <v>1.875</v>
      </c>
      <c r="AT32" s="8">
        <f t="shared" si="67"/>
        <v>10.3125</v>
      </c>
      <c r="AU32" s="8">
        <f t="shared" si="68"/>
        <v>208.30079999999998</v>
      </c>
      <c r="AV32" s="8">
        <f t="shared" si="69"/>
        <v>3547.178261188667</v>
      </c>
    </row>
    <row r="33" spans="1:48" ht="12.75">
      <c r="A33" t="s">
        <v>77</v>
      </c>
      <c r="B33">
        <v>18</v>
      </c>
      <c r="C33">
        <v>0</v>
      </c>
      <c r="D33">
        <v>0.25</v>
      </c>
      <c r="E33" s="1">
        <v>18</v>
      </c>
      <c r="F33" s="1">
        <v>9</v>
      </c>
      <c r="G33" s="1">
        <v>0</v>
      </c>
      <c r="H33" s="1"/>
      <c r="I33" s="8">
        <f t="shared" si="35"/>
        <v>23.4</v>
      </c>
      <c r="J33" s="8">
        <f t="shared" si="36"/>
        <v>0.13</v>
      </c>
      <c r="K33" s="8">
        <f t="shared" si="37"/>
        <v>0.26</v>
      </c>
      <c r="L33" s="1">
        <f t="shared" si="38"/>
        <v>17</v>
      </c>
      <c r="M33" s="1">
        <f t="shared" si="39"/>
        <v>22</v>
      </c>
      <c r="N33" s="1">
        <f t="shared" si="40"/>
        <v>9</v>
      </c>
      <c r="O33" s="1">
        <f t="shared" si="41"/>
        <v>11</v>
      </c>
      <c r="P33" s="8">
        <f t="shared" si="42"/>
        <v>159.375</v>
      </c>
      <c r="Q33" s="8">
        <f t="shared" si="43"/>
        <v>252.08333333333331</v>
      </c>
      <c r="R33" s="2">
        <v>300</v>
      </c>
      <c r="S33" s="1">
        <f t="shared" si="44"/>
        <v>0.55</v>
      </c>
      <c r="T33" s="8">
        <f t="shared" si="45"/>
        <v>29.880000000000003</v>
      </c>
      <c r="U33" s="8">
        <f t="shared" si="46"/>
        <v>14.940000000000001</v>
      </c>
      <c r="V33" s="8">
        <f t="shared" si="47"/>
        <v>14.940000000000001</v>
      </c>
      <c r="W33" s="8">
        <f t="shared" si="48"/>
        <v>14.940000000000001</v>
      </c>
      <c r="X33" s="8">
        <f t="shared" si="49"/>
        <v>134.86500000000004</v>
      </c>
      <c r="Y33" s="8">
        <f t="shared" si="50"/>
        <v>13.5</v>
      </c>
      <c r="Z33" s="8">
        <f t="shared" si="51"/>
        <v>11</v>
      </c>
      <c r="AA33" s="8">
        <f t="shared" si="52"/>
        <v>0.15</v>
      </c>
      <c r="AB33" s="8">
        <f t="shared" si="53"/>
        <v>546.9</v>
      </c>
      <c r="AC33" s="8">
        <f t="shared" si="54"/>
        <v>3287.986834887549</v>
      </c>
      <c r="AD33" s="8">
        <f t="shared" si="55"/>
        <v>11.347909160092405</v>
      </c>
      <c r="AE33" s="8">
        <f t="shared" si="56"/>
        <v>17.021863740138606</v>
      </c>
      <c r="AF33" s="8">
        <f t="shared" si="57"/>
        <v>9.367492618422512</v>
      </c>
      <c r="AG33" s="8">
        <f t="shared" si="58"/>
        <v>18.734985236845024</v>
      </c>
      <c r="AH33" s="8"/>
      <c r="AI33" s="8"/>
      <c r="AJ33" s="8"/>
      <c r="AK33" s="8"/>
      <c r="AL33" s="8">
        <f t="shared" si="59"/>
        <v>1.8533439641313776</v>
      </c>
      <c r="AM33" s="8">
        <f t="shared" si="60"/>
        <v>2.882122996743594</v>
      </c>
      <c r="AN33" s="8">
        <f t="shared" si="61"/>
        <v>0.16931888544891652</v>
      </c>
      <c r="AO33" s="8">
        <f t="shared" si="62"/>
        <v>1.9235209801752489</v>
      </c>
      <c r="AP33" s="8">
        <f t="shared" si="63"/>
        <v>0.3947376358923836</v>
      </c>
      <c r="AQ33" s="8">
        <f t="shared" si="64"/>
        <v>0.41609000253672146</v>
      </c>
      <c r="AR33" s="8">
        <f t="shared" si="65"/>
        <v>1.92</v>
      </c>
      <c r="AS33" s="8">
        <f t="shared" si="66"/>
        <v>1.875</v>
      </c>
      <c r="AT33" s="8">
        <f t="shared" si="67"/>
        <v>10.3125</v>
      </c>
      <c r="AU33" s="8">
        <f t="shared" si="68"/>
        <v>414.71999999999997</v>
      </c>
      <c r="AV33" s="8">
        <f t="shared" si="69"/>
        <v>18383.612839349695</v>
      </c>
    </row>
    <row r="34" spans="4:34" ht="12.75">
      <c r="D34">
        <v>0.25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AH34" s="4"/>
    </row>
    <row r="35" spans="4:34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1"/>
      <c r="T35" s="1"/>
      <c r="AH35" s="4"/>
    </row>
    <row r="36" spans="4:34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  <c r="AH36" s="4"/>
    </row>
    <row r="37" spans="4:34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  <c r="AH37" s="4"/>
    </row>
    <row r="38" spans="4:34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  <c r="AH38" s="4"/>
    </row>
    <row r="39" spans="4:34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S39" s="1"/>
      <c r="T39" s="1"/>
      <c r="AH39" s="4"/>
    </row>
    <row r="40" spans="4:34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  <c r="AH40" s="4"/>
    </row>
    <row r="41" spans="4:34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s="1"/>
      <c r="T41" s="1"/>
      <c r="AH41" s="4"/>
    </row>
    <row r="42" spans="4:34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s="1"/>
      <c r="T42" s="1"/>
      <c r="AH42" s="4"/>
    </row>
    <row r="43" spans="4:34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  <c r="AH43" s="4"/>
    </row>
    <row r="44" spans="4:34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1"/>
      <c r="T44" s="1"/>
      <c r="AH44" s="4"/>
    </row>
    <row r="45" spans="4:34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s="1"/>
      <c r="T45" s="1"/>
      <c r="AH45" s="4"/>
    </row>
    <row r="46" spans="4:34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S46" s="1"/>
      <c r="T46" s="1"/>
      <c r="AH46" s="4"/>
    </row>
    <row r="47" spans="4:34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S47" s="1"/>
      <c r="T47" s="1"/>
      <c r="AH47" s="4"/>
    </row>
    <row r="48" spans="4:34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s="1"/>
      <c r="T48" s="1"/>
      <c r="AH48" s="4"/>
    </row>
    <row r="49" spans="4:34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"/>
      <c r="T49" s="1"/>
      <c r="AH49" s="4"/>
    </row>
    <row r="50" spans="4:34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  <c r="AH50" s="4"/>
    </row>
    <row r="51" spans="4:34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1"/>
      <c r="T51" s="1"/>
      <c r="AH51" s="4"/>
    </row>
    <row r="52" spans="4:34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1"/>
      <c r="T52" s="1"/>
      <c r="AH52" s="4"/>
    </row>
    <row r="53" spans="4:34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1"/>
      <c r="T53" s="1"/>
      <c r="AH53" s="4"/>
    </row>
    <row r="54" spans="4:34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1"/>
      <c r="AH54" s="4"/>
    </row>
    <row r="55" spans="4:34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"/>
      <c r="T55" s="1"/>
      <c r="AH55" s="4"/>
    </row>
  </sheetData>
  <sheetProtection/>
  <dataValidations count="1">
    <dataValidation allowBlank="1" showInputMessage="1" showErrorMessage="1" sqref="K14:Q33 S35:S55 I14:I33 E5:Q13 E14:F26 G14:G33 H14:H26 K34:K55 J14:J55 S2:V34 G2:Q4"/>
  </dataValidation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90"/>
  <sheetViews>
    <sheetView zoomScalePageLayoutView="0" workbookViewId="0" topLeftCell="T66">
      <selection activeCell="R2" sqref="R2:AR88"/>
    </sheetView>
  </sheetViews>
  <sheetFormatPr defaultColWidth="11.00390625" defaultRowHeight="12.75"/>
  <cols>
    <col min="2" max="3" width="11.00390625" style="0" customWidth="1"/>
    <col min="4" max="4" width="5.00390625" style="0" customWidth="1"/>
    <col min="5" max="5" width="6.25390625" style="0" customWidth="1"/>
    <col min="6" max="6" width="4.00390625" style="0" customWidth="1"/>
    <col min="7" max="7" width="6.875" style="0" customWidth="1"/>
    <col min="8" max="8" width="7.75390625" style="0" customWidth="1"/>
    <col min="9" max="10" width="9.00390625" style="0" customWidth="1"/>
    <col min="11" max="11" width="5.125" style="0" customWidth="1"/>
    <col min="12" max="13" width="6.125" style="0" customWidth="1"/>
    <col min="14" max="14" width="7.125" style="0" customWidth="1"/>
    <col min="15" max="19" width="11.00390625" style="0" customWidth="1"/>
    <col min="20" max="22" width="11.625" style="0" customWidth="1"/>
    <col min="23" max="23" width="12.625" style="0" bestFit="1" customWidth="1"/>
    <col min="24" max="25" width="11.625" style="0" bestFit="1" customWidth="1"/>
    <col min="30" max="30" width="12.00390625" style="0" bestFit="1" customWidth="1"/>
    <col min="43" max="43" width="13.75390625" style="0" bestFit="1" customWidth="1"/>
    <col min="44" max="44" width="16.75390625" style="0" bestFit="1" customWidth="1"/>
  </cols>
  <sheetData>
    <row r="1" spans="1:44" ht="12.75">
      <c r="A1" t="s">
        <v>1</v>
      </c>
      <c r="B1" t="s">
        <v>4</v>
      </c>
      <c r="C1" t="s">
        <v>0</v>
      </c>
      <c r="D1" t="s">
        <v>3</v>
      </c>
      <c r="E1" t="s">
        <v>16</v>
      </c>
      <c r="F1" t="s">
        <v>2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s="2" t="s">
        <v>15</v>
      </c>
      <c r="R1" s="1" t="s">
        <v>21</v>
      </c>
      <c r="S1" s="1" t="s">
        <v>17</v>
      </c>
      <c r="T1" s="1" t="s">
        <v>19</v>
      </c>
      <c r="U1" s="1" t="s">
        <v>20</v>
      </c>
      <c r="V1" s="1" t="s">
        <v>18</v>
      </c>
      <c r="W1" s="1" t="s">
        <v>22</v>
      </c>
      <c r="X1" s="1" t="s">
        <v>23</v>
      </c>
      <c r="Y1" s="1" t="s">
        <v>24</v>
      </c>
      <c r="Z1" s="1" t="s">
        <v>28</v>
      </c>
      <c r="AA1" s="1" t="s">
        <v>26</v>
      </c>
      <c r="AB1" s="1" t="s">
        <v>25</v>
      </c>
      <c r="AC1" s="1" t="s">
        <v>27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35</v>
      </c>
      <c r="AJ1" s="1" t="s">
        <v>36</v>
      </c>
      <c r="AK1" s="1" t="s">
        <v>37</v>
      </c>
      <c r="AL1" s="1" t="s">
        <v>34</v>
      </c>
      <c r="AM1" s="1" t="s">
        <v>38</v>
      </c>
      <c r="AN1" s="1" t="s">
        <v>39</v>
      </c>
      <c r="AO1" s="1" t="s">
        <v>41</v>
      </c>
      <c r="AP1" s="1" t="s">
        <v>40</v>
      </c>
      <c r="AQ1" s="1" t="s">
        <v>42</v>
      </c>
      <c r="AR1" s="1" t="s">
        <v>43</v>
      </c>
    </row>
    <row r="2" spans="1:44" ht="12.75">
      <c r="A2">
        <v>35</v>
      </c>
      <c r="B2">
        <v>21.63</v>
      </c>
      <c r="C2">
        <v>6.5</v>
      </c>
      <c r="D2" s="1">
        <f aca="true" t="shared" si="0" ref="D2:D22">C2*((0.5*150)+5+10+20)</f>
        <v>715</v>
      </c>
      <c r="E2" s="1">
        <f>C2*80</f>
        <v>520</v>
      </c>
      <c r="F2" s="1">
        <f>C2*60</f>
        <v>390</v>
      </c>
      <c r="G2" s="1">
        <f>(1.2*D2)+(1.6*E2)</f>
        <v>1690</v>
      </c>
      <c r="H2" s="1">
        <f>(1.2*D2)+(1.6*F2)</f>
        <v>1482</v>
      </c>
      <c r="I2" s="1">
        <f>0.1*MAX(G2:H2)</f>
        <v>169</v>
      </c>
      <c r="J2" s="1">
        <f>0.2*MAX(G2:H2)</f>
        <v>338</v>
      </c>
      <c r="K2" s="1">
        <f>ROUND(((0.08*B2)*12),0)</f>
        <v>21</v>
      </c>
      <c r="L2" s="1">
        <f>ROUND(((0.1*B2)*12),0)</f>
        <v>26</v>
      </c>
      <c r="M2" s="1">
        <f aca="true" t="shared" si="1" ref="M2:N4">ROUND((0.5*K2),0)</f>
        <v>11</v>
      </c>
      <c r="N2" s="1">
        <f t="shared" si="1"/>
        <v>13</v>
      </c>
      <c r="O2" s="8">
        <f aca="true" t="shared" si="2" ref="O2:P4">(M2/12)*(K2/12)*150</f>
        <v>240.62499999999997</v>
      </c>
      <c r="P2" s="8">
        <f t="shared" si="2"/>
        <v>352.08333333333326</v>
      </c>
      <c r="Q2" s="2">
        <v>300</v>
      </c>
      <c r="R2" s="8">
        <f>(1.2*Q2)+G2</f>
        <v>2050</v>
      </c>
      <c r="S2" s="8">
        <f>(1.2*Q2)+H2</f>
        <v>1842</v>
      </c>
      <c r="T2" s="8">
        <f>(((5*R2)+(S2*(B2-5)))/1000)-U2</f>
        <v>20.84102657882571</v>
      </c>
      <c r="U2" s="8">
        <f>((5*2.5*R2)+((B2-5)*S2*(((B2-5)/2)+5)))/(B2*1000)</f>
        <v>20.041433421174293</v>
      </c>
      <c r="V2" s="8">
        <f>MAX(T2:U2)</f>
        <v>20.84102657882571</v>
      </c>
      <c r="W2" s="8">
        <f>(5*((T2+(T2-(5*(R2/1000))))/2))+((T2-(5*(R2/1000)))*0.5*((T2-(5*(R2/1000)))/(S2/1000)))</f>
        <v>109.02797328321448</v>
      </c>
      <c r="X2" s="8">
        <f>(B2/16)*12</f>
        <v>16.2225</v>
      </c>
      <c r="Y2" s="8">
        <f aca="true" t="shared" si="3" ref="Y2:Y22">X2-2.5</f>
        <v>13.7225</v>
      </c>
      <c r="Z2" s="8">
        <f aca="true" t="shared" si="4" ref="Z2:Z22">(60000/4000)*0.01</f>
        <v>0.15</v>
      </c>
      <c r="AA2" s="8">
        <f aca="true" t="shared" si="5" ref="AA2:AA22">4000*Z2*(1-(0.59*Z2))</f>
        <v>546.9</v>
      </c>
      <c r="AB2" s="8">
        <f>(12000*W2)/(AA2*0.9)</f>
        <v>2658.084312384092</v>
      </c>
      <c r="AC2" s="8">
        <f>AB2/(Y2^2)</f>
        <v>14.115695243198589</v>
      </c>
      <c r="AD2" s="8">
        <f>0.75*((((2*(4000^0.5)*AC2*Y2)+(8*(4000^0.5)*AC2*Y2)))/1000)</f>
        <v>91.881223974089</v>
      </c>
      <c r="AE2" s="8">
        <f>(B2/4)*12</f>
        <v>64.89</v>
      </c>
      <c r="AF2" s="8">
        <f>((8*6)*2)+AC2</f>
        <v>110.11569524319859</v>
      </c>
      <c r="AG2" s="8">
        <f>C2*12</f>
        <v>78</v>
      </c>
      <c r="AH2" s="8">
        <f>(W2*12000)/(0.9*60000*0.95*Y2)</f>
        <v>1.8585257410423521</v>
      </c>
      <c r="AI2" s="8">
        <f>(AH2*60000)/(0.85*4000*(MIN(AE2:AG2)))</f>
        <v>0.5054324715243949</v>
      </c>
      <c r="AJ2" s="8">
        <f>AI2/Y2</f>
        <v>0.03683238998173765</v>
      </c>
      <c r="AK2" s="8">
        <f>(W2*12000)/(0.9*60000*(Y2-(AI2/2)))</f>
        <v>1.7987251266577386</v>
      </c>
      <c r="AL2" s="8">
        <f>(3*(4000^0.5)*AC2*Y2)/60000</f>
        <v>0.6125414931605933</v>
      </c>
      <c r="AM2" s="8">
        <f>(200*AC2*Y2)/60000</f>
        <v>0.6456754265826421</v>
      </c>
      <c r="AN2" s="8">
        <f>ROUND(MAX(AK2:AM2),2)</f>
        <v>1.8</v>
      </c>
      <c r="AO2" s="8">
        <f aca="true" t="shared" si="6" ref="AO2:AO22">1.875</f>
        <v>1.875</v>
      </c>
      <c r="AP2" s="8">
        <f aca="true" t="shared" si="7" ref="AP2:AP22">(540/(0.6*60))-(2.5*AO2)</f>
        <v>10.3125</v>
      </c>
      <c r="AQ2" s="8">
        <f>AN2*(B2*12)</f>
        <v>467.208</v>
      </c>
      <c r="AR2" s="8">
        <f>(X2-6)*AC2*(12*B2)</f>
        <v>37453.90961650099</v>
      </c>
    </row>
    <row r="3" spans="1:44" ht="12.75">
      <c r="A3" s="6" t="s">
        <v>133</v>
      </c>
      <c r="B3">
        <v>29.17</v>
      </c>
      <c r="C3">
        <v>4.5</v>
      </c>
      <c r="D3" s="1">
        <f t="shared" si="0"/>
        <v>495</v>
      </c>
      <c r="E3" s="1">
        <f>C3*80</f>
        <v>360</v>
      </c>
      <c r="F3" s="1">
        <f>C3*60</f>
        <v>270</v>
      </c>
      <c r="G3" s="1">
        <f>(1.2*D3)+(1.6*E3)</f>
        <v>1170</v>
      </c>
      <c r="H3" s="1">
        <f>(1.2*D3)+(1.6*F3)</f>
        <v>1026</v>
      </c>
      <c r="I3" s="1">
        <f>0.1*MAX(G3:H3)</f>
        <v>117</v>
      </c>
      <c r="J3" s="1">
        <f>0.2*MAX(G3:H3)</f>
        <v>234</v>
      </c>
      <c r="K3" s="1">
        <f>ROUND(((0.08*B3)*12),0)</f>
        <v>28</v>
      </c>
      <c r="L3" s="1">
        <f>ROUND(((0.1*B3)*12),0)</f>
        <v>35</v>
      </c>
      <c r="M3" s="1">
        <f t="shared" si="1"/>
        <v>14</v>
      </c>
      <c r="N3" s="1">
        <f t="shared" si="1"/>
        <v>18</v>
      </c>
      <c r="O3" s="8">
        <f t="shared" si="2"/>
        <v>408.3333333333334</v>
      </c>
      <c r="P3" s="8">
        <f t="shared" si="2"/>
        <v>656.25</v>
      </c>
      <c r="Q3" s="2">
        <v>300</v>
      </c>
      <c r="R3" s="8">
        <f>(1.2*Q3)+G3</f>
        <v>1530</v>
      </c>
      <c r="S3" s="8">
        <f>(1.2*Q3)+H3</f>
        <v>1386</v>
      </c>
      <c r="T3" s="8">
        <v>35.85</v>
      </c>
      <c r="U3" s="8">
        <v>43.69</v>
      </c>
      <c r="V3" s="8">
        <f>MAX(T3:U3)</f>
        <v>43.69</v>
      </c>
      <c r="W3" s="8">
        <v>293.02</v>
      </c>
      <c r="X3" s="8">
        <f>(B3/16)*12</f>
        <v>21.8775</v>
      </c>
      <c r="Y3" s="8">
        <f t="shared" si="3"/>
        <v>19.3775</v>
      </c>
      <c r="Z3" s="8">
        <f t="shared" si="4"/>
        <v>0.15</v>
      </c>
      <c r="AA3" s="8">
        <f t="shared" si="5"/>
        <v>546.9</v>
      </c>
      <c r="AB3" s="8">
        <f>(12000*W3)/(AA3*0.9)</f>
        <v>7143.780093862376</v>
      </c>
      <c r="AC3" s="8">
        <f>AB3/(Y3^2)</f>
        <v>19.025346982133776</v>
      </c>
      <c r="AD3" s="8">
        <f>0.75*((((2*(4000^0.5)*AC3*Y3)+(8*(4000^0.5)*AC3*Y3)))/1000)</f>
        <v>174.87252896382319</v>
      </c>
      <c r="AE3" s="8">
        <f>(B3/4)*12</f>
        <v>87.51</v>
      </c>
      <c r="AF3" s="8">
        <f>((8*6)*2)+AC3</f>
        <v>115.02534698213378</v>
      </c>
      <c r="AG3" s="8">
        <f>C3*12</f>
        <v>54</v>
      </c>
      <c r="AH3" s="8">
        <f>(W3*12000)/(0.9*60000*0.95*Y3)</f>
        <v>3.537230811945789</v>
      </c>
      <c r="AI3" s="8">
        <f>(AH3*60000)/(0.85*4000*(MIN(AE3:AG3)))</f>
        <v>1.1559577816816304</v>
      </c>
      <c r="AJ3" s="8">
        <f>AI3/Y3</f>
        <v>0.05965463974618142</v>
      </c>
      <c r="AK3" s="8">
        <f>(W3*12000)/(0.9*60000*(Y3-(AI3/2)))</f>
        <v>3.4636816106890644</v>
      </c>
      <c r="AL3" s="8">
        <f>(3*(4000^0.5)*AC3*Y3)/60000</f>
        <v>1.1658168597588212</v>
      </c>
      <c r="AM3" s="8">
        <f>(200*AC3*Y3)/60000</f>
        <v>1.2288788704876576</v>
      </c>
      <c r="AN3" s="8">
        <f>ROUND(MAX(AK3:AM3),2)</f>
        <v>3.46</v>
      </c>
      <c r="AO3" s="8">
        <f t="shared" si="6"/>
        <v>1.875</v>
      </c>
      <c r="AP3" s="8">
        <f t="shared" si="7"/>
        <v>10.3125</v>
      </c>
      <c r="AQ3" s="8">
        <f>AN3*(B3*12)</f>
        <v>1211.1384</v>
      </c>
      <c r="AR3" s="8">
        <f>(X3-6)*AC3*(12*B3)</f>
        <v>105738.31434595853</v>
      </c>
    </row>
    <row r="4" spans="1:44" ht="12.75">
      <c r="A4" s="6" t="s">
        <v>134</v>
      </c>
      <c r="B4">
        <v>29.17</v>
      </c>
      <c r="C4">
        <v>4.5</v>
      </c>
      <c r="D4" s="1">
        <f t="shared" si="0"/>
        <v>495</v>
      </c>
      <c r="E4" s="1">
        <f>C4*80</f>
        <v>360</v>
      </c>
      <c r="F4" s="1">
        <f>C4*60</f>
        <v>270</v>
      </c>
      <c r="G4" s="1">
        <f>(1.2*D4)+(1.6*E4)</f>
        <v>1170</v>
      </c>
      <c r="H4" s="1">
        <f>(1.2*D4)+(1.6*F4)</f>
        <v>1026</v>
      </c>
      <c r="I4" s="1">
        <f>0.1*MAX(G4:H4)</f>
        <v>117</v>
      </c>
      <c r="J4" s="1">
        <f>0.2*MAX(G4:H4)</f>
        <v>234</v>
      </c>
      <c r="K4" s="1">
        <f>ROUND(((0.08*B4)*12),0)</f>
        <v>28</v>
      </c>
      <c r="L4" s="1">
        <f>ROUND(((0.1*B4)*12),0)</f>
        <v>35</v>
      </c>
      <c r="M4" s="1">
        <f t="shared" si="1"/>
        <v>14</v>
      </c>
      <c r="N4" s="1">
        <f t="shared" si="1"/>
        <v>18</v>
      </c>
      <c r="O4" s="8">
        <f t="shared" si="2"/>
        <v>408.3333333333334</v>
      </c>
      <c r="P4" s="8">
        <f t="shared" si="2"/>
        <v>656.25</v>
      </c>
      <c r="Q4" s="2">
        <v>300</v>
      </c>
      <c r="R4" s="8">
        <f>(1.2*Q4)+G4</f>
        <v>1530</v>
      </c>
      <c r="S4" s="8">
        <f>(1.2*Q4)+H4</f>
        <v>1386</v>
      </c>
      <c r="T4" s="8">
        <v>35.85</v>
      </c>
      <c r="U4" s="8">
        <v>43.69</v>
      </c>
      <c r="V4" s="8">
        <f>MAX(T4:U4)</f>
        <v>43.69</v>
      </c>
      <c r="W4" s="8">
        <v>611</v>
      </c>
      <c r="X4" s="8">
        <f>(B4/16)*12</f>
        <v>21.8775</v>
      </c>
      <c r="Y4" s="8">
        <f t="shared" si="3"/>
        <v>19.3775</v>
      </c>
      <c r="Z4" s="8">
        <f t="shared" si="4"/>
        <v>0.15</v>
      </c>
      <c r="AA4" s="8">
        <f t="shared" si="5"/>
        <v>546.9</v>
      </c>
      <c r="AB4" s="8">
        <f>(12000*W4)/(AA4*0.9)</f>
        <v>14896.080941061742</v>
      </c>
      <c r="AC4" s="8">
        <f>AB4/(Y4^2)</f>
        <v>39.67130914641915</v>
      </c>
      <c r="AD4" s="8">
        <f>0.75*((((2*(4000^0.5)*AC4*Y4)+(8*(4000^0.5)*AC4*Y4)))/1000)</f>
        <v>364.64103200087357</v>
      </c>
      <c r="AE4" s="8">
        <f>(B4/4)*12</f>
        <v>87.51</v>
      </c>
      <c r="AF4" s="8">
        <f>((8*6)*2)+AC4</f>
        <v>135.67130914641916</v>
      </c>
      <c r="AG4" s="8">
        <f>C4*12</f>
        <v>54</v>
      </c>
      <c r="AH4" s="8">
        <f>(W4*12000)/(0.9*60000*0.95*Y4)</f>
        <v>7.37576966111145</v>
      </c>
      <c r="AI4" s="8">
        <f>(AH4*60000)/(0.85*4000*(MIN(AE4:AG4)))</f>
        <v>2.4103822421932843</v>
      </c>
      <c r="AJ4" s="8">
        <f>AI4/Y4</f>
        <v>0.12439077498094615</v>
      </c>
      <c r="AK4" s="8">
        <f>(W4*12000)/(0.9*60000*(Y4-(AI4/2)))</f>
        <v>7.471685556446008</v>
      </c>
      <c r="AL4" s="8">
        <f>(3*(4000^0.5)*AC4*Y4)/60000</f>
        <v>2.4309402133391576</v>
      </c>
      <c r="AM4" s="8">
        <f>(200*AC4*Y4)/60000</f>
        <v>2.5624359766157903</v>
      </c>
      <c r="AN4" s="8">
        <f>ROUND(MAX(AK4:AM4),2)</f>
        <v>7.47</v>
      </c>
      <c r="AO4" s="8">
        <f t="shared" si="6"/>
        <v>1.875</v>
      </c>
      <c r="AP4" s="8">
        <f t="shared" si="7"/>
        <v>10.3125</v>
      </c>
      <c r="AQ4" s="8">
        <f>AN4*(B4*12)</f>
        <v>2614.7988</v>
      </c>
      <c r="AR4" s="8">
        <f>(X4-6)*AC4*(12*B4)</f>
        <v>220483.61908873342</v>
      </c>
    </row>
    <row r="5" spans="1:44" ht="12.75">
      <c r="A5">
        <v>37</v>
      </c>
      <c r="B5">
        <v>29.17</v>
      </c>
      <c r="C5">
        <v>9</v>
      </c>
      <c r="D5" s="1">
        <f t="shared" si="0"/>
        <v>990</v>
      </c>
      <c r="E5" s="1">
        <f aca="true" t="shared" si="8" ref="E5:E22">C5*80</f>
        <v>720</v>
      </c>
      <c r="F5" s="1">
        <f aca="true" t="shared" si="9" ref="F5:F22">C5*60</f>
        <v>540</v>
      </c>
      <c r="G5" s="1">
        <f aca="true" t="shared" si="10" ref="G5:G22">(1.2*D5)+(1.6*E5)</f>
        <v>2340</v>
      </c>
      <c r="H5" s="1">
        <f aca="true" t="shared" si="11" ref="H5:H22">(1.2*D5)+(1.6*F5)</f>
        <v>2052</v>
      </c>
      <c r="I5" s="1">
        <f aca="true" t="shared" si="12" ref="I5:I22">0.1*MAX(G5:H5)</f>
        <v>234</v>
      </c>
      <c r="J5" s="1">
        <f aca="true" t="shared" si="13" ref="J5:J22">0.2*MAX(G5:H5)</f>
        <v>468</v>
      </c>
      <c r="K5" s="1">
        <f aca="true" t="shared" si="14" ref="K5:K22">ROUND(((0.08*B5)*12),0)</f>
        <v>28</v>
      </c>
      <c r="L5" s="1">
        <f aca="true" t="shared" si="15" ref="L5:L22">ROUND(((0.1*B5)*12),0)</f>
        <v>35</v>
      </c>
      <c r="M5" s="1">
        <f aca="true" t="shared" si="16" ref="M5:M22">ROUND((0.5*K5),0)</f>
        <v>14</v>
      </c>
      <c r="N5" s="1">
        <f aca="true" t="shared" si="17" ref="N5:N22">ROUND((0.5*L5),0)</f>
        <v>18</v>
      </c>
      <c r="O5" s="8">
        <f aca="true" t="shared" si="18" ref="O5:O22">(M5/12)*(K5/12)*150</f>
        <v>408.3333333333334</v>
      </c>
      <c r="P5" s="8">
        <f aca="true" t="shared" si="19" ref="P5:P22">(N5/12)*(L5/12)*150</f>
        <v>656.25</v>
      </c>
      <c r="Q5" s="2">
        <v>400</v>
      </c>
      <c r="R5" s="8">
        <f aca="true" t="shared" si="20" ref="R5:R22">(1.2*Q5)+G5</f>
        <v>2820</v>
      </c>
      <c r="S5" s="8">
        <f aca="true" t="shared" si="21" ref="S5:S22">(1.2*Q5)+H5</f>
        <v>2532</v>
      </c>
      <c r="T5" s="8">
        <f>(((5*R5)+(S5*(B5-5)))/1000)-U5</f>
        <v>38.24580553308193</v>
      </c>
      <c r="U5" s="8">
        <f>((5*2.5*R5)+((B5-5)*S5*(((B5-5)/2)+5)))/(B5*1000)</f>
        <v>37.05263446691807</v>
      </c>
      <c r="V5" s="8">
        <f>MAX(T5:U5)</f>
        <v>38.24580553308193</v>
      </c>
      <c r="W5" s="8">
        <f>(5*((T5+(T5-(5*(R5/1000))))/2))+((T5-(5*(R5/1000)))*0.5*((T5-(5*(R5/1000)))/(S5/1000)))</f>
        <v>271.10934457722044</v>
      </c>
      <c r="X5" s="8">
        <f aca="true" t="shared" si="22" ref="X5:X22">(B5/16)*12</f>
        <v>21.8775</v>
      </c>
      <c r="Y5" s="8">
        <f t="shared" si="3"/>
        <v>19.3775</v>
      </c>
      <c r="Z5" s="8">
        <f t="shared" si="4"/>
        <v>0.15</v>
      </c>
      <c r="AA5" s="8">
        <f t="shared" si="5"/>
        <v>546.9</v>
      </c>
      <c r="AB5" s="8">
        <f aca="true" t="shared" si="23" ref="AB5:AB22">(12000*W5)/(AA5*0.9)</f>
        <v>6609.601866940219</v>
      </c>
      <c r="AC5" s="8">
        <f aca="true" t="shared" si="24" ref="AC5:AC22">AB5/(Y5^2)</f>
        <v>17.602721147636636</v>
      </c>
      <c r="AD5" s="8">
        <f aca="true" t="shared" si="25" ref="AD5:AD22">0.75*((((2*(4000^0.5)*AC5*Y5)+(8*(4000^0.5)*AC5*Y5)))/1000)</f>
        <v>161.79638492916214</v>
      </c>
      <c r="AE5" s="8">
        <f aca="true" t="shared" si="26" ref="AE5:AE22">(B5/4)*12</f>
        <v>87.51</v>
      </c>
      <c r="AF5" s="8">
        <f aca="true" t="shared" si="27" ref="AF5:AF22">((8*6)*2)+AC5</f>
        <v>113.60272114763663</v>
      </c>
      <c r="AG5" s="8">
        <f aca="true" t="shared" si="28" ref="AG5:AG22">C5*12</f>
        <v>108</v>
      </c>
      <c r="AH5" s="8">
        <f aca="true" t="shared" si="29" ref="AH5:AH22">(W5*12000)/(0.9*60000*0.95*Y5)</f>
        <v>3.27273335282565</v>
      </c>
      <c r="AI5" s="8">
        <f aca="true" t="shared" si="30" ref="AI5:AI22">(AH5*60000)/(0.85*4000*(MIN(AE5:AG5)))</f>
        <v>0.6599716374247615</v>
      </c>
      <c r="AJ5" s="8">
        <f aca="true" t="shared" si="31" ref="AJ5:AJ22">AI5/Y5</f>
        <v>0.034058657588685926</v>
      </c>
      <c r="AK5" s="8">
        <f aca="true" t="shared" si="32" ref="AK5:AK22">(W5*12000)/(0.9*60000*(Y5-(AI5/2)))</f>
        <v>3.162959767020234</v>
      </c>
      <c r="AL5" s="8">
        <f aca="true" t="shared" si="33" ref="AL5:AL22">(3*(4000^0.5)*AC5*Y5)/60000</f>
        <v>1.0786425661944143</v>
      </c>
      <c r="AM5" s="8">
        <f aca="true" t="shared" si="34" ref="AM5:AM22">(200*AC5*Y5)/60000</f>
        <v>1.1369890967944298</v>
      </c>
      <c r="AN5" s="8">
        <f aca="true" t="shared" si="35" ref="AN5:AN22">ROUND(MAX(AK5:AM5),2)</f>
        <v>3.16</v>
      </c>
      <c r="AO5" s="8">
        <f t="shared" si="6"/>
        <v>1.875</v>
      </c>
      <c r="AP5" s="8">
        <f t="shared" si="7"/>
        <v>10.3125</v>
      </c>
      <c r="AQ5" s="8">
        <f aca="true" t="shared" si="36" ref="AQ5:AQ22">AN5*(B5*12)</f>
        <v>1106.1264</v>
      </c>
      <c r="AR5" s="8">
        <f aca="true" t="shared" si="37" ref="AR5:AR22">(X5-6)*AC5*(12*B5)</f>
        <v>97831.70124576111</v>
      </c>
    </row>
    <row r="6" spans="1:44" ht="12.75">
      <c r="A6" s="6" t="s">
        <v>80</v>
      </c>
      <c r="B6">
        <v>30.96</v>
      </c>
      <c r="C6">
        <v>7.38</v>
      </c>
      <c r="D6" s="1">
        <f t="shared" si="0"/>
        <v>811.8</v>
      </c>
      <c r="E6" s="1">
        <f t="shared" si="8"/>
        <v>590.4</v>
      </c>
      <c r="F6" s="1">
        <f t="shared" si="9"/>
        <v>442.8</v>
      </c>
      <c r="G6" s="1">
        <f t="shared" si="10"/>
        <v>1918.7999999999997</v>
      </c>
      <c r="H6" s="1">
        <f t="shared" si="11"/>
        <v>1682.6399999999999</v>
      </c>
      <c r="I6" s="1">
        <f t="shared" si="12"/>
        <v>191.88</v>
      </c>
      <c r="J6" s="1">
        <f t="shared" si="13"/>
        <v>383.76</v>
      </c>
      <c r="K6" s="1">
        <f t="shared" si="14"/>
        <v>30</v>
      </c>
      <c r="L6" s="1">
        <f t="shared" si="15"/>
        <v>37</v>
      </c>
      <c r="M6" s="1">
        <f t="shared" si="16"/>
        <v>15</v>
      </c>
      <c r="N6" s="1">
        <f t="shared" si="17"/>
        <v>19</v>
      </c>
      <c r="O6" s="8">
        <f t="shared" si="18"/>
        <v>468.75</v>
      </c>
      <c r="P6" s="8">
        <f t="shared" si="19"/>
        <v>732.2916666666667</v>
      </c>
      <c r="Q6" s="2">
        <v>400</v>
      </c>
      <c r="R6" s="8">
        <f t="shared" si="20"/>
        <v>2398.7999999999997</v>
      </c>
      <c r="S6" s="8">
        <f t="shared" si="21"/>
        <v>2162.64</v>
      </c>
      <c r="T6" s="8">
        <v>24.26</v>
      </c>
      <c r="U6" s="8">
        <v>48.79</v>
      </c>
      <c r="V6" s="8">
        <v>25.94</v>
      </c>
      <c r="W6" s="8">
        <v>161.3</v>
      </c>
      <c r="X6" s="8">
        <f t="shared" si="22"/>
        <v>23.22</v>
      </c>
      <c r="Y6" s="8">
        <f t="shared" si="3"/>
        <v>20.72</v>
      </c>
      <c r="Z6" s="8">
        <f t="shared" si="4"/>
        <v>0.15</v>
      </c>
      <c r="AA6" s="8">
        <f t="shared" si="5"/>
        <v>546.9</v>
      </c>
      <c r="AB6" s="8">
        <f t="shared" si="23"/>
        <v>3932.467849088804</v>
      </c>
      <c r="AC6" s="8">
        <f t="shared" si="24"/>
        <v>9.15979340528802</v>
      </c>
      <c r="AD6" s="8">
        <f t="shared" si="25"/>
        <v>90.02573765808823</v>
      </c>
      <c r="AE6" s="8">
        <f t="shared" si="26"/>
        <v>92.88</v>
      </c>
      <c r="AF6" s="8">
        <f t="shared" si="27"/>
        <v>105.15979340528801</v>
      </c>
      <c r="AG6" s="8">
        <f t="shared" si="28"/>
        <v>88.56</v>
      </c>
      <c r="AH6" s="8">
        <f t="shared" si="29"/>
        <v>1.8209939262570844</v>
      </c>
      <c r="AI6" s="8">
        <f t="shared" si="30"/>
        <v>0.36286344776364665</v>
      </c>
      <c r="AJ6" s="8">
        <f t="shared" si="31"/>
        <v>0.017512714660407658</v>
      </c>
      <c r="AK6" s="8">
        <f t="shared" si="32"/>
        <v>1.7452260528852748</v>
      </c>
      <c r="AL6" s="8">
        <f t="shared" si="33"/>
        <v>0.6001715843872549</v>
      </c>
      <c r="AM6" s="8">
        <f t="shared" si="34"/>
        <v>0.6326363978585592</v>
      </c>
      <c r="AN6" s="8">
        <f t="shared" si="35"/>
        <v>1.75</v>
      </c>
      <c r="AO6" s="8">
        <f t="shared" si="6"/>
        <v>1.875</v>
      </c>
      <c r="AP6" s="8">
        <f t="shared" si="7"/>
        <v>10.3125</v>
      </c>
      <c r="AQ6" s="8">
        <f t="shared" si="36"/>
        <v>650.16</v>
      </c>
      <c r="AR6" s="8">
        <f t="shared" si="37"/>
        <v>58600.459798959455</v>
      </c>
    </row>
    <row r="7" spans="1:44" ht="12.75">
      <c r="A7" s="6" t="s">
        <v>81</v>
      </c>
      <c r="B7">
        <v>30.96</v>
      </c>
      <c r="C7">
        <v>2.88</v>
      </c>
      <c r="D7" s="1">
        <f t="shared" si="0"/>
        <v>316.8</v>
      </c>
      <c r="E7" s="1">
        <f t="shared" si="8"/>
        <v>230.39999999999998</v>
      </c>
      <c r="F7" s="1">
        <f t="shared" si="9"/>
        <v>172.79999999999998</v>
      </c>
      <c r="G7" s="1">
        <f t="shared" si="10"/>
        <v>748.8</v>
      </c>
      <c r="H7" s="1">
        <f t="shared" si="11"/>
        <v>656.64</v>
      </c>
      <c r="I7" s="1">
        <f t="shared" si="12"/>
        <v>74.88</v>
      </c>
      <c r="J7" s="1">
        <f t="shared" si="13"/>
        <v>149.76</v>
      </c>
      <c r="K7" s="1">
        <f t="shared" si="14"/>
        <v>30</v>
      </c>
      <c r="L7" s="1">
        <f t="shared" si="15"/>
        <v>37</v>
      </c>
      <c r="M7" s="1">
        <f t="shared" si="16"/>
        <v>15</v>
      </c>
      <c r="N7" s="1">
        <f t="shared" si="17"/>
        <v>19</v>
      </c>
      <c r="O7" s="8">
        <f t="shared" si="18"/>
        <v>468.75</v>
      </c>
      <c r="P7" s="8">
        <f t="shared" si="19"/>
        <v>732.2916666666667</v>
      </c>
      <c r="Q7" s="2">
        <v>400</v>
      </c>
      <c r="R7" s="8">
        <f t="shared" si="20"/>
        <v>1228.8</v>
      </c>
      <c r="S7" s="8">
        <f t="shared" si="21"/>
        <v>1136.6399999999999</v>
      </c>
      <c r="T7" s="8">
        <v>24.26</v>
      </c>
      <c r="U7" s="8">
        <v>48.79</v>
      </c>
      <c r="V7" s="8">
        <v>25.94</v>
      </c>
      <c r="W7" s="8">
        <v>38.9</v>
      </c>
      <c r="X7" s="8">
        <f t="shared" si="22"/>
        <v>23.22</v>
      </c>
      <c r="Y7" s="8">
        <f t="shared" si="3"/>
        <v>20.72</v>
      </c>
      <c r="Z7" s="8">
        <f t="shared" si="4"/>
        <v>0.15</v>
      </c>
      <c r="AA7" s="8">
        <f t="shared" si="5"/>
        <v>546.9</v>
      </c>
      <c r="AB7" s="8">
        <f t="shared" si="23"/>
        <v>948.3756933016396</v>
      </c>
      <c r="AC7" s="8">
        <f t="shared" si="24"/>
        <v>2.2090264319014503</v>
      </c>
      <c r="AD7" s="8">
        <f t="shared" si="25"/>
        <v>21.711104742093195</v>
      </c>
      <c r="AE7" s="8">
        <f t="shared" si="26"/>
        <v>92.88</v>
      </c>
      <c r="AF7" s="8">
        <f>((8*6))+AC7</f>
        <v>50.20902643190145</v>
      </c>
      <c r="AG7" s="8">
        <f t="shared" si="28"/>
        <v>34.56</v>
      </c>
      <c r="AH7" s="8">
        <f t="shared" si="29"/>
        <v>0.4391609654767549</v>
      </c>
      <c r="AI7" s="8">
        <f t="shared" si="30"/>
        <v>0.22424477403837564</v>
      </c>
      <c r="AJ7" s="8">
        <f t="shared" si="31"/>
        <v>0.010822624229651336</v>
      </c>
      <c r="AK7" s="8">
        <f t="shared" si="32"/>
        <v>0.41947281553144256</v>
      </c>
      <c r="AL7" s="8">
        <f t="shared" si="33"/>
        <v>0.14474069828062128</v>
      </c>
      <c r="AM7" s="8">
        <f t="shared" si="34"/>
        <v>0.1525700922299935</v>
      </c>
      <c r="AN7" s="8">
        <f t="shared" si="35"/>
        <v>0.42</v>
      </c>
      <c r="AO7" s="8">
        <f t="shared" si="6"/>
        <v>1.875</v>
      </c>
      <c r="AP7" s="8">
        <f t="shared" si="7"/>
        <v>10.3125</v>
      </c>
      <c r="AQ7" s="8">
        <f t="shared" si="36"/>
        <v>156.0384</v>
      </c>
      <c r="AR7" s="8">
        <f t="shared" si="37"/>
        <v>14132.41094965606</v>
      </c>
    </row>
    <row r="8" spans="1:44" ht="12.75">
      <c r="A8">
        <v>39</v>
      </c>
      <c r="B8">
        <v>30.96</v>
      </c>
      <c r="C8">
        <v>5.75</v>
      </c>
      <c r="D8" s="1">
        <f t="shared" si="0"/>
        <v>632.5</v>
      </c>
      <c r="E8" s="1">
        <f t="shared" si="8"/>
        <v>460</v>
      </c>
      <c r="F8" s="1">
        <f t="shared" si="9"/>
        <v>345</v>
      </c>
      <c r="G8" s="1">
        <f t="shared" si="10"/>
        <v>1495</v>
      </c>
      <c r="H8" s="1">
        <f t="shared" si="11"/>
        <v>1311</v>
      </c>
      <c r="I8" s="1">
        <f t="shared" si="12"/>
        <v>149.5</v>
      </c>
      <c r="J8" s="1">
        <f t="shared" si="13"/>
        <v>299</v>
      </c>
      <c r="K8" s="1">
        <f t="shared" si="14"/>
        <v>30</v>
      </c>
      <c r="L8" s="1">
        <f t="shared" si="15"/>
        <v>37</v>
      </c>
      <c r="M8" s="1">
        <f t="shared" si="16"/>
        <v>15</v>
      </c>
      <c r="N8" s="1">
        <f t="shared" si="17"/>
        <v>19</v>
      </c>
      <c r="O8" s="8">
        <f t="shared" si="18"/>
        <v>468.75</v>
      </c>
      <c r="P8" s="8">
        <f t="shared" si="19"/>
        <v>732.2916666666667</v>
      </c>
      <c r="Q8" s="2">
        <v>400</v>
      </c>
      <c r="R8" s="8">
        <f t="shared" si="20"/>
        <v>1975</v>
      </c>
      <c r="S8" s="8">
        <f t="shared" si="21"/>
        <v>1791</v>
      </c>
      <c r="T8" s="8">
        <f>(((5*R8)+(S8*(B8-5)))/1000)-U8</f>
        <v>28.570390594315246</v>
      </c>
      <c r="U8" s="8">
        <f>((5*2.5*R8)+((B8-5)*S8*(((B8-5)/2)+5)))/(B8*1000)</f>
        <v>27.798969405684755</v>
      </c>
      <c r="V8" s="8">
        <f>MAX(T8:U8)</f>
        <v>28.570390594315246</v>
      </c>
      <c r="W8" s="8">
        <f>(5*((T8+(T8-(5*(R8/1000))))/2))+((T8-(5*(R8/1000)))*0.5*((T8-(5*(R8/1000)))/(S8/1000)))</f>
        <v>215.74056393584505</v>
      </c>
      <c r="X8" s="8">
        <f t="shared" si="22"/>
        <v>23.22</v>
      </c>
      <c r="Y8" s="8">
        <f t="shared" si="3"/>
        <v>20.72</v>
      </c>
      <c r="Z8" s="8">
        <f t="shared" si="4"/>
        <v>0.15</v>
      </c>
      <c r="AA8" s="8">
        <f t="shared" si="5"/>
        <v>546.9</v>
      </c>
      <c r="AB8" s="8">
        <f t="shared" si="23"/>
        <v>5259.719971618091</v>
      </c>
      <c r="AC8" s="8">
        <f t="shared" si="24"/>
        <v>12.251326688113279</v>
      </c>
      <c r="AD8" s="8">
        <f t="shared" si="25"/>
        <v>120.41043652260635</v>
      </c>
      <c r="AE8" s="8">
        <f t="shared" si="26"/>
        <v>92.88</v>
      </c>
      <c r="AF8" s="8">
        <f t="shared" si="27"/>
        <v>108.25132668811328</v>
      </c>
      <c r="AG8" s="8">
        <f t="shared" si="28"/>
        <v>69</v>
      </c>
      <c r="AH8" s="8">
        <f t="shared" si="29"/>
        <v>2.4355998547703157</v>
      </c>
      <c r="AI8" s="8">
        <f t="shared" si="30"/>
        <v>0.6229155638798762</v>
      </c>
      <c r="AJ8" s="8">
        <f t="shared" si="31"/>
        <v>0.030063492465244993</v>
      </c>
      <c r="AK8" s="8">
        <f t="shared" si="32"/>
        <v>2.3491314092426183</v>
      </c>
      <c r="AL8" s="8">
        <f t="shared" si="33"/>
        <v>0.802736243484042</v>
      </c>
      <c r="AM8" s="8">
        <f t="shared" si="34"/>
        <v>0.8461582965923572</v>
      </c>
      <c r="AN8" s="8">
        <f t="shared" si="35"/>
        <v>2.35</v>
      </c>
      <c r="AO8" s="8">
        <f t="shared" si="6"/>
        <v>1.875</v>
      </c>
      <c r="AP8" s="8">
        <f t="shared" si="7"/>
        <v>10.3125</v>
      </c>
      <c r="AQ8" s="8">
        <f t="shared" si="36"/>
        <v>873.072</v>
      </c>
      <c r="AR8" s="8">
        <f t="shared" si="37"/>
        <v>78378.77398591029</v>
      </c>
    </row>
    <row r="9" spans="1:44" ht="12.75">
      <c r="A9" s="6" t="s">
        <v>82</v>
      </c>
      <c r="B9">
        <v>30.96</v>
      </c>
      <c r="C9">
        <v>7.38</v>
      </c>
      <c r="D9" s="1">
        <f t="shared" si="0"/>
        <v>811.8</v>
      </c>
      <c r="E9" s="1">
        <f t="shared" si="8"/>
        <v>590.4</v>
      </c>
      <c r="F9" s="1">
        <f t="shared" si="9"/>
        <v>442.8</v>
      </c>
      <c r="G9" s="1">
        <f t="shared" si="10"/>
        <v>1918.7999999999997</v>
      </c>
      <c r="H9" s="1">
        <f t="shared" si="11"/>
        <v>1682.6399999999999</v>
      </c>
      <c r="I9" s="1">
        <f t="shared" si="12"/>
        <v>191.88</v>
      </c>
      <c r="J9" s="1">
        <f t="shared" si="13"/>
        <v>383.76</v>
      </c>
      <c r="K9" s="1">
        <f t="shared" si="14"/>
        <v>30</v>
      </c>
      <c r="L9" s="1">
        <f t="shared" si="15"/>
        <v>37</v>
      </c>
      <c r="M9" s="1">
        <f t="shared" si="16"/>
        <v>15</v>
      </c>
      <c r="N9" s="1">
        <f t="shared" si="17"/>
        <v>19</v>
      </c>
      <c r="O9" s="8">
        <f t="shared" si="18"/>
        <v>468.75</v>
      </c>
      <c r="P9" s="8">
        <f t="shared" si="19"/>
        <v>732.2916666666667</v>
      </c>
      <c r="Q9" s="2">
        <v>400</v>
      </c>
      <c r="R9" s="8">
        <f t="shared" si="20"/>
        <v>2398.7999999999997</v>
      </c>
      <c r="S9" s="8">
        <f t="shared" si="21"/>
        <v>2162.64</v>
      </c>
      <c r="T9" s="8">
        <v>24.26</v>
      </c>
      <c r="U9" s="8">
        <v>48.79</v>
      </c>
      <c r="V9" s="8">
        <v>25.94</v>
      </c>
      <c r="W9" s="8">
        <v>161.3</v>
      </c>
      <c r="X9" s="8">
        <f t="shared" si="22"/>
        <v>23.22</v>
      </c>
      <c r="Y9" s="8">
        <f t="shared" si="3"/>
        <v>20.72</v>
      </c>
      <c r="Z9" s="8">
        <f t="shared" si="4"/>
        <v>0.15</v>
      </c>
      <c r="AA9" s="8">
        <f t="shared" si="5"/>
        <v>546.9</v>
      </c>
      <c r="AB9" s="8">
        <f t="shared" si="23"/>
        <v>3932.467849088804</v>
      </c>
      <c r="AC9" s="8">
        <f t="shared" si="24"/>
        <v>9.15979340528802</v>
      </c>
      <c r="AD9" s="8">
        <f t="shared" si="25"/>
        <v>90.02573765808823</v>
      </c>
      <c r="AE9" s="8">
        <f t="shared" si="26"/>
        <v>92.88</v>
      </c>
      <c r="AF9" s="8">
        <f t="shared" si="27"/>
        <v>105.15979340528801</v>
      </c>
      <c r="AG9" s="8">
        <f t="shared" si="28"/>
        <v>88.56</v>
      </c>
      <c r="AH9" s="8">
        <f t="shared" si="29"/>
        <v>1.8209939262570844</v>
      </c>
      <c r="AI9" s="8">
        <f t="shared" si="30"/>
        <v>0.36286344776364665</v>
      </c>
      <c r="AJ9" s="8">
        <f t="shared" si="31"/>
        <v>0.017512714660407658</v>
      </c>
      <c r="AK9" s="8">
        <f t="shared" si="32"/>
        <v>1.7452260528852748</v>
      </c>
      <c r="AL9" s="8">
        <f t="shared" si="33"/>
        <v>0.6001715843872549</v>
      </c>
      <c r="AM9" s="8">
        <f t="shared" si="34"/>
        <v>0.6326363978585592</v>
      </c>
      <c r="AN9" s="8">
        <f t="shared" si="35"/>
        <v>1.75</v>
      </c>
      <c r="AO9" s="8">
        <f t="shared" si="6"/>
        <v>1.875</v>
      </c>
      <c r="AP9" s="8">
        <f t="shared" si="7"/>
        <v>10.3125</v>
      </c>
      <c r="AQ9" s="8">
        <f t="shared" si="36"/>
        <v>650.16</v>
      </c>
      <c r="AR9" s="8">
        <f t="shared" si="37"/>
        <v>58600.459798959455</v>
      </c>
    </row>
    <row r="10" spans="1:44" ht="12.75">
      <c r="A10" s="6" t="s">
        <v>83</v>
      </c>
      <c r="B10">
        <v>30.96</v>
      </c>
      <c r="C10">
        <v>2.88</v>
      </c>
      <c r="D10" s="1">
        <f t="shared" si="0"/>
        <v>316.8</v>
      </c>
      <c r="E10" s="1">
        <f t="shared" si="8"/>
        <v>230.39999999999998</v>
      </c>
      <c r="F10" s="1">
        <f t="shared" si="9"/>
        <v>172.79999999999998</v>
      </c>
      <c r="G10" s="1">
        <f t="shared" si="10"/>
        <v>748.8</v>
      </c>
      <c r="H10" s="1">
        <f t="shared" si="11"/>
        <v>656.64</v>
      </c>
      <c r="I10" s="1">
        <f t="shared" si="12"/>
        <v>74.88</v>
      </c>
      <c r="J10" s="1">
        <f t="shared" si="13"/>
        <v>149.76</v>
      </c>
      <c r="K10" s="1">
        <f t="shared" si="14"/>
        <v>30</v>
      </c>
      <c r="L10" s="1">
        <f t="shared" si="15"/>
        <v>37</v>
      </c>
      <c r="M10" s="1">
        <f t="shared" si="16"/>
        <v>15</v>
      </c>
      <c r="N10" s="1">
        <f t="shared" si="17"/>
        <v>19</v>
      </c>
      <c r="O10" s="8">
        <f t="shared" si="18"/>
        <v>468.75</v>
      </c>
      <c r="P10" s="8">
        <f t="shared" si="19"/>
        <v>732.2916666666667</v>
      </c>
      <c r="Q10" s="2">
        <v>400</v>
      </c>
      <c r="R10" s="8">
        <f t="shared" si="20"/>
        <v>1228.8</v>
      </c>
      <c r="S10" s="8">
        <f t="shared" si="21"/>
        <v>1136.6399999999999</v>
      </c>
      <c r="T10" s="8">
        <v>24.26</v>
      </c>
      <c r="U10" s="8">
        <v>48.79</v>
      </c>
      <c r="V10" s="8">
        <v>25.94</v>
      </c>
      <c r="W10" s="8">
        <v>38.9</v>
      </c>
      <c r="X10" s="8">
        <f t="shared" si="22"/>
        <v>23.22</v>
      </c>
      <c r="Y10" s="8">
        <f t="shared" si="3"/>
        <v>20.72</v>
      </c>
      <c r="Z10" s="8">
        <f t="shared" si="4"/>
        <v>0.15</v>
      </c>
      <c r="AA10" s="8">
        <f t="shared" si="5"/>
        <v>546.9</v>
      </c>
      <c r="AB10" s="8">
        <f t="shared" si="23"/>
        <v>948.3756933016396</v>
      </c>
      <c r="AC10" s="8">
        <f t="shared" si="24"/>
        <v>2.2090264319014503</v>
      </c>
      <c r="AD10" s="8">
        <f t="shared" si="25"/>
        <v>21.711104742093195</v>
      </c>
      <c r="AE10" s="8">
        <f t="shared" si="26"/>
        <v>92.88</v>
      </c>
      <c r="AF10" s="8">
        <f>((8*6))+AC10</f>
        <v>50.20902643190145</v>
      </c>
      <c r="AG10" s="8">
        <f t="shared" si="28"/>
        <v>34.56</v>
      </c>
      <c r="AH10" s="8">
        <f t="shared" si="29"/>
        <v>0.4391609654767549</v>
      </c>
      <c r="AI10" s="8">
        <f t="shared" si="30"/>
        <v>0.22424477403837564</v>
      </c>
      <c r="AJ10" s="8">
        <f t="shared" si="31"/>
        <v>0.010822624229651336</v>
      </c>
      <c r="AK10" s="8">
        <f t="shared" si="32"/>
        <v>0.41947281553144256</v>
      </c>
      <c r="AL10" s="8">
        <f t="shared" si="33"/>
        <v>0.14474069828062128</v>
      </c>
      <c r="AM10" s="8">
        <f t="shared" si="34"/>
        <v>0.1525700922299935</v>
      </c>
      <c r="AN10" s="8">
        <f t="shared" si="35"/>
        <v>0.42</v>
      </c>
      <c r="AO10" s="8">
        <f t="shared" si="6"/>
        <v>1.875</v>
      </c>
      <c r="AP10" s="8">
        <f t="shared" si="7"/>
        <v>10.3125</v>
      </c>
      <c r="AQ10" s="8">
        <f t="shared" si="36"/>
        <v>156.0384</v>
      </c>
      <c r="AR10" s="8">
        <f t="shared" si="37"/>
        <v>14132.41094965606</v>
      </c>
    </row>
    <row r="11" spans="1:44" ht="12.75">
      <c r="A11">
        <v>41</v>
      </c>
      <c r="B11">
        <v>29.17</v>
      </c>
      <c r="C11">
        <v>8.88</v>
      </c>
      <c r="D11" s="1">
        <f t="shared" si="0"/>
        <v>976.8000000000001</v>
      </c>
      <c r="E11" s="1">
        <f t="shared" si="8"/>
        <v>710.4000000000001</v>
      </c>
      <c r="F11" s="1">
        <f t="shared" si="9"/>
        <v>532.8000000000001</v>
      </c>
      <c r="G11" s="1">
        <f t="shared" si="10"/>
        <v>2308.8</v>
      </c>
      <c r="H11" s="1">
        <f t="shared" si="11"/>
        <v>2024.6400000000003</v>
      </c>
      <c r="I11" s="1">
        <f t="shared" si="12"/>
        <v>230.88000000000002</v>
      </c>
      <c r="J11" s="1">
        <f t="shared" si="13"/>
        <v>461.76000000000005</v>
      </c>
      <c r="K11" s="1">
        <f t="shared" si="14"/>
        <v>28</v>
      </c>
      <c r="L11" s="1">
        <f t="shared" si="15"/>
        <v>35</v>
      </c>
      <c r="M11" s="1">
        <f t="shared" si="16"/>
        <v>14</v>
      </c>
      <c r="N11" s="1">
        <f t="shared" si="17"/>
        <v>18</v>
      </c>
      <c r="O11" s="8">
        <f t="shared" si="18"/>
        <v>408.3333333333334</v>
      </c>
      <c r="P11" s="8">
        <f t="shared" si="19"/>
        <v>656.25</v>
      </c>
      <c r="Q11" s="2">
        <v>450</v>
      </c>
      <c r="R11" s="8">
        <f t="shared" si="20"/>
        <v>2848.8</v>
      </c>
      <c r="S11" s="8">
        <f t="shared" si="21"/>
        <v>2564.6400000000003</v>
      </c>
      <c r="T11" s="8">
        <f>(((5*R11)+(S11*(B11-5)))/1000)-U11</f>
        <v>38.704305459307506</v>
      </c>
      <c r="U11" s="8">
        <f>((5*2.5*R11)+((B11-5)*S11*(((B11-5)/2)+5)))/(B11*1000)</f>
        <v>37.5270433406925</v>
      </c>
      <c r="V11" s="8">
        <f>MAX(T11:U11)</f>
        <v>38.704305459307506</v>
      </c>
      <c r="W11" s="8">
        <f>(5*((T11+(T11-(5*(R11/1000))))/2))+((T11-(5*(R11/1000)))*0.5*((T11-(5*(R11/1000)))/(S11/1000)))</f>
        <v>274.55685435269913</v>
      </c>
      <c r="X11" s="8">
        <f t="shared" si="22"/>
        <v>21.8775</v>
      </c>
      <c r="Y11" s="8">
        <f t="shared" si="3"/>
        <v>19.3775</v>
      </c>
      <c r="Z11" s="8">
        <f t="shared" si="4"/>
        <v>0.15</v>
      </c>
      <c r="AA11" s="8">
        <f t="shared" si="5"/>
        <v>546.9</v>
      </c>
      <c r="AB11" s="8">
        <f t="shared" si="23"/>
        <v>6693.65159633569</v>
      </c>
      <c r="AC11" s="8">
        <f t="shared" si="24"/>
        <v>17.826562761529136</v>
      </c>
      <c r="AD11" s="8">
        <f t="shared" si="25"/>
        <v>163.85383750258876</v>
      </c>
      <c r="AE11" s="8">
        <f t="shared" si="26"/>
        <v>87.51</v>
      </c>
      <c r="AF11" s="8">
        <f t="shared" si="27"/>
        <v>113.82656276152913</v>
      </c>
      <c r="AG11" s="8">
        <f t="shared" si="28"/>
        <v>106.56</v>
      </c>
      <c r="AH11" s="8">
        <f t="shared" si="29"/>
        <v>3.314350436309056</v>
      </c>
      <c r="AI11" s="8">
        <f t="shared" si="30"/>
        <v>0.6683640396678812</v>
      </c>
      <c r="AJ11" s="8">
        <f t="shared" si="31"/>
        <v>0.03449175794957456</v>
      </c>
      <c r="AK11" s="8">
        <f t="shared" si="32"/>
        <v>3.2038867577669765</v>
      </c>
      <c r="AL11" s="8">
        <f t="shared" si="33"/>
        <v>1.0923589166839254</v>
      </c>
      <c r="AM11" s="8">
        <f t="shared" si="34"/>
        <v>1.1514473997051027</v>
      </c>
      <c r="AN11" s="8">
        <f t="shared" si="35"/>
        <v>3.2</v>
      </c>
      <c r="AO11" s="8">
        <f t="shared" si="6"/>
        <v>1.875</v>
      </c>
      <c r="AP11" s="8">
        <f t="shared" si="7"/>
        <v>10.3125</v>
      </c>
      <c r="AQ11" s="8">
        <f t="shared" si="36"/>
        <v>1120.1280000000002</v>
      </c>
      <c r="AR11" s="8">
        <f t="shared" si="37"/>
        <v>99075.75923617247</v>
      </c>
    </row>
    <row r="12" spans="1:44" ht="12.75">
      <c r="A12">
        <v>42</v>
      </c>
      <c r="B12">
        <v>29.17</v>
      </c>
      <c r="C12">
        <v>9.5</v>
      </c>
      <c r="D12" s="1">
        <f t="shared" si="0"/>
        <v>1045</v>
      </c>
      <c r="E12" s="1">
        <f t="shared" si="8"/>
        <v>760</v>
      </c>
      <c r="F12" s="1">
        <f t="shared" si="9"/>
        <v>570</v>
      </c>
      <c r="G12" s="1">
        <f t="shared" si="10"/>
        <v>2470</v>
      </c>
      <c r="H12" s="1">
        <f t="shared" si="11"/>
        <v>2166</v>
      </c>
      <c r="I12" s="1">
        <f t="shared" si="12"/>
        <v>247</v>
      </c>
      <c r="J12" s="1">
        <f t="shared" si="13"/>
        <v>494</v>
      </c>
      <c r="K12" s="1">
        <f t="shared" si="14"/>
        <v>28</v>
      </c>
      <c r="L12" s="1">
        <f t="shared" si="15"/>
        <v>35</v>
      </c>
      <c r="M12" s="1">
        <f t="shared" si="16"/>
        <v>14</v>
      </c>
      <c r="N12" s="1">
        <f t="shared" si="17"/>
        <v>18</v>
      </c>
      <c r="O12" s="8">
        <f t="shared" si="18"/>
        <v>408.3333333333334</v>
      </c>
      <c r="P12" s="8">
        <f t="shared" si="19"/>
        <v>656.25</v>
      </c>
      <c r="Q12" s="2">
        <v>450</v>
      </c>
      <c r="R12" s="8">
        <f t="shared" si="20"/>
        <v>3010</v>
      </c>
      <c r="S12" s="8">
        <f t="shared" si="21"/>
        <v>2706</v>
      </c>
      <c r="T12" s="8">
        <f>(((5*R12)+(S12*(B12-5)))/1000)-U12</f>
        <v>40.856739173808705</v>
      </c>
      <c r="U12" s="8">
        <f>((5*2.5*R12)+((B12-5)*S12*(((B12-5)/2)+5)))/(B12*1000)</f>
        <v>39.597280826191295</v>
      </c>
      <c r="V12" s="8">
        <f>MAX(T12:U12)</f>
        <v>40.856739173808705</v>
      </c>
      <c r="W12" s="8">
        <f>(5*((T12+(T12-(5*(R12/1000))))/2))+((T12-(5*(R12/1000)))*0.5*((T12-(5*(R12/1000)))/(S12/1000)))</f>
        <v>289.71630613973696</v>
      </c>
      <c r="X12" s="8">
        <f t="shared" si="22"/>
        <v>21.8775</v>
      </c>
      <c r="Y12" s="8">
        <f t="shared" si="3"/>
        <v>19.3775</v>
      </c>
      <c r="Z12" s="8">
        <f t="shared" si="4"/>
        <v>0.15</v>
      </c>
      <c r="AA12" s="8">
        <f t="shared" si="5"/>
        <v>546.9</v>
      </c>
      <c r="AB12" s="8">
        <f t="shared" si="23"/>
        <v>7063.2365731635755</v>
      </c>
      <c r="AC12" s="8">
        <f t="shared" si="24"/>
        <v>18.81084311886762</v>
      </c>
      <c r="AD12" s="8">
        <f t="shared" si="25"/>
        <v>172.9009048416935</v>
      </c>
      <c r="AE12" s="8">
        <f t="shared" si="26"/>
        <v>87.51</v>
      </c>
      <c r="AF12" s="8">
        <f t="shared" si="27"/>
        <v>114.81084311886762</v>
      </c>
      <c r="AG12" s="8">
        <f t="shared" si="28"/>
        <v>114</v>
      </c>
      <c r="AH12" s="8">
        <f t="shared" si="29"/>
        <v>3.497349821857199</v>
      </c>
      <c r="AI12" s="8">
        <f t="shared" si="30"/>
        <v>0.7052672612589886</v>
      </c>
      <c r="AJ12" s="8">
        <f t="shared" si="31"/>
        <v>0.03639619462051289</v>
      </c>
      <c r="AK12" s="8">
        <f t="shared" si="32"/>
        <v>3.384065891155914</v>
      </c>
      <c r="AL12" s="8">
        <f t="shared" si="33"/>
        <v>1.152672698944623</v>
      </c>
      <c r="AM12" s="8">
        <f t="shared" si="34"/>
        <v>1.2150237084528577</v>
      </c>
      <c r="AN12" s="8">
        <f t="shared" si="35"/>
        <v>3.38</v>
      </c>
      <c r="AO12" s="8">
        <f t="shared" si="6"/>
        <v>1.875</v>
      </c>
      <c r="AP12" s="8">
        <f t="shared" si="7"/>
        <v>10.3125</v>
      </c>
      <c r="AQ12" s="8">
        <f t="shared" si="36"/>
        <v>1183.1352</v>
      </c>
      <c r="AR12" s="8">
        <f t="shared" si="37"/>
        <v>104546.15333340204</v>
      </c>
    </row>
    <row r="13" spans="1:44" ht="12.75">
      <c r="A13">
        <v>43</v>
      </c>
      <c r="B13">
        <v>29.17</v>
      </c>
      <c r="C13">
        <v>8.88</v>
      </c>
      <c r="D13" s="1">
        <f t="shared" si="0"/>
        <v>976.8000000000001</v>
      </c>
      <c r="E13" s="1">
        <f t="shared" si="8"/>
        <v>710.4000000000001</v>
      </c>
      <c r="F13" s="1">
        <f t="shared" si="9"/>
        <v>532.8000000000001</v>
      </c>
      <c r="G13" s="1">
        <f t="shared" si="10"/>
        <v>2308.8</v>
      </c>
      <c r="H13" s="1">
        <f t="shared" si="11"/>
        <v>2024.6400000000003</v>
      </c>
      <c r="I13" s="1">
        <f t="shared" si="12"/>
        <v>230.88000000000002</v>
      </c>
      <c r="J13" s="1">
        <f t="shared" si="13"/>
        <v>461.76000000000005</v>
      </c>
      <c r="K13" s="1">
        <f t="shared" si="14"/>
        <v>28</v>
      </c>
      <c r="L13" s="1">
        <f t="shared" si="15"/>
        <v>35</v>
      </c>
      <c r="M13" s="1">
        <f t="shared" si="16"/>
        <v>14</v>
      </c>
      <c r="N13" s="1">
        <f t="shared" si="17"/>
        <v>18</v>
      </c>
      <c r="O13" s="8">
        <f t="shared" si="18"/>
        <v>408.3333333333334</v>
      </c>
      <c r="P13" s="8">
        <f t="shared" si="19"/>
        <v>656.25</v>
      </c>
      <c r="Q13" s="2">
        <v>450</v>
      </c>
      <c r="R13" s="8">
        <f t="shared" si="20"/>
        <v>2848.8</v>
      </c>
      <c r="S13" s="8">
        <f t="shared" si="21"/>
        <v>2564.6400000000003</v>
      </c>
      <c r="T13" s="8">
        <f>(((5*R13)+(S13*(B13-5)))/1000)-U13</f>
        <v>38.704305459307506</v>
      </c>
      <c r="U13" s="8">
        <f>((5*2.5*R13)+((B13-5)*S13*(((B13-5)/2)+5)))/(B13*1000)</f>
        <v>37.5270433406925</v>
      </c>
      <c r="V13" s="8">
        <f>MAX(T13:U13)</f>
        <v>38.704305459307506</v>
      </c>
      <c r="W13" s="8">
        <f>(5*((T13+(T13-(5*(R13/1000))))/2))+((T13-(5*(R13/1000)))*0.5*((T13-(5*(R13/1000)))/(S13/1000)))</f>
        <v>274.55685435269913</v>
      </c>
      <c r="X13" s="8">
        <f t="shared" si="22"/>
        <v>21.8775</v>
      </c>
      <c r="Y13" s="8">
        <f t="shared" si="3"/>
        <v>19.3775</v>
      </c>
      <c r="Z13" s="8">
        <f t="shared" si="4"/>
        <v>0.15</v>
      </c>
      <c r="AA13" s="8">
        <f t="shared" si="5"/>
        <v>546.9</v>
      </c>
      <c r="AB13" s="8">
        <f t="shared" si="23"/>
        <v>6693.65159633569</v>
      </c>
      <c r="AC13" s="8">
        <f t="shared" si="24"/>
        <v>17.826562761529136</v>
      </c>
      <c r="AD13" s="8">
        <f t="shared" si="25"/>
        <v>163.85383750258876</v>
      </c>
      <c r="AE13" s="8">
        <f t="shared" si="26"/>
        <v>87.51</v>
      </c>
      <c r="AF13" s="8">
        <f t="shared" si="27"/>
        <v>113.82656276152913</v>
      </c>
      <c r="AG13" s="8">
        <f t="shared" si="28"/>
        <v>106.56</v>
      </c>
      <c r="AH13" s="8">
        <f t="shared" si="29"/>
        <v>3.314350436309056</v>
      </c>
      <c r="AI13" s="8">
        <f t="shared" si="30"/>
        <v>0.6683640396678812</v>
      </c>
      <c r="AJ13" s="8">
        <f t="shared" si="31"/>
        <v>0.03449175794957456</v>
      </c>
      <c r="AK13" s="8">
        <f t="shared" si="32"/>
        <v>3.2038867577669765</v>
      </c>
      <c r="AL13" s="8">
        <f t="shared" si="33"/>
        <v>1.0923589166839254</v>
      </c>
      <c r="AM13" s="8">
        <f t="shared" si="34"/>
        <v>1.1514473997051027</v>
      </c>
      <c r="AN13" s="8">
        <f t="shared" si="35"/>
        <v>3.2</v>
      </c>
      <c r="AO13" s="8">
        <f t="shared" si="6"/>
        <v>1.875</v>
      </c>
      <c r="AP13" s="8">
        <f t="shared" si="7"/>
        <v>10.3125</v>
      </c>
      <c r="AQ13" s="8">
        <f t="shared" si="36"/>
        <v>1120.1280000000002</v>
      </c>
      <c r="AR13" s="8">
        <f t="shared" si="37"/>
        <v>99075.75923617247</v>
      </c>
    </row>
    <row r="14" spans="1:44" ht="12.75">
      <c r="A14" s="6" t="s">
        <v>84</v>
      </c>
      <c r="B14">
        <v>30.96</v>
      </c>
      <c r="C14">
        <v>7.38</v>
      </c>
      <c r="D14" s="1">
        <f t="shared" si="0"/>
        <v>811.8</v>
      </c>
      <c r="E14" s="1">
        <f t="shared" si="8"/>
        <v>590.4</v>
      </c>
      <c r="F14" s="1">
        <f t="shared" si="9"/>
        <v>442.8</v>
      </c>
      <c r="G14" s="1">
        <f t="shared" si="10"/>
        <v>1918.7999999999997</v>
      </c>
      <c r="H14" s="1">
        <f t="shared" si="11"/>
        <v>1682.6399999999999</v>
      </c>
      <c r="I14" s="1">
        <f t="shared" si="12"/>
        <v>191.88</v>
      </c>
      <c r="J14" s="1">
        <f t="shared" si="13"/>
        <v>383.76</v>
      </c>
      <c r="K14" s="1">
        <f t="shared" si="14"/>
        <v>30</v>
      </c>
      <c r="L14" s="1">
        <f t="shared" si="15"/>
        <v>37</v>
      </c>
      <c r="M14" s="1">
        <f t="shared" si="16"/>
        <v>15</v>
      </c>
      <c r="N14" s="1">
        <f t="shared" si="17"/>
        <v>19</v>
      </c>
      <c r="O14" s="8">
        <f t="shared" si="18"/>
        <v>468.75</v>
      </c>
      <c r="P14" s="8">
        <f t="shared" si="19"/>
        <v>732.2916666666667</v>
      </c>
      <c r="Q14" s="2">
        <v>400</v>
      </c>
      <c r="R14" s="8">
        <f t="shared" si="20"/>
        <v>2398.7999999999997</v>
      </c>
      <c r="S14" s="8">
        <f t="shared" si="21"/>
        <v>2162.64</v>
      </c>
      <c r="T14" s="8">
        <v>24.26</v>
      </c>
      <c r="U14" s="8">
        <v>48.79</v>
      </c>
      <c r="V14" s="8">
        <v>25.94</v>
      </c>
      <c r="W14" s="8">
        <v>161.3</v>
      </c>
      <c r="X14" s="8">
        <f t="shared" si="22"/>
        <v>23.22</v>
      </c>
      <c r="Y14" s="8">
        <f t="shared" si="3"/>
        <v>20.72</v>
      </c>
      <c r="Z14" s="8">
        <f t="shared" si="4"/>
        <v>0.15</v>
      </c>
      <c r="AA14" s="8">
        <f t="shared" si="5"/>
        <v>546.9</v>
      </c>
      <c r="AB14" s="8">
        <f t="shared" si="23"/>
        <v>3932.467849088804</v>
      </c>
      <c r="AC14" s="8">
        <f t="shared" si="24"/>
        <v>9.15979340528802</v>
      </c>
      <c r="AD14" s="8">
        <f t="shared" si="25"/>
        <v>90.02573765808823</v>
      </c>
      <c r="AE14" s="8">
        <f t="shared" si="26"/>
        <v>92.88</v>
      </c>
      <c r="AF14" s="8">
        <f t="shared" si="27"/>
        <v>105.15979340528801</v>
      </c>
      <c r="AG14" s="8">
        <f t="shared" si="28"/>
        <v>88.56</v>
      </c>
      <c r="AH14" s="8">
        <f t="shared" si="29"/>
        <v>1.8209939262570844</v>
      </c>
      <c r="AI14" s="8">
        <f t="shared" si="30"/>
        <v>0.36286344776364665</v>
      </c>
      <c r="AJ14" s="8">
        <f t="shared" si="31"/>
        <v>0.017512714660407658</v>
      </c>
      <c r="AK14" s="8">
        <f t="shared" si="32"/>
        <v>1.7452260528852748</v>
      </c>
      <c r="AL14" s="8">
        <f t="shared" si="33"/>
        <v>0.6001715843872549</v>
      </c>
      <c r="AM14" s="8">
        <f t="shared" si="34"/>
        <v>0.6326363978585592</v>
      </c>
      <c r="AN14" s="8">
        <f t="shared" si="35"/>
        <v>1.75</v>
      </c>
      <c r="AO14" s="8">
        <f t="shared" si="6"/>
        <v>1.875</v>
      </c>
      <c r="AP14" s="8">
        <f t="shared" si="7"/>
        <v>10.3125</v>
      </c>
      <c r="AQ14" s="8">
        <f t="shared" si="36"/>
        <v>650.16</v>
      </c>
      <c r="AR14" s="8">
        <f t="shared" si="37"/>
        <v>58600.459798959455</v>
      </c>
    </row>
    <row r="15" spans="1:44" ht="12.75">
      <c r="A15" s="6" t="s">
        <v>85</v>
      </c>
      <c r="B15">
        <v>30.96</v>
      </c>
      <c r="C15">
        <v>2.88</v>
      </c>
      <c r="D15" s="1">
        <f t="shared" si="0"/>
        <v>316.8</v>
      </c>
      <c r="E15" s="1">
        <f t="shared" si="8"/>
        <v>230.39999999999998</v>
      </c>
      <c r="F15" s="1">
        <f t="shared" si="9"/>
        <v>172.79999999999998</v>
      </c>
      <c r="G15" s="1">
        <f t="shared" si="10"/>
        <v>748.8</v>
      </c>
      <c r="H15" s="1">
        <f t="shared" si="11"/>
        <v>656.64</v>
      </c>
      <c r="I15" s="1">
        <f t="shared" si="12"/>
        <v>74.88</v>
      </c>
      <c r="J15" s="1">
        <f t="shared" si="13"/>
        <v>149.76</v>
      </c>
      <c r="K15" s="1">
        <f t="shared" si="14"/>
        <v>30</v>
      </c>
      <c r="L15" s="1">
        <f t="shared" si="15"/>
        <v>37</v>
      </c>
      <c r="M15" s="1">
        <f t="shared" si="16"/>
        <v>15</v>
      </c>
      <c r="N15" s="1">
        <f t="shared" si="17"/>
        <v>19</v>
      </c>
      <c r="O15" s="8">
        <f t="shared" si="18"/>
        <v>468.75</v>
      </c>
      <c r="P15" s="8">
        <f t="shared" si="19"/>
        <v>732.2916666666667</v>
      </c>
      <c r="Q15" s="2">
        <v>400</v>
      </c>
      <c r="R15" s="8">
        <f t="shared" si="20"/>
        <v>1228.8</v>
      </c>
      <c r="S15" s="8">
        <f t="shared" si="21"/>
        <v>1136.6399999999999</v>
      </c>
      <c r="T15" s="8">
        <v>24.26</v>
      </c>
      <c r="U15" s="8">
        <v>48.79</v>
      </c>
      <c r="V15" s="8">
        <v>25.94</v>
      </c>
      <c r="W15" s="8">
        <v>38.9</v>
      </c>
      <c r="X15" s="8">
        <f t="shared" si="22"/>
        <v>23.22</v>
      </c>
      <c r="Y15" s="8">
        <f t="shared" si="3"/>
        <v>20.72</v>
      </c>
      <c r="Z15" s="8">
        <f t="shared" si="4"/>
        <v>0.15</v>
      </c>
      <c r="AA15" s="8">
        <f t="shared" si="5"/>
        <v>546.9</v>
      </c>
      <c r="AB15" s="8">
        <f t="shared" si="23"/>
        <v>948.3756933016396</v>
      </c>
      <c r="AC15" s="8">
        <f t="shared" si="24"/>
        <v>2.2090264319014503</v>
      </c>
      <c r="AD15" s="8">
        <f t="shared" si="25"/>
        <v>21.711104742093195</v>
      </c>
      <c r="AE15" s="8">
        <f t="shared" si="26"/>
        <v>92.88</v>
      </c>
      <c r="AF15" s="8">
        <f>((8*6))+AC15</f>
        <v>50.20902643190145</v>
      </c>
      <c r="AG15" s="8">
        <f t="shared" si="28"/>
        <v>34.56</v>
      </c>
      <c r="AH15" s="8">
        <f t="shared" si="29"/>
        <v>0.4391609654767549</v>
      </c>
      <c r="AI15" s="8">
        <f t="shared" si="30"/>
        <v>0.22424477403837564</v>
      </c>
      <c r="AJ15" s="8">
        <f t="shared" si="31"/>
        <v>0.010822624229651336</v>
      </c>
      <c r="AK15" s="8">
        <f t="shared" si="32"/>
        <v>0.41947281553144256</v>
      </c>
      <c r="AL15" s="8">
        <f t="shared" si="33"/>
        <v>0.14474069828062128</v>
      </c>
      <c r="AM15" s="8">
        <f t="shared" si="34"/>
        <v>0.1525700922299935</v>
      </c>
      <c r="AN15" s="8">
        <f t="shared" si="35"/>
        <v>0.42</v>
      </c>
      <c r="AO15" s="8">
        <f t="shared" si="6"/>
        <v>1.875</v>
      </c>
      <c r="AP15" s="8">
        <f t="shared" si="7"/>
        <v>10.3125</v>
      </c>
      <c r="AQ15" s="8">
        <f t="shared" si="36"/>
        <v>156.0384</v>
      </c>
      <c r="AR15" s="8">
        <f t="shared" si="37"/>
        <v>14132.41094965606</v>
      </c>
    </row>
    <row r="16" spans="1:44" ht="12.75">
      <c r="A16">
        <v>45</v>
      </c>
      <c r="B16">
        <v>30.96</v>
      </c>
      <c r="C16">
        <v>5.75</v>
      </c>
      <c r="D16" s="1">
        <f t="shared" si="0"/>
        <v>632.5</v>
      </c>
      <c r="E16" s="1">
        <f t="shared" si="8"/>
        <v>460</v>
      </c>
      <c r="F16" s="1">
        <f t="shared" si="9"/>
        <v>345</v>
      </c>
      <c r="G16" s="1">
        <f t="shared" si="10"/>
        <v>1495</v>
      </c>
      <c r="H16" s="1">
        <f t="shared" si="11"/>
        <v>1311</v>
      </c>
      <c r="I16" s="1">
        <f t="shared" si="12"/>
        <v>149.5</v>
      </c>
      <c r="J16" s="1">
        <f t="shared" si="13"/>
        <v>299</v>
      </c>
      <c r="K16" s="1">
        <f t="shared" si="14"/>
        <v>30</v>
      </c>
      <c r="L16" s="1">
        <f t="shared" si="15"/>
        <v>37</v>
      </c>
      <c r="M16" s="1">
        <f t="shared" si="16"/>
        <v>15</v>
      </c>
      <c r="N16" s="1">
        <f t="shared" si="17"/>
        <v>19</v>
      </c>
      <c r="O16" s="8">
        <f t="shared" si="18"/>
        <v>468.75</v>
      </c>
      <c r="P16" s="8">
        <f t="shared" si="19"/>
        <v>732.2916666666667</v>
      </c>
      <c r="Q16" s="2">
        <v>400</v>
      </c>
      <c r="R16" s="8">
        <f t="shared" si="20"/>
        <v>1975</v>
      </c>
      <c r="S16" s="8">
        <f t="shared" si="21"/>
        <v>1791</v>
      </c>
      <c r="T16" s="8">
        <f>(((5*R16)+(S16*(B16-5)))/1000)-U16</f>
        <v>28.570390594315246</v>
      </c>
      <c r="U16" s="8">
        <f>((5*2.5*R16)+((B16-5)*S16*(((B16-5)/2)+5)))/(B16*1000)</f>
        <v>27.798969405684755</v>
      </c>
      <c r="V16" s="8">
        <f>MAX(T16:U16)</f>
        <v>28.570390594315246</v>
      </c>
      <c r="W16" s="8">
        <f>(5*((T16+(T16-(5*(R16/1000))))/2))+((T16-(5*(R16/1000)))*0.5*((T16-(5*(R16/1000)))/(S16/1000)))</f>
        <v>215.74056393584505</v>
      </c>
      <c r="X16" s="8">
        <f t="shared" si="22"/>
        <v>23.22</v>
      </c>
      <c r="Y16" s="8">
        <f t="shared" si="3"/>
        <v>20.72</v>
      </c>
      <c r="Z16" s="8">
        <f t="shared" si="4"/>
        <v>0.15</v>
      </c>
      <c r="AA16" s="8">
        <f t="shared" si="5"/>
        <v>546.9</v>
      </c>
      <c r="AB16" s="8">
        <f t="shared" si="23"/>
        <v>5259.719971618091</v>
      </c>
      <c r="AC16" s="8">
        <f t="shared" si="24"/>
        <v>12.251326688113279</v>
      </c>
      <c r="AD16" s="8">
        <f t="shared" si="25"/>
        <v>120.41043652260635</v>
      </c>
      <c r="AE16" s="8">
        <f t="shared" si="26"/>
        <v>92.88</v>
      </c>
      <c r="AF16" s="8">
        <f t="shared" si="27"/>
        <v>108.25132668811328</v>
      </c>
      <c r="AG16" s="8">
        <f t="shared" si="28"/>
        <v>69</v>
      </c>
      <c r="AH16" s="8">
        <f t="shared" si="29"/>
        <v>2.4355998547703157</v>
      </c>
      <c r="AI16" s="8">
        <f t="shared" si="30"/>
        <v>0.6229155638798762</v>
      </c>
      <c r="AJ16" s="8">
        <f t="shared" si="31"/>
        <v>0.030063492465244993</v>
      </c>
      <c r="AK16" s="8">
        <f t="shared" si="32"/>
        <v>2.3491314092426183</v>
      </c>
      <c r="AL16" s="8">
        <f t="shared" si="33"/>
        <v>0.802736243484042</v>
      </c>
      <c r="AM16" s="8">
        <f t="shared" si="34"/>
        <v>0.8461582965923572</v>
      </c>
      <c r="AN16" s="8">
        <f t="shared" si="35"/>
        <v>2.35</v>
      </c>
      <c r="AO16" s="8">
        <f t="shared" si="6"/>
        <v>1.875</v>
      </c>
      <c r="AP16" s="8">
        <f t="shared" si="7"/>
        <v>10.3125</v>
      </c>
      <c r="AQ16" s="8">
        <f t="shared" si="36"/>
        <v>873.072</v>
      </c>
      <c r="AR16" s="8">
        <f t="shared" si="37"/>
        <v>78378.77398591029</v>
      </c>
    </row>
    <row r="17" spans="1:44" ht="12.75">
      <c r="A17" s="6" t="s">
        <v>86</v>
      </c>
      <c r="B17">
        <v>30.96</v>
      </c>
      <c r="C17">
        <v>7.38</v>
      </c>
      <c r="D17" s="1">
        <f t="shared" si="0"/>
        <v>811.8</v>
      </c>
      <c r="E17" s="1">
        <f t="shared" si="8"/>
        <v>590.4</v>
      </c>
      <c r="F17" s="1">
        <f t="shared" si="9"/>
        <v>442.8</v>
      </c>
      <c r="G17" s="1">
        <f t="shared" si="10"/>
        <v>1918.7999999999997</v>
      </c>
      <c r="H17" s="1">
        <f t="shared" si="11"/>
        <v>1682.6399999999999</v>
      </c>
      <c r="I17" s="1">
        <f t="shared" si="12"/>
        <v>191.88</v>
      </c>
      <c r="J17" s="1">
        <f t="shared" si="13"/>
        <v>383.76</v>
      </c>
      <c r="K17" s="1">
        <f t="shared" si="14"/>
        <v>30</v>
      </c>
      <c r="L17" s="1">
        <f t="shared" si="15"/>
        <v>37</v>
      </c>
      <c r="M17" s="1">
        <f t="shared" si="16"/>
        <v>15</v>
      </c>
      <c r="N17" s="1">
        <f t="shared" si="17"/>
        <v>19</v>
      </c>
      <c r="O17" s="8">
        <f t="shared" si="18"/>
        <v>468.75</v>
      </c>
      <c r="P17" s="8">
        <f t="shared" si="19"/>
        <v>732.2916666666667</v>
      </c>
      <c r="Q17" s="2">
        <v>401</v>
      </c>
      <c r="R17" s="8">
        <f t="shared" si="20"/>
        <v>2399.9999999999995</v>
      </c>
      <c r="S17" s="8">
        <f t="shared" si="21"/>
        <v>2163.8399999999997</v>
      </c>
      <c r="T17" s="8">
        <v>24.26</v>
      </c>
      <c r="U17" s="8">
        <v>48.79</v>
      </c>
      <c r="V17" s="8">
        <v>25.94</v>
      </c>
      <c r="W17" s="8">
        <v>161.3</v>
      </c>
      <c r="X17" s="8">
        <f t="shared" si="22"/>
        <v>23.22</v>
      </c>
      <c r="Y17" s="8">
        <f t="shared" si="3"/>
        <v>20.72</v>
      </c>
      <c r="Z17" s="8">
        <f t="shared" si="4"/>
        <v>0.15</v>
      </c>
      <c r="AA17" s="8">
        <f t="shared" si="5"/>
        <v>546.9</v>
      </c>
      <c r="AB17" s="8">
        <f t="shared" si="23"/>
        <v>3932.467849088804</v>
      </c>
      <c r="AC17" s="8">
        <f t="shared" si="24"/>
        <v>9.15979340528802</v>
      </c>
      <c r="AD17" s="8">
        <f t="shared" si="25"/>
        <v>90.02573765808823</v>
      </c>
      <c r="AE17" s="8">
        <f t="shared" si="26"/>
        <v>92.88</v>
      </c>
      <c r="AF17" s="8">
        <f t="shared" si="27"/>
        <v>105.15979340528801</v>
      </c>
      <c r="AG17" s="8">
        <f t="shared" si="28"/>
        <v>88.56</v>
      </c>
      <c r="AH17" s="8">
        <f t="shared" si="29"/>
        <v>1.8209939262570844</v>
      </c>
      <c r="AI17" s="8">
        <f t="shared" si="30"/>
        <v>0.36286344776364665</v>
      </c>
      <c r="AJ17" s="8">
        <f t="shared" si="31"/>
        <v>0.017512714660407658</v>
      </c>
      <c r="AK17" s="8">
        <f t="shared" si="32"/>
        <v>1.7452260528852748</v>
      </c>
      <c r="AL17" s="8">
        <f t="shared" si="33"/>
        <v>0.6001715843872549</v>
      </c>
      <c r="AM17" s="8">
        <f t="shared" si="34"/>
        <v>0.6326363978585592</v>
      </c>
      <c r="AN17" s="8">
        <f t="shared" si="35"/>
        <v>1.75</v>
      </c>
      <c r="AO17" s="8">
        <f t="shared" si="6"/>
        <v>1.875</v>
      </c>
      <c r="AP17" s="8">
        <f t="shared" si="7"/>
        <v>10.3125</v>
      </c>
      <c r="AQ17" s="8">
        <f t="shared" si="36"/>
        <v>650.16</v>
      </c>
      <c r="AR17" s="8">
        <f t="shared" si="37"/>
        <v>58600.459798959455</v>
      </c>
    </row>
    <row r="18" spans="1:44" ht="12.75">
      <c r="A18" s="6" t="s">
        <v>87</v>
      </c>
      <c r="B18">
        <v>30.96</v>
      </c>
      <c r="C18">
        <v>2.88</v>
      </c>
      <c r="D18" s="1">
        <f t="shared" si="0"/>
        <v>316.8</v>
      </c>
      <c r="E18" s="1">
        <f t="shared" si="8"/>
        <v>230.39999999999998</v>
      </c>
      <c r="F18" s="1">
        <f t="shared" si="9"/>
        <v>172.79999999999998</v>
      </c>
      <c r="G18" s="1">
        <f t="shared" si="10"/>
        <v>748.8</v>
      </c>
      <c r="H18" s="1">
        <f t="shared" si="11"/>
        <v>656.64</v>
      </c>
      <c r="I18" s="1">
        <f t="shared" si="12"/>
        <v>74.88</v>
      </c>
      <c r="J18" s="1">
        <f t="shared" si="13"/>
        <v>149.76</v>
      </c>
      <c r="K18" s="1">
        <f t="shared" si="14"/>
        <v>30</v>
      </c>
      <c r="L18" s="1">
        <f t="shared" si="15"/>
        <v>37</v>
      </c>
      <c r="M18" s="1">
        <f t="shared" si="16"/>
        <v>15</v>
      </c>
      <c r="N18" s="1">
        <f t="shared" si="17"/>
        <v>19</v>
      </c>
      <c r="O18" s="8">
        <f t="shared" si="18"/>
        <v>468.75</v>
      </c>
      <c r="P18" s="8">
        <f t="shared" si="19"/>
        <v>732.2916666666667</v>
      </c>
      <c r="Q18" s="2">
        <v>400</v>
      </c>
      <c r="R18" s="8">
        <f t="shared" si="20"/>
        <v>1228.8</v>
      </c>
      <c r="S18" s="8">
        <f t="shared" si="21"/>
        <v>1136.6399999999999</v>
      </c>
      <c r="T18" s="8">
        <v>24.26</v>
      </c>
      <c r="U18" s="8">
        <v>48.79</v>
      </c>
      <c r="V18" s="8">
        <v>25.94</v>
      </c>
      <c r="W18" s="8">
        <v>38.9</v>
      </c>
      <c r="X18" s="8">
        <f t="shared" si="22"/>
        <v>23.22</v>
      </c>
      <c r="Y18" s="8">
        <f t="shared" si="3"/>
        <v>20.72</v>
      </c>
      <c r="Z18" s="8">
        <f t="shared" si="4"/>
        <v>0.15</v>
      </c>
      <c r="AA18" s="8">
        <f t="shared" si="5"/>
        <v>546.9</v>
      </c>
      <c r="AB18" s="8">
        <f t="shared" si="23"/>
        <v>948.3756933016396</v>
      </c>
      <c r="AC18" s="8">
        <f t="shared" si="24"/>
        <v>2.2090264319014503</v>
      </c>
      <c r="AD18" s="8">
        <f t="shared" si="25"/>
        <v>21.711104742093195</v>
      </c>
      <c r="AE18" s="8">
        <f t="shared" si="26"/>
        <v>92.88</v>
      </c>
      <c r="AF18" s="8">
        <f>((8*6))+AC18</f>
        <v>50.20902643190145</v>
      </c>
      <c r="AG18" s="8">
        <f t="shared" si="28"/>
        <v>34.56</v>
      </c>
      <c r="AH18" s="8">
        <f t="shared" si="29"/>
        <v>0.4391609654767549</v>
      </c>
      <c r="AI18" s="8">
        <f t="shared" si="30"/>
        <v>0.22424477403837564</v>
      </c>
      <c r="AJ18" s="8">
        <f t="shared" si="31"/>
        <v>0.010822624229651336</v>
      </c>
      <c r="AK18" s="8">
        <f t="shared" si="32"/>
        <v>0.41947281553144256</v>
      </c>
      <c r="AL18" s="8">
        <f t="shared" si="33"/>
        <v>0.14474069828062128</v>
      </c>
      <c r="AM18" s="8">
        <f t="shared" si="34"/>
        <v>0.1525700922299935</v>
      </c>
      <c r="AN18" s="8">
        <f t="shared" si="35"/>
        <v>0.42</v>
      </c>
      <c r="AO18" s="8">
        <f t="shared" si="6"/>
        <v>1.875</v>
      </c>
      <c r="AP18" s="8">
        <f t="shared" si="7"/>
        <v>10.3125</v>
      </c>
      <c r="AQ18" s="8">
        <f t="shared" si="36"/>
        <v>156.0384</v>
      </c>
      <c r="AR18" s="8">
        <f t="shared" si="37"/>
        <v>14132.41094965606</v>
      </c>
    </row>
    <row r="19" spans="1:44" ht="12.75">
      <c r="A19">
        <v>47</v>
      </c>
      <c r="B19">
        <v>29.17</v>
      </c>
      <c r="C19">
        <v>9</v>
      </c>
      <c r="D19" s="1">
        <f t="shared" si="0"/>
        <v>990</v>
      </c>
      <c r="E19" s="1">
        <f>C19*80</f>
        <v>720</v>
      </c>
      <c r="F19" s="1">
        <f>C19*60</f>
        <v>540</v>
      </c>
      <c r="G19" s="1">
        <f>(1.2*D19)+(1.6*E19)</f>
        <v>2340</v>
      </c>
      <c r="H19" s="1">
        <f>(1.2*D19)+(1.6*F19)</f>
        <v>2052</v>
      </c>
      <c r="I19" s="1">
        <f>0.1*MAX(G19:H19)</f>
        <v>234</v>
      </c>
      <c r="J19" s="1">
        <f>0.2*MAX(G19:H19)</f>
        <v>468</v>
      </c>
      <c r="K19" s="1">
        <f>ROUND(((0.08*B19)*12),0)</f>
        <v>28</v>
      </c>
      <c r="L19" s="1">
        <f>ROUND(((0.1*B19)*12),0)</f>
        <v>35</v>
      </c>
      <c r="M19" s="1">
        <f aca="true" t="shared" si="38" ref="M19:N21">ROUND((0.5*K19),0)</f>
        <v>14</v>
      </c>
      <c r="N19" s="1">
        <f t="shared" si="38"/>
        <v>18</v>
      </c>
      <c r="O19" s="8">
        <f aca="true" t="shared" si="39" ref="O19:P21">(M19/12)*(K19/12)*150</f>
        <v>408.3333333333334</v>
      </c>
      <c r="P19" s="8">
        <f t="shared" si="39"/>
        <v>656.25</v>
      </c>
      <c r="Q19" s="2">
        <v>400</v>
      </c>
      <c r="R19" s="8">
        <f>(1.2*Q19)+G19</f>
        <v>2820</v>
      </c>
      <c r="S19" s="8">
        <f>(1.2*Q19)+H19</f>
        <v>2532</v>
      </c>
      <c r="T19" s="8">
        <f>(((5*R19)+(S19*(B19-5)))/1000)-U19</f>
        <v>38.24580553308193</v>
      </c>
      <c r="U19" s="8">
        <f>((5*2.5*R19)+((B19-5)*S19*(((B19-5)/2)+5)))/(B19*1000)</f>
        <v>37.05263446691807</v>
      </c>
      <c r="V19" s="8">
        <f>MAX(T19:U19)</f>
        <v>38.24580553308193</v>
      </c>
      <c r="W19" s="8">
        <f>(5*((T19+(T19-(5*(R19/1000))))/2))+((T19-(5*(R19/1000)))*0.5*((T19-(5*(R19/1000)))/(S19/1000)))</f>
        <v>271.10934457722044</v>
      </c>
      <c r="X19" s="8">
        <f>(B19/16)*12</f>
        <v>21.8775</v>
      </c>
      <c r="Y19" s="8">
        <f t="shared" si="3"/>
        <v>19.3775</v>
      </c>
      <c r="Z19" s="8">
        <f t="shared" si="4"/>
        <v>0.15</v>
      </c>
      <c r="AA19" s="8">
        <f t="shared" si="5"/>
        <v>546.9</v>
      </c>
      <c r="AB19" s="8">
        <f>(12000*W19)/(AA19*0.9)</f>
        <v>6609.601866940219</v>
      </c>
      <c r="AC19" s="8">
        <f>AB19/(Y19^2)</f>
        <v>17.602721147636636</v>
      </c>
      <c r="AD19" s="8">
        <f>0.75*((((2*(4000^0.5)*AC19*Y19)+(8*(4000^0.5)*AC19*Y19)))/1000)</f>
        <v>161.79638492916214</v>
      </c>
      <c r="AE19" s="8">
        <f>(B19/4)*12</f>
        <v>87.51</v>
      </c>
      <c r="AF19" s="8">
        <f>((8*6)*2)+AC19</f>
        <v>113.60272114763663</v>
      </c>
      <c r="AG19" s="8">
        <f>C19*12</f>
        <v>108</v>
      </c>
      <c r="AH19" s="8">
        <f>(W19*12000)/(0.9*60000*0.95*Y19)</f>
        <v>3.27273335282565</v>
      </c>
      <c r="AI19" s="8">
        <f>(AH19*60000)/(0.85*4000*(MIN(AE19:AG19)))</f>
        <v>0.6599716374247615</v>
      </c>
      <c r="AJ19" s="8">
        <f>AI19/Y19</f>
        <v>0.034058657588685926</v>
      </c>
      <c r="AK19" s="8">
        <f>(W19*12000)/(0.9*60000*(Y19-(AI19/2)))</f>
        <v>3.162959767020234</v>
      </c>
      <c r="AL19" s="8">
        <f>(3*(4000^0.5)*AC19*Y19)/60000</f>
        <v>1.0786425661944143</v>
      </c>
      <c r="AM19" s="8">
        <f>(200*AC19*Y19)/60000</f>
        <v>1.1369890967944298</v>
      </c>
      <c r="AN19" s="8">
        <f>ROUND(MAX(AK19:AM19),2)</f>
        <v>3.16</v>
      </c>
      <c r="AO19" s="8">
        <f t="shared" si="6"/>
        <v>1.875</v>
      </c>
      <c r="AP19" s="8">
        <f t="shared" si="7"/>
        <v>10.3125</v>
      </c>
      <c r="AQ19" s="8">
        <f>AN19*(B19*12)</f>
        <v>1106.1264</v>
      </c>
      <c r="AR19" s="8">
        <f>(X19-6)*AC19*(12*B19)</f>
        <v>97831.70124576111</v>
      </c>
    </row>
    <row r="20" spans="1:44" ht="12.75">
      <c r="A20" s="6" t="s">
        <v>135</v>
      </c>
      <c r="B20">
        <v>29.17</v>
      </c>
      <c r="C20">
        <v>4.5</v>
      </c>
      <c r="D20" s="1">
        <f t="shared" si="0"/>
        <v>495</v>
      </c>
      <c r="E20" s="1">
        <f>C20*80</f>
        <v>360</v>
      </c>
      <c r="F20" s="1">
        <f>C20*60</f>
        <v>270</v>
      </c>
      <c r="G20" s="1">
        <f>(1.2*D20)+(1.6*E20)</f>
        <v>1170</v>
      </c>
      <c r="H20" s="1">
        <f>(1.2*D20)+(1.6*F20)</f>
        <v>1026</v>
      </c>
      <c r="I20" s="1">
        <f>0.1*MAX(G20:H20)</f>
        <v>117</v>
      </c>
      <c r="J20" s="1">
        <f>0.2*MAX(G20:H20)</f>
        <v>234</v>
      </c>
      <c r="K20" s="1">
        <f>ROUND(((0.08*B20)*12),0)</f>
        <v>28</v>
      </c>
      <c r="L20" s="1">
        <f>ROUND(((0.1*B20)*12),0)</f>
        <v>35</v>
      </c>
      <c r="M20" s="1">
        <f t="shared" si="38"/>
        <v>14</v>
      </c>
      <c r="N20" s="1">
        <f t="shared" si="38"/>
        <v>18</v>
      </c>
      <c r="O20" s="8">
        <f t="shared" si="39"/>
        <v>408.3333333333334</v>
      </c>
      <c r="P20" s="8">
        <f t="shared" si="39"/>
        <v>656.25</v>
      </c>
      <c r="Q20" s="2">
        <v>300</v>
      </c>
      <c r="R20" s="8">
        <f>(1.2*Q20)+G20</f>
        <v>1530</v>
      </c>
      <c r="S20" s="8">
        <f>(1.2*Q20)+H20</f>
        <v>1386</v>
      </c>
      <c r="T20" s="8">
        <v>35.85</v>
      </c>
      <c r="U20" s="8">
        <v>43.69</v>
      </c>
      <c r="V20" s="8">
        <f>MAX(T20:U20)</f>
        <v>43.69</v>
      </c>
      <c r="W20" s="8">
        <v>293.02</v>
      </c>
      <c r="X20" s="8">
        <f>(B20/16)*12</f>
        <v>21.8775</v>
      </c>
      <c r="Y20" s="8">
        <f t="shared" si="3"/>
        <v>19.3775</v>
      </c>
      <c r="Z20" s="8">
        <f t="shared" si="4"/>
        <v>0.15</v>
      </c>
      <c r="AA20" s="8">
        <f t="shared" si="5"/>
        <v>546.9</v>
      </c>
      <c r="AB20" s="8">
        <f>(12000*W20)/(AA20*0.9)</f>
        <v>7143.780093862376</v>
      </c>
      <c r="AC20" s="8">
        <f>AB20/(Y20^2)</f>
        <v>19.025346982133776</v>
      </c>
      <c r="AD20" s="8">
        <f>0.75*((((2*(4000^0.5)*AC20*Y20)+(8*(4000^0.5)*AC20*Y20)))/1000)</f>
        <v>174.87252896382319</v>
      </c>
      <c r="AE20" s="8">
        <f>(B20/4)*12</f>
        <v>87.51</v>
      </c>
      <c r="AF20" s="8">
        <f>((8*6)*2)+AC20</f>
        <v>115.02534698213378</v>
      </c>
      <c r="AG20" s="8">
        <f>C20*12</f>
        <v>54</v>
      </c>
      <c r="AH20" s="8">
        <f>(W20*12000)/(0.9*60000*0.95*Y20)</f>
        <v>3.537230811945789</v>
      </c>
      <c r="AI20" s="8">
        <f>(AH20*60000)/(0.85*4000*(MIN(AE20:AG20)))</f>
        <v>1.1559577816816304</v>
      </c>
      <c r="AJ20" s="8">
        <f>AI20/Y20</f>
        <v>0.05965463974618142</v>
      </c>
      <c r="AK20" s="8">
        <f>(W20*12000)/(0.9*60000*(Y20-(AI20/2)))</f>
        <v>3.4636816106890644</v>
      </c>
      <c r="AL20" s="8">
        <f>(3*(4000^0.5)*AC20*Y20)/60000</f>
        <v>1.1658168597588212</v>
      </c>
      <c r="AM20" s="8">
        <f>(200*AC20*Y20)/60000</f>
        <v>1.2288788704876576</v>
      </c>
      <c r="AN20" s="8">
        <f>ROUND(MAX(AK20:AM20),2)</f>
        <v>3.46</v>
      </c>
      <c r="AO20" s="8">
        <f t="shared" si="6"/>
        <v>1.875</v>
      </c>
      <c r="AP20" s="8">
        <f t="shared" si="7"/>
        <v>10.3125</v>
      </c>
      <c r="AQ20" s="8">
        <f>AN20*(B20*12)</f>
        <v>1211.1384</v>
      </c>
      <c r="AR20" s="8">
        <f>(X20-6)*AC20*(12*B20)</f>
        <v>105738.31434595853</v>
      </c>
    </row>
    <row r="21" spans="1:44" ht="12.75">
      <c r="A21" s="6" t="s">
        <v>136</v>
      </c>
      <c r="B21">
        <v>29.17</v>
      </c>
      <c r="C21">
        <v>4.5</v>
      </c>
      <c r="D21" s="1">
        <f t="shared" si="0"/>
        <v>495</v>
      </c>
      <c r="E21" s="1">
        <f>C21*80</f>
        <v>360</v>
      </c>
      <c r="F21" s="1">
        <f>C21*60</f>
        <v>270</v>
      </c>
      <c r="G21" s="1">
        <f>(1.2*D21)+(1.6*E21)</f>
        <v>1170</v>
      </c>
      <c r="H21" s="1">
        <f>(1.2*D21)+(1.6*F21)</f>
        <v>1026</v>
      </c>
      <c r="I21" s="1">
        <f>0.1*MAX(G21:H21)</f>
        <v>117</v>
      </c>
      <c r="J21" s="1">
        <f>0.2*MAX(G21:H21)</f>
        <v>234</v>
      </c>
      <c r="K21" s="1">
        <f>ROUND(((0.08*B21)*12),0)</f>
        <v>28</v>
      </c>
      <c r="L21" s="1">
        <f>ROUND(((0.1*B21)*12),0)</f>
        <v>35</v>
      </c>
      <c r="M21" s="1">
        <f t="shared" si="38"/>
        <v>14</v>
      </c>
      <c r="N21" s="1">
        <f t="shared" si="38"/>
        <v>18</v>
      </c>
      <c r="O21" s="8">
        <f t="shared" si="39"/>
        <v>408.3333333333334</v>
      </c>
      <c r="P21" s="8">
        <f t="shared" si="39"/>
        <v>656.25</v>
      </c>
      <c r="Q21" s="2">
        <v>300</v>
      </c>
      <c r="R21" s="8">
        <f>(1.2*Q21)+G21</f>
        <v>1530</v>
      </c>
      <c r="S21" s="8">
        <f>(1.2*Q21)+H21</f>
        <v>1386</v>
      </c>
      <c r="T21" s="8">
        <v>35.85</v>
      </c>
      <c r="U21" s="8">
        <v>43.69</v>
      </c>
      <c r="V21" s="8">
        <f>MAX(T21:U21)</f>
        <v>43.69</v>
      </c>
      <c r="W21" s="8">
        <v>611</v>
      </c>
      <c r="X21" s="8">
        <f>(B21/16)*12</f>
        <v>21.8775</v>
      </c>
      <c r="Y21" s="8">
        <f t="shared" si="3"/>
        <v>19.3775</v>
      </c>
      <c r="Z21" s="8">
        <f t="shared" si="4"/>
        <v>0.15</v>
      </c>
      <c r="AA21" s="8">
        <f t="shared" si="5"/>
        <v>546.9</v>
      </c>
      <c r="AB21" s="8">
        <f>(12000*W21)/(AA21*0.9)</f>
        <v>14896.080941061742</v>
      </c>
      <c r="AC21" s="8">
        <f>AB21/(Y21^2)</f>
        <v>39.67130914641915</v>
      </c>
      <c r="AD21" s="8">
        <f>0.75*((((2*(4000^0.5)*AC21*Y21)+(8*(4000^0.5)*AC21*Y21)))/1000)</f>
        <v>364.64103200087357</v>
      </c>
      <c r="AE21" s="8">
        <f>(B21/4)*12</f>
        <v>87.51</v>
      </c>
      <c r="AF21" s="8">
        <f>((8*6)*2)+AC21</f>
        <v>135.67130914641916</v>
      </c>
      <c r="AG21" s="8">
        <f>C21*12</f>
        <v>54</v>
      </c>
      <c r="AH21" s="8">
        <f>(W21*12000)/(0.9*60000*0.95*Y21)</f>
        <v>7.37576966111145</v>
      </c>
      <c r="AI21" s="8">
        <f>(AH21*60000)/(0.85*4000*(MIN(AE21:AG21)))</f>
        <v>2.4103822421932843</v>
      </c>
      <c r="AJ21" s="8">
        <f>AI21/Y21</f>
        <v>0.12439077498094615</v>
      </c>
      <c r="AK21" s="8">
        <f>(W21*12000)/(0.9*60000*(Y21-(AI21/2)))</f>
        <v>7.471685556446008</v>
      </c>
      <c r="AL21" s="8">
        <f>(3*(4000^0.5)*AC21*Y21)/60000</f>
        <v>2.4309402133391576</v>
      </c>
      <c r="AM21" s="8">
        <f>(200*AC21*Y21)/60000</f>
        <v>2.5624359766157903</v>
      </c>
      <c r="AN21" s="8">
        <f>ROUND(MAX(AK21:AM21),2)</f>
        <v>7.47</v>
      </c>
      <c r="AO21" s="8">
        <f t="shared" si="6"/>
        <v>1.875</v>
      </c>
      <c r="AP21" s="8">
        <f t="shared" si="7"/>
        <v>10.3125</v>
      </c>
      <c r="AQ21" s="8">
        <f>AN21*(B21*12)</f>
        <v>2614.7988</v>
      </c>
      <c r="AR21" s="8">
        <f>(X21-6)*AC21*(12*B21)</f>
        <v>220483.61908873342</v>
      </c>
    </row>
    <row r="22" spans="1:44" ht="12.75">
      <c r="A22">
        <v>49</v>
      </c>
      <c r="B22">
        <v>21.63</v>
      </c>
      <c r="C22">
        <v>6.5</v>
      </c>
      <c r="D22" s="1">
        <f t="shared" si="0"/>
        <v>715</v>
      </c>
      <c r="E22" s="1">
        <f t="shared" si="8"/>
        <v>520</v>
      </c>
      <c r="F22" s="1">
        <f t="shared" si="9"/>
        <v>390</v>
      </c>
      <c r="G22" s="1">
        <f t="shared" si="10"/>
        <v>1690</v>
      </c>
      <c r="H22" s="1">
        <f t="shared" si="11"/>
        <v>1482</v>
      </c>
      <c r="I22" s="1">
        <f t="shared" si="12"/>
        <v>169</v>
      </c>
      <c r="J22" s="1">
        <f t="shared" si="13"/>
        <v>338</v>
      </c>
      <c r="K22" s="1">
        <f t="shared" si="14"/>
        <v>21</v>
      </c>
      <c r="L22" s="1">
        <f t="shared" si="15"/>
        <v>26</v>
      </c>
      <c r="M22" s="1">
        <f t="shared" si="16"/>
        <v>11</v>
      </c>
      <c r="N22" s="1">
        <f t="shared" si="17"/>
        <v>13</v>
      </c>
      <c r="O22" s="8">
        <f t="shared" si="18"/>
        <v>240.62499999999997</v>
      </c>
      <c r="P22" s="8">
        <f t="shared" si="19"/>
        <v>352.08333333333326</v>
      </c>
      <c r="Q22" s="2">
        <v>300</v>
      </c>
      <c r="R22" s="8">
        <f t="shared" si="20"/>
        <v>2050</v>
      </c>
      <c r="S22" s="8">
        <f t="shared" si="21"/>
        <v>1842</v>
      </c>
      <c r="T22" s="8">
        <f>(((5*R22)+(S22*(B22-5)))/1000)-U22</f>
        <v>20.84102657882571</v>
      </c>
      <c r="U22" s="8">
        <f>((5*2.5*R22)+((B22-5)*S22*(((B22-5)/2)+5)))/(B22*1000)</f>
        <v>20.041433421174293</v>
      </c>
      <c r="V22" s="8">
        <f>MAX(T22:U22)</f>
        <v>20.84102657882571</v>
      </c>
      <c r="W22" s="8">
        <f>(5*((T22+(T22-(5*(R22/1000))))/2))+((T22-(5*(R22/1000)))*0.5*((T22-(5*(R22/1000)))/(S22/1000)))</f>
        <v>109.02797328321448</v>
      </c>
      <c r="X22" s="8">
        <f t="shared" si="22"/>
        <v>16.2225</v>
      </c>
      <c r="Y22" s="8">
        <f t="shared" si="3"/>
        <v>13.7225</v>
      </c>
      <c r="Z22" s="8">
        <f t="shared" si="4"/>
        <v>0.15</v>
      </c>
      <c r="AA22" s="8">
        <f t="shared" si="5"/>
        <v>546.9</v>
      </c>
      <c r="AB22" s="8">
        <f t="shared" si="23"/>
        <v>2658.084312384092</v>
      </c>
      <c r="AC22" s="8">
        <f t="shared" si="24"/>
        <v>14.115695243198589</v>
      </c>
      <c r="AD22" s="8">
        <f t="shared" si="25"/>
        <v>91.881223974089</v>
      </c>
      <c r="AE22" s="8">
        <f t="shared" si="26"/>
        <v>64.89</v>
      </c>
      <c r="AF22" s="8">
        <f t="shared" si="27"/>
        <v>110.11569524319859</v>
      </c>
      <c r="AG22" s="8">
        <f t="shared" si="28"/>
        <v>78</v>
      </c>
      <c r="AH22" s="8">
        <f t="shared" si="29"/>
        <v>1.8585257410423521</v>
      </c>
      <c r="AI22" s="8">
        <f t="shared" si="30"/>
        <v>0.5054324715243949</v>
      </c>
      <c r="AJ22" s="8">
        <f t="shared" si="31"/>
        <v>0.03683238998173765</v>
      </c>
      <c r="AK22" s="8">
        <f t="shared" si="32"/>
        <v>1.7987251266577386</v>
      </c>
      <c r="AL22" s="8">
        <f t="shared" si="33"/>
        <v>0.6125414931605933</v>
      </c>
      <c r="AM22" s="8">
        <f t="shared" si="34"/>
        <v>0.6456754265826421</v>
      </c>
      <c r="AN22" s="8">
        <f t="shared" si="35"/>
        <v>1.8</v>
      </c>
      <c r="AO22" s="8">
        <f t="shared" si="6"/>
        <v>1.875</v>
      </c>
      <c r="AP22" s="8">
        <f t="shared" si="7"/>
        <v>10.3125</v>
      </c>
      <c r="AQ22" s="8">
        <f t="shared" si="36"/>
        <v>467.208</v>
      </c>
      <c r="AR22" s="8">
        <f t="shared" si="37"/>
        <v>37453.90961650099</v>
      </c>
    </row>
    <row r="23" spans="4:44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"/>
      <c r="P23" s="8"/>
      <c r="Q23" s="2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4:44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"/>
      <c r="P24" s="8"/>
      <c r="Q24" s="2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2.75">
      <c r="A25">
        <v>6</v>
      </c>
      <c r="B25">
        <v>29.66</v>
      </c>
      <c r="C25">
        <v>10.66</v>
      </c>
      <c r="D25" s="1">
        <f aca="true" t="shared" si="40" ref="D25:D40">C25*((0.5*150)+5+10+20)</f>
        <v>1172.6</v>
      </c>
      <c r="E25" s="1">
        <f aca="true" t="shared" si="41" ref="E25:E30">C25*80</f>
        <v>852.8</v>
      </c>
      <c r="F25" s="1">
        <f aca="true" t="shared" si="42" ref="F25:F53">C25*60</f>
        <v>639.6</v>
      </c>
      <c r="G25" s="1">
        <f aca="true" t="shared" si="43" ref="G25:G30">(1.2*D25)+(1.6*E25)</f>
        <v>2771.6</v>
      </c>
      <c r="H25" s="1">
        <f aca="true" t="shared" si="44" ref="H25:H53">(1.2*D25)+(1.6*F25)</f>
        <v>2430.48</v>
      </c>
      <c r="I25" s="1">
        <f aca="true" t="shared" si="45" ref="I25:I53">0.1*MAX(G25:H25)</f>
        <v>277.16</v>
      </c>
      <c r="J25" s="1">
        <f aca="true" t="shared" si="46" ref="J25:J53">0.2*MAX(G25:H25)</f>
        <v>554.32</v>
      </c>
      <c r="K25" s="1">
        <f aca="true" t="shared" si="47" ref="K25:K32">ROUND(((0.08*B25)*12),0)</f>
        <v>28</v>
      </c>
      <c r="L25" s="1">
        <f aca="true" t="shared" si="48" ref="L25:L32">ROUND(((0.1*B25)*12),0)</f>
        <v>36</v>
      </c>
      <c r="M25" s="1">
        <f aca="true" t="shared" si="49" ref="M25:N32">ROUND((0.5*K25),0)</f>
        <v>14</v>
      </c>
      <c r="N25" s="1">
        <f t="shared" si="49"/>
        <v>18</v>
      </c>
      <c r="O25" s="8">
        <f aca="true" t="shared" si="50" ref="O25:P32">(M25/12)*(K25/12)*150</f>
        <v>408.3333333333334</v>
      </c>
      <c r="P25" s="8">
        <f t="shared" si="50"/>
        <v>675</v>
      </c>
      <c r="Q25">
        <v>400</v>
      </c>
      <c r="R25" s="8">
        <f aca="true" t="shared" si="51" ref="R25:R30">(1.2*Q25)+G25</f>
        <v>3251.6</v>
      </c>
      <c r="S25" s="8">
        <f aca="true" t="shared" si="52" ref="S25:S53">(1.2*Q25)+H25</f>
        <v>2910.48</v>
      </c>
      <c r="T25" s="8">
        <f aca="true" t="shared" si="53" ref="T25:T30">(((5*R25)+(S25*(B25-5)))/1000)-U25</f>
        <v>44.72425575670937</v>
      </c>
      <c r="U25" s="8">
        <f aca="true" t="shared" si="54" ref="U25:U30">((5*2.5*R25)+((B25-5)*S25*(((B25-5)/2)+5)))/(B25*1000)</f>
        <v>43.30618104329062</v>
      </c>
      <c r="V25" s="8">
        <f aca="true" t="shared" si="55" ref="V25:V30">MAX(T25:U25)</f>
        <v>44.72425575670937</v>
      </c>
      <c r="W25" s="8">
        <f aca="true" t="shared" si="56" ref="W25:W30">(5*((T25+(T25-(5*(R25/1000))))/2))+((T25-(5*(R25/1000)))*0.5*((T25-(5*(R25/1000)))/(S25/1000)))</f>
        <v>322.1848830011311</v>
      </c>
      <c r="X25" s="8">
        <f aca="true" t="shared" si="57" ref="X25:X58">(B25/16)*12</f>
        <v>22.245</v>
      </c>
      <c r="Y25" s="8">
        <f aca="true" t="shared" si="58" ref="Y25:Y58">X25-2.5</f>
        <v>19.745</v>
      </c>
      <c r="Z25" s="8">
        <f aca="true" t="shared" si="59" ref="Z25:Z56">(60000/4000)*0.01</f>
        <v>0.15</v>
      </c>
      <c r="AA25" s="8">
        <f aca="true" t="shared" si="60" ref="AA25:AA56">4000*Z25*(1-(0.59*Z25))</f>
        <v>546.9</v>
      </c>
      <c r="AB25" s="8">
        <f>(12000*W25)/(AA25*0.9)</f>
        <v>7854.81521304641</v>
      </c>
      <c r="AC25" s="8">
        <f aca="true" t="shared" si="61" ref="AC25:AC52">AB25/(Y25^2)</f>
        <v>20.147524679974584</v>
      </c>
      <c r="AD25" s="8">
        <f aca="true" t="shared" si="62" ref="AD25:AD52">0.75*((((2*(4000^0.5)*AC25*Y25)+(8*(4000^0.5)*AC25*Y25)))/1000)</f>
        <v>188.6992150390027</v>
      </c>
      <c r="AE25" s="8">
        <f aca="true" t="shared" si="63" ref="AE25:AE62">(B25/4)*12</f>
        <v>88.98</v>
      </c>
      <c r="AF25" s="8">
        <f aca="true" t="shared" si="64" ref="AF25:AF40">((8*6)*2)+AC25</f>
        <v>116.14752467997458</v>
      </c>
      <c r="AG25" s="8">
        <f aca="true" t="shared" si="65" ref="AG25:AG52">C25*12</f>
        <v>127.92</v>
      </c>
      <c r="AH25" s="8">
        <f aca="true" t="shared" si="66" ref="AH25:AH52">(W25*12000)/(0.9*60000*0.95*Y25)</f>
        <v>3.816909846165879</v>
      </c>
      <c r="AI25" s="8">
        <f aca="true" t="shared" si="67" ref="AI25:AI52">(AH25*60000)/(0.85*4000*(MIN(AE25:AG25)))</f>
        <v>0.7569929487457616</v>
      </c>
      <c r="AJ25" s="8">
        <f aca="true" t="shared" si="68" ref="AJ25:AJ52">AI25/Y25</f>
        <v>0.03833846283847868</v>
      </c>
      <c r="AK25" s="8">
        <f aca="true" t="shared" si="69" ref="AK25:AK52">(W25*12000)/(0.9*60000*(Y25-(AI25/2)))</f>
        <v>3.6969316930222487</v>
      </c>
      <c r="AL25" s="8">
        <f aca="true" t="shared" si="70" ref="AL25:AL52">(3*(4000^0.5)*AC25*Y25)/60000</f>
        <v>1.2579947669266844</v>
      </c>
      <c r="AM25" s="8">
        <f aca="true" t="shared" si="71" ref="AM25:AM52">(200*AC25*Y25)/60000</f>
        <v>1.3260429160203273</v>
      </c>
      <c r="AN25" s="8">
        <f aca="true" t="shared" si="72" ref="AN25:AN52">ROUND(MAX(AK25:AM25),2)</f>
        <v>3.7</v>
      </c>
      <c r="AO25" s="8">
        <f aca="true" t="shared" si="73" ref="AO25:AO56">1.875</f>
        <v>1.875</v>
      </c>
      <c r="AP25" s="8">
        <f aca="true" t="shared" si="74" ref="AP25:AP56">(540/(0.6*60))-(2.5*AO25)</f>
        <v>10.3125</v>
      </c>
      <c r="AQ25" s="8">
        <f aca="true" t="shared" si="75" ref="AQ25:AQ52">AN25*(B25*12)</f>
        <v>1316.9040000000002</v>
      </c>
      <c r="AR25" s="8">
        <f aca="true" t="shared" si="76" ref="AR25:AR52">(X25-6)*AC25*(12*B25)</f>
        <v>116491.38395664853</v>
      </c>
    </row>
    <row r="26" spans="1:44" ht="12.75">
      <c r="A26">
        <v>7</v>
      </c>
      <c r="B26">
        <v>29.66</v>
      </c>
      <c r="C26">
        <v>10.02</v>
      </c>
      <c r="D26" s="1">
        <f t="shared" si="40"/>
        <v>1102.2</v>
      </c>
      <c r="E26" s="1">
        <f t="shared" si="41"/>
        <v>801.5999999999999</v>
      </c>
      <c r="F26" s="1">
        <f t="shared" si="42"/>
        <v>601.1999999999999</v>
      </c>
      <c r="G26" s="1">
        <f t="shared" si="43"/>
        <v>2605.2</v>
      </c>
      <c r="H26" s="1">
        <f t="shared" si="44"/>
        <v>2284.56</v>
      </c>
      <c r="I26" s="1">
        <f t="shared" si="45"/>
        <v>260.52</v>
      </c>
      <c r="J26" s="1">
        <f t="shared" si="46"/>
        <v>521.04</v>
      </c>
      <c r="K26" s="1">
        <f t="shared" si="47"/>
        <v>28</v>
      </c>
      <c r="L26" s="1">
        <f t="shared" si="48"/>
        <v>36</v>
      </c>
      <c r="M26" s="1">
        <f t="shared" si="49"/>
        <v>14</v>
      </c>
      <c r="N26" s="1">
        <f t="shared" si="49"/>
        <v>18</v>
      </c>
      <c r="O26" s="8">
        <f t="shared" si="50"/>
        <v>408.3333333333334</v>
      </c>
      <c r="P26" s="8">
        <f t="shared" si="50"/>
        <v>675</v>
      </c>
      <c r="Q26">
        <v>400</v>
      </c>
      <c r="R26" s="8">
        <f t="shared" si="51"/>
        <v>3085.2</v>
      </c>
      <c r="S26" s="8">
        <f t="shared" si="52"/>
        <v>2764.56</v>
      </c>
      <c r="T26" s="8">
        <f t="shared" si="53"/>
        <v>42.46649330977749</v>
      </c>
      <c r="U26" s="8">
        <f t="shared" si="54"/>
        <v>41.133556290222515</v>
      </c>
      <c r="V26" s="8">
        <f t="shared" si="55"/>
        <v>42.46649330977749</v>
      </c>
      <c r="W26" s="8">
        <f t="shared" si="56"/>
        <v>306.01062250067025</v>
      </c>
      <c r="X26" s="8">
        <f t="shared" si="57"/>
        <v>22.245</v>
      </c>
      <c r="Y26" s="8">
        <f t="shared" si="58"/>
        <v>19.745</v>
      </c>
      <c r="Z26" s="8">
        <f t="shared" si="59"/>
        <v>0.15</v>
      </c>
      <c r="AA26" s="8">
        <f t="shared" si="60"/>
        <v>546.9</v>
      </c>
      <c r="AB26" s="8">
        <f aca="true" t="shared" si="77" ref="AB26:AB52">(12000*W26)/AA26</f>
        <v>6714.4404278808615</v>
      </c>
      <c r="AC26" s="8">
        <f t="shared" si="61"/>
        <v>17.222474439405946</v>
      </c>
      <c r="AD26" s="8">
        <f t="shared" si="62"/>
        <v>161.30355760156283</v>
      </c>
      <c r="AE26" s="8">
        <f t="shared" si="63"/>
        <v>88.98</v>
      </c>
      <c r="AF26" s="8">
        <f t="shared" si="64"/>
        <v>113.22247443940594</v>
      </c>
      <c r="AG26" s="8">
        <f t="shared" si="65"/>
        <v>120.24</v>
      </c>
      <c r="AH26" s="8">
        <f t="shared" si="66"/>
        <v>3.6252941080729033</v>
      </c>
      <c r="AI26" s="8">
        <f t="shared" si="67"/>
        <v>0.7189905414447866</v>
      </c>
      <c r="AJ26" s="8">
        <f t="shared" si="68"/>
        <v>0.036413803061270525</v>
      </c>
      <c r="AK26" s="8">
        <f t="shared" si="69"/>
        <v>3.507897344194586</v>
      </c>
      <c r="AL26" s="8">
        <f t="shared" si="70"/>
        <v>1.0753570506770858</v>
      </c>
      <c r="AM26" s="8">
        <f t="shared" si="71"/>
        <v>1.1335258593535682</v>
      </c>
      <c r="AN26" s="8">
        <f t="shared" si="72"/>
        <v>3.51</v>
      </c>
      <c r="AO26" s="8">
        <f t="shared" si="73"/>
        <v>1.875</v>
      </c>
      <c r="AP26" s="8">
        <f t="shared" si="74"/>
        <v>10.3125</v>
      </c>
      <c r="AQ26" s="8">
        <f t="shared" si="75"/>
        <v>1249.2792</v>
      </c>
      <c r="AR26" s="8">
        <f t="shared" si="76"/>
        <v>99578.97629967981</v>
      </c>
    </row>
    <row r="27" spans="1:44" ht="12.75">
      <c r="A27">
        <v>8</v>
      </c>
      <c r="B27">
        <v>29.66</v>
      </c>
      <c r="C27">
        <v>10.38</v>
      </c>
      <c r="D27" s="1">
        <f t="shared" si="40"/>
        <v>1141.8000000000002</v>
      </c>
      <c r="E27" s="1">
        <f t="shared" si="41"/>
        <v>830.4000000000001</v>
      </c>
      <c r="F27" s="1">
        <f t="shared" si="42"/>
        <v>622.8000000000001</v>
      </c>
      <c r="G27" s="1">
        <f t="shared" si="43"/>
        <v>2698.8</v>
      </c>
      <c r="H27" s="1">
        <f t="shared" si="44"/>
        <v>2366.6400000000003</v>
      </c>
      <c r="I27" s="1">
        <f t="shared" si="45"/>
        <v>269.88000000000005</v>
      </c>
      <c r="J27" s="1">
        <f t="shared" si="46"/>
        <v>539.7600000000001</v>
      </c>
      <c r="K27" s="1">
        <f t="shared" si="47"/>
        <v>28</v>
      </c>
      <c r="L27" s="1">
        <f t="shared" si="48"/>
        <v>36</v>
      </c>
      <c r="M27" s="1">
        <f t="shared" si="49"/>
        <v>14</v>
      </c>
      <c r="N27" s="1">
        <f t="shared" si="49"/>
        <v>18</v>
      </c>
      <c r="O27" s="8">
        <f t="shared" si="50"/>
        <v>408.3333333333334</v>
      </c>
      <c r="P27" s="8">
        <f t="shared" si="50"/>
        <v>675</v>
      </c>
      <c r="Q27">
        <v>400</v>
      </c>
      <c r="R27" s="8">
        <f t="shared" si="51"/>
        <v>3178.8</v>
      </c>
      <c r="S27" s="8">
        <f t="shared" si="52"/>
        <v>2846.6400000000003</v>
      </c>
      <c r="T27" s="8">
        <f t="shared" si="53"/>
        <v>43.73648468617668</v>
      </c>
      <c r="U27" s="8">
        <f t="shared" si="54"/>
        <v>42.355657713823334</v>
      </c>
      <c r="V27" s="8">
        <f t="shared" si="55"/>
        <v>43.73648468617668</v>
      </c>
      <c r="W27" s="8">
        <f t="shared" si="56"/>
        <v>315.1086439399718</v>
      </c>
      <c r="X27" s="8">
        <f t="shared" si="57"/>
        <v>22.245</v>
      </c>
      <c r="Y27" s="8">
        <f t="shared" si="58"/>
        <v>19.745</v>
      </c>
      <c r="Z27" s="8">
        <f t="shared" si="59"/>
        <v>0.15</v>
      </c>
      <c r="AA27" s="8">
        <f t="shared" si="60"/>
        <v>546.9</v>
      </c>
      <c r="AB27" s="8">
        <f t="shared" si="77"/>
        <v>6914.067886779414</v>
      </c>
      <c r="AC27" s="8">
        <f t="shared" si="61"/>
        <v>17.734516931287725</v>
      </c>
      <c r="AD27" s="8">
        <f t="shared" si="62"/>
        <v>166.0992840155746</v>
      </c>
      <c r="AE27" s="8">
        <f t="shared" si="63"/>
        <v>88.98</v>
      </c>
      <c r="AF27" s="8">
        <f t="shared" si="64"/>
        <v>113.73451693128773</v>
      </c>
      <c r="AG27" s="8">
        <f t="shared" si="65"/>
        <v>124.56</v>
      </c>
      <c r="AH27" s="8">
        <f t="shared" si="66"/>
        <v>3.733077959657822</v>
      </c>
      <c r="AI27" s="8">
        <f t="shared" si="67"/>
        <v>0.7403668953349375</v>
      </c>
      <c r="AJ27" s="8">
        <f t="shared" si="68"/>
        <v>0.03749642417497784</v>
      </c>
      <c r="AK27" s="8">
        <f t="shared" si="69"/>
        <v>3.614183541229003</v>
      </c>
      <c r="AL27" s="8">
        <f t="shared" si="70"/>
        <v>1.1073285601038303</v>
      </c>
      <c r="AM27" s="8">
        <f t="shared" si="71"/>
        <v>1.1672267893609205</v>
      </c>
      <c r="AN27" s="8">
        <f t="shared" si="72"/>
        <v>3.61</v>
      </c>
      <c r="AO27" s="8">
        <f t="shared" si="73"/>
        <v>1.875</v>
      </c>
      <c r="AP27" s="8">
        <f t="shared" si="74"/>
        <v>10.3125</v>
      </c>
      <c r="AQ27" s="8">
        <f t="shared" si="75"/>
        <v>1284.8712</v>
      </c>
      <c r="AR27" s="8">
        <f t="shared" si="76"/>
        <v>102539.56522915792</v>
      </c>
    </row>
    <row r="28" spans="1:44" ht="12.75">
      <c r="A28">
        <v>9</v>
      </c>
      <c r="B28">
        <v>29.66</v>
      </c>
      <c r="C28">
        <v>9.69</v>
      </c>
      <c r="D28" s="1">
        <f t="shared" si="40"/>
        <v>1065.8999999999999</v>
      </c>
      <c r="E28" s="1">
        <f t="shared" si="41"/>
        <v>775.1999999999999</v>
      </c>
      <c r="F28" s="1">
        <f t="shared" si="42"/>
        <v>581.4</v>
      </c>
      <c r="G28" s="1">
        <f t="shared" si="43"/>
        <v>2519.3999999999996</v>
      </c>
      <c r="H28" s="1">
        <f t="shared" si="44"/>
        <v>2209.3199999999997</v>
      </c>
      <c r="I28" s="1">
        <f t="shared" si="45"/>
        <v>251.93999999999997</v>
      </c>
      <c r="J28" s="1">
        <f t="shared" si="46"/>
        <v>503.87999999999994</v>
      </c>
      <c r="K28" s="1">
        <f t="shared" si="47"/>
        <v>28</v>
      </c>
      <c r="L28" s="1">
        <f t="shared" si="48"/>
        <v>36</v>
      </c>
      <c r="M28" s="1">
        <f t="shared" si="49"/>
        <v>14</v>
      </c>
      <c r="N28" s="1">
        <f t="shared" si="49"/>
        <v>18</v>
      </c>
      <c r="O28" s="8">
        <f t="shared" si="50"/>
        <v>408.3333333333334</v>
      </c>
      <c r="P28" s="8">
        <f t="shared" si="50"/>
        <v>675</v>
      </c>
      <c r="Q28">
        <v>400</v>
      </c>
      <c r="R28" s="8">
        <f t="shared" si="51"/>
        <v>2999.3999999999996</v>
      </c>
      <c r="S28" s="8">
        <f t="shared" si="52"/>
        <v>2689.3199999999997</v>
      </c>
      <c r="T28" s="8">
        <f t="shared" si="53"/>
        <v>41.302334548078214</v>
      </c>
      <c r="U28" s="8">
        <f t="shared" si="54"/>
        <v>40.01329665192177</v>
      </c>
      <c r="V28" s="8">
        <f t="shared" si="55"/>
        <v>41.302334548078214</v>
      </c>
      <c r="W28" s="8">
        <f t="shared" si="56"/>
        <v>297.67076974006335</v>
      </c>
      <c r="X28" s="8">
        <f t="shared" si="57"/>
        <v>22.245</v>
      </c>
      <c r="Y28" s="8">
        <f t="shared" si="58"/>
        <v>19.745</v>
      </c>
      <c r="Z28" s="8">
        <f t="shared" si="59"/>
        <v>0.15</v>
      </c>
      <c r="AA28" s="8">
        <f t="shared" si="60"/>
        <v>546.9</v>
      </c>
      <c r="AB28" s="8">
        <f t="shared" si="77"/>
        <v>6531.448595503311</v>
      </c>
      <c r="AC28" s="8">
        <f t="shared" si="61"/>
        <v>16.753102167867738</v>
      </c>
      <c r="AD28" s="8">
        <f t="shared" si="62"/>
        <v>156.90747517420806</v>
      </c>
      <c r="AE28" s="8">
        <f t="shared" si="63"/>
        <v>88.98</v>
      </c>
      <c r="AF28" s="8">
        <f t="shared" si="64"/>
        <v>112.75310216786774</v>
      </c>
      <c r="AG28" s="8">
        <f t="shared" si="65"/>
        <v>116.28</v>
      </c>
      <c r="AH28" s="8">
        <f t="shared" si="66"/>
        <v>3.5264922467905957</v>
      </c>
      <c r="AI28" s="8">
        <f t="shared" si="67"/>
        <v>0.6993955509084517</v>
      </c>
      <c r="AJ28" s="8">
        <f t="shared" si="68"/>
        <v>0.03542140040052933</v>
      </c>
      <c r="AK28" s="8">
        <f t="shared" si="69"/>
        <v>3.410571239179825</v>
      </c>
      <c r="AL28" s="8">
        <f t="shared" si="70"/>
        <v>1.0460498344947202</v>
      </c>
      <c r="AM28" s="8">
        <f t="shared" si="71"/>
        <v>1.1026333410151616</v>
      </c>
      <c r="AN28" s="8">
        <f t="shared" si="72"/>
        <v>3.41</v>
      </c>
      <c r="AO28" s="8">
        <f t="shared" si="73"/>
        <v>1.875</v>
      </c>
      <c r="AP28" s="8">
        <f t="shared" si="74"/>
        <v>10.3125</v>
      </c>
      <c r="AQ28" s="8">
        <f t="shared" si="75"/>
        <v>1213.6872</v>
      </c>
      <c r="AR28" s="8">
        <f t="shared" si="76"/>
        <v>96865.10318767872</v>
      </c>
    </row>
    <row r="29" spans="1:44" ht="12.75">
      <c r="A29">
        <v>10</v>
      </c>
      <c r="B29">
        <v>29.66</v>
      </c>
      <c r="C29">
        <v>8</v>
      </c>
      <c r="D29" s="1">
        <f t="shared" si="40"/>
        <v>880</v>
      </c>
      <c r="E29" s="1">
        <f t="shared" si="41"/>
        <v>640</v>
      </c>
      <c r="F29" s="1">
        <f t="shared" si="42"/>
        <v>480</v>
      </c>
      <c r="G29" s="1">
        <f t="shared" si="43"/>
        <v>2080</v>
      </c>
      <c r="H29" s="1">
        <f t="shared" si="44"/>
        <v>1824</v>
      </c>
      <c r="I29" s="1">
        <f t="shared" si="45"/>
        <v>208</v>
      </c>
      <c r="J29" s="1">
        <f t="shared" si="46"/>
        <v>416</v>
      </c>
      <c r="K29" s="1">
        <f t="shared" si="47"/>
        <v>28</v>
      </c>
      <c r="L29" s="1">
        <f t="shared" si="48"/>
        <v>36</v>
      </c>
      <c r="M29" s="1">
        <f t="shared" si="49"/>
        <v>14</v>
      </c>
      <c r="N29" s="1">
        <f t="shared" si="49"/>
        <v>18</v>
      </c>
      <c r="O29" s="8">
        <f t="shared" si="50"/>
        <v>408.3333333333334</v>
      </c>
      <c r="P29" s="8">
        <f t="shared" si="50"/>
        <v>675</v>
      </c>
      <c r="Q29">
        <v>400</v>
      </c>
      <c r="R29" s="8">
        <f t="shared" si="51"/>
        <v>2560</v>
      </c>
      <c r="S29" s="8">
        <f t="shared" si="52"/>
        <v>2304</v>
      </c>
      <c r="T29" s="8">
        <f t="shared" si="53"/>
        <v>35.340430586648694</v>
      </c>
      <c r="U29" s="8">
        <f t="shared" si="54"/>
        <v>34.27620941335131</v>
      </c>
      <c r="V29" s="8">
        <f t="shared" si="55"/>
        <v>35.340430586648694</v>
      </c>
      <c r="W29" s="8">
        <f t="shared" si="56"/>
        <v>254.96061886890493</v>
      </c>
      <c r="X29" s="8">
        <f t="shared" si="57"/>
        <v>22.245</v>
      </c>
      <c r="Y29" s="8">
        <f t="shared" si="58"/>
        <v>19.745</v>
      </c>
      <c r="Z29" s="8">
        <f t="shared" si="59"/>
        <v>0.15</v>
      </c>
      <c r="AA29" s="8">
        <f t="shared" si="60"/>
        <v>546.9</v>
      </c>
      <c r="AB29" s="8">
        <f t="shared" si="77"/>
        <v>5594.308697068676</v>
      </c>
      <c r="AC29" s="8">
        <f t="shared" si="61"/>
        <v>14.349347436510048</v>
      </c>
      <c r="AD29" s="8">
        <f t="shared" si="62"/>
        <v>134.39420676241542</v>
      </c>
      <c r="AE29" s="8">
        <f t="shared" si="63"/>
        <v>88.98</v>
      </c>
      <c r="AF29" s="8">
        <f t="shared" si="64"/>
        <v>110.34934743651004</v>
      </c>
      <c r="AG29" s="8">
        <f t="shared" si="65"/>
        <v>96</v>
      </c>
      <c r="AH29" s="8">
        <f t="shared" si="66"/>
        <v>3.020507006661305</v>
      </c>
      <c r="AI29" s="8">
        <f t="shared" si="67"/>
        <v>0.5990454576695302</v>
      </c>
      <c r="AJ29" s="8">
        <f t="shared" si="68"/>
        <v>0.0303390963620932</v>
      </c>
      <c r="AK29" s="8">
        <f t="shared" si="69"/>
        <v>2.913680878803443</v>
      </c>
      <c r="AL29" s="8">
        <f t="shared" si="70"/>
        <v>0.8959613784161027</v>
      </c>
      <c r="AM29" s="8">
        <f t="shared" si="71"/>
        <v>0.9444262171129696</v>
      </c>
      <c r="AN29" s="8">
        <f t="shared" si="72"/>
        <v>2.91</v>
      </c>
      <c r="AO29" s="8">
        <f t="shared" si="73"/>
        <v>1.875</v>
      </c>
      <c r="AP29" s="8">
        <f t="shared" si="74"/>
        <v>10.3125</v>
      </c>
      <c r="AQ29" s="8">
        <f t="shared" si="75"/>
        <v>1035.7272</v>
      </c>
      <c r="AR29" s="8">
        <f t="shared" si="76"/>
        <v>82966.78466984516</v>
      </c>
    </row>
    <row r="30" spans="1:44" ht="12.75">
      <c r="A30">
        <v>11</v>
      </c>
      <c r="B30">
        <v>29.66</v>
      </c>
      <c r="C30">
        <v>8</v>
      </c>
      <c r="D30" s="1">
        <f t="shared" si="40"/>
        <v>880</v>
      </c>
      <c r="E30" s="1">
        <f t="shared" si="41"/>
        <v>640</v>
      </c>
      <c r="F30" s="1">
        <f t="shared" si="42"/>
        <v>480</v>
      </c>
      <c r="G30" s="1">
        <f t="shared" si="43"/>
        <v>2080</v>
      </c>
      <c r="H30" s="1">
        <f t="shared" si="44"/>
        <v>1824</v>
      </c>
      <c r="I30" s="1">
        <f t="shared" si="45"/>
        <v>208</v>
      </c>
      <c r="J30" s="1">
        <f t="shared" si="46"/>
        <v>416</v>
      </c>
      <c r="K30" s="1">
        <f t="shared" si="47"/>
        <v>28</v>
      </c>
      <c r="L30" s="1">
        <f t="shared" si="48"/>
        <v>36</v>
      </c>
      <c r="M30" s="1">
        <f t="shared" si="49"/>
        <v>14</v>
      </c>
      <c r="N30" s="1">
        <f t="shared" si="49"/>
        <v>18</v>
      </c>
      <c r="O30" s="8">
        <f t="shared" si="50"/>
        <v>408.3333333333334</v>
      </c>
      <c r="P30" s="8">
        <f t="shared" si="50"/>
        <v>675</v>
      </c>
      <c r="Q30">
        <v>400</v>
      </c>
      <c r="R30" s="8">
        <f t="shared" si="51"/>
        <v>2560</v>
      </c>
      <c r="S30" s="8">
        <f t="shared" si="52"/>
        <v>2304</v>
      </c>
      <c r="T30" s="8">
        <f t="shared" si="53"/>
        <v>35.340430586648694</v>
      </c>
      <c r="U30" s="8">
        <f t="shared" si="54"/>
        <v>34.27620941335131</v>
      </c>
      <c r="V30" s="8">
        <f t="shared" si="55"/>
        <v>35.340430586648694</v>
      </c>
      <c r="W30" s="8">
        <f t="shared" si="56"/>
        <v>254.96061886890493</v>
      </c>
      <c r="X30" s="8">
        <f t="shared" si="57"/>
        <v>22.245</v>
      </c>
      <c r="Y30" s="8">
        <f t="shared" si="58"/>
        <v>19.745</v>
      </c>
      <c r="Z30" s="8">
        <f t="shared" si="59"/>
        <v>0.15</v>
      </c>
      <c r="AA30" s="8">
        <f t="shared" si="60"/>
        <v>546.9</v>
      </c>
      <c r="AB30" s="8">
        <f t="shared" si="77"/>
        <v>5594.308697068676</v>
      </c>
      <c r="AC30" s="8">
        <f t="shared" si="61"/>
        <v>14.349347436510048</v>
      </c>
      <c r="AD30" s="8">
        <f t="shared" si="62"/>
        <v>134.39420676241542</v>
      </c>
      <c r="AE30" s="8">
        <f t="shared" si="63"/>
        <v>88.98</v>
      </c>
      <c r="AF30" s="8">
        <f t="shared" si="64"/>
        <v>110.34934743651004</v>
      </c>
      <c r="AG30" s="8">
        <f t="shared" si="65"/>
        <v>96</v>
      </c>
      <c r="AH30" s="8">
        <f t="shared" si="66"/>
        <v>3.020507006661305</v>
      </c>
      <c r="AI30" s="8">
        <f t="shared" si="67"/>
        <v>0.5990454576695302</v>
      </c>
      <c r="AJ30" s="8">
        <f t="shared" si="68"/>
        <v>0.0303390963620932</v>
      </c>
      <c r="AK30" s="8">
        <f t="shared" si="69"/>
        <v>2.913680878803443</v>
      </c>
      <c r="AL30" s="8">
        <f t="shared" si="70"/>
        <v>0.8959613784161027</v>
      </c>
      <c r="AM30" s="8">
        <f t="shared" si="71"/>
        <v>0.9444262171129696</v>
      </c>
      <c r="AN30" s="8">
        <f t="shared" si="72"/>
        <v>2.91</v>
      </c>
      <c r="AO30" s="8">
        <f t="shared" si="73"/>
        <v>1.875</v>
      </c>
      <c r="AP30" s="8">
        <f t="shared" si="74"/>
        <v>10.3125</v>
      </c>
      <c r="AQ30" s="8">
        <f t="shared" si="75"/>
        <v>1035.7272</v>
      </c>
      <c r="AR30" s="8">
        <f t="shared" si="76"/>
        <v>82966.78466984516</v>
      </c>
    </row>
    <row r="31" spans="1:44" ht="12.75">
      <c r="A31">
        <v>22</v>
      </c>
      <c r="B31">
        <v>22.5</v>
      </c>
      <c r="C31">
        <v>6.46</v>
      </c>
      <c r="D31" s="1">
        <f t="shared" si="40"/>
        <v>710.6</v>
      </c>
      <c r="E31" s="1">
        <v>0</v>
      </c>
      <c r="F31" s="1">
        <f t="shared" si="42"/>
        <v>387.6</v>
      </c>
      <c r="G31" s="1">
        <v>0</v>
      </c>
      <c r="H31" s="1">
        <f t="shared" si="44"/>
        <v>1472.88</v>
      </c>
      <c r="I31" s="1">
        <f t="shared" si="45"/>
        <v>147.288</v>
      </c>
      <c r="J31" s="1">
        <f t="shared" si="46"/>
        <v>294.576</v>
      </c>
      <c r="K31" s="1">
        <f t="shared" si="47"/>
        <v>22</v>
      </c>
      <c r="L31" s="1">
        <f t="shared" si="48"/>
        <v>27</v>
      </c>
      <c r="M31" s="1">
        <f t="shared" si="49"/>
        <v>11</v>
      </c>
      <c r="N31" s="1">
        <f t="shared" si="49"/>
        <v>14</v>
      </c>
      <c r="O31" s="8">
        <f t="shared" si="50"/>
        <v>252.08333333333331</v>
      </c>
      <c r="P31" s="8">
        <f t="shared" si="50"/>
        <v>393.75</v>
      </c>
      <c r="Q31">
        <v>300</v>
      </c>
      <c r="R31" s="8">
        <v>0</v>
      </c>
      <c r="S31" s="8">
        <f t="shared" si="52"/>
        <v>1832.88</v>
      </c>
      <c r="T31" s="8"/>
      <c r="U31" s="8"/>
      <c r="V31" s="8">
        <f>(S31*B31)/2000</f>
        <v>20.6199</v>
      </c>
      <c r="W31" s="8">
        <f>(0.5*B31)*V31*0.5</f>
        <v>115.98693750000001</v>
      </c>
      <c r="X31" s="8">
        <f t="shared" si="57"/>
        <v>16.875</v>
      </c>
      <c r="Y31" s="8">
        <f t="shared" si="58"/>
        <v>14.375</v>
      </c>
      <c r="Z31" s="8">
        <f t="shared" si="59"/>
        <v>0.15</v>
      </c>
      <c r="AA31" s="8">
        <f t="shared" si="60"/>
        <v>546.9</v>
      </c>
      <c r="AB31" s="8">
        <f t="shared" si="77"/>
        <v>2544.968458584751</v>
      </c>
      <c r="AC31" s="8">
        <f t="shared" si="61"/>
        <v>12.315915413945108</v>
      </c>
      <c r="AD31" s="8">
        <f t="shared" si="62"/>
        <v>83.97805463390308</v>
      </c>
      <c r="AE31" s="8">
        <f t="shared" si="63"/>
        <v>67.5</v>
      </c>
      <c r="AF31" s="8">
        <f t="shared" si="64"/>
        <v>108.3159154139451</v>
      </c>
      <c r="AG31" s="8">
        <f t="shared" si="65"/>
        <v>77.52</v>
      </c>
      <c r="AH31" s="8">
        <f t="shared" si="66"/>
        <v>1.887405034324943</v>
      </c>
      <c r="AI31" s="8">
        <f t="shared" si="67"/>
        <v>0.49343922466011586</v>
      </c>
      <c r="AJ31" s="8">
        <f t="shared" si="68"/>
        <v>0.03432620693287763</v>
      </c>
      <c r="AK31" s="8">
        <f t="shared" si="69"/>
        <v>1.8243462256379268</v>
      </c>
      <c r="AL31" s="8">
        <f t="shared" si="70"/>
        <v>0.5598536975593539</v>
      </c>
      <c r="AM31" s="8">
        <f t="shared" si="71"/>
        <v>0.5901376135848698</v>
      </c>
      <c r="AN31" s="8">
        <f t="shared" si="72"/>
        <v>1.82</v>
      </c>
      <c r="AO31" s="8">
        <f t="shared" si="73"/>
        <v>1.875</v>
      </c>
      <c r="AP31" s="8">
        <f t="shared" si="74"/>
        <v>10.3125</v>
      </c>
      <c r="AQ31" s="8">
        <f t="shared" si="75"/>
        <v>491.40000000000003</v>
      </c>
      <c r="AR31" s="8">
        <f t="shared" si="76"/>
        <v>36162.60663419632</v>
      </c>
    </row>
    <row r="32" spans="1:44" ht="12.75">
      <c r="A32" s="6" t="s">
        <v>125</v>
      </c>
      <c r="B32">
        <v>22.5</v>
      </c>
      <c r="C32">
        <v>7.07</v>
      </c>
      <c r="D32" s="1">
        <f t="shared" si="40"/>
        <v>777.7</v>
      </c>
      <c r="E32" s="1">
        <v>0</v>
      </c>
      <c r="F32" s="1">
        <f t="shared" si="42"/>
        <v>424.20000000000005</v>
      </c>
      <c r="G32" s="1">
        <v>0</v>
      </c>
      <c r="H32" s="1">
        <f t="shared" si="44"/>
        <v>1611.96</v>
      </c>
      <c r="I32" s="1">
        <f t="shared" si="45"/>
        <v>161.19600000000003</v>
      </c>
      <c r="J32" s="1">
        <f t="shared" si="46"/>
        <v>322.39200000000005</v>
      </c>
      <c r="K32" s="1">
        <f t="shared" si="47"/>
        <v>22</v>
      </c>
      <c r="L32" s="1">
        <f t="shared" si="48"/>
        <v>27</v>
      </c>
      <c r="M32" s="1">
        <f t="shared" si="49"/>
        <v>11</v>
      </c>
      <c r="N32" s="1">
        <f t="shared" si="49"/>
        <v>14</v>
      </c>
      <c r="O32" s="8">
        <f t="shared" si="50"/>
        <v>252.08333333333331</v>
      </c>
      <c r="P32" s="8">
        <f t="shared" si="50"/>
        <v>393.75</v>
      </c>
      <c r="Q32">
        <v>300</v>
      </c>
      <c r="R32" s="8">
        <v>0</v>
      </c>
      <c r="S32" s="8">
        <f t="shared" si="52"/>
        <v>1971.96</v>
      </c>
      <c r="T32" s="8"/>
      <c r="U32" s="8"/>
      <c r="V32" s="8">
        <f aca="true" t="shared" si="78" ref="V32:V88">(S32*B32)/2000</f>
        <v>22.184549999999998</v>
      </c>
      <c r="W32" s="8">
        <f aca="true" t="shared" si="79" ref="W32:W88">(0.5*B32)*V32*0.5</f>
        <v>124.78809374999999</v>
      </c>
      <c r="X32" s="8">
        <f t="shared" si="57"/>
        <v>16.875</v>
      </c>
      <c r="Y32" s="8">
        <f t="shared" si="58"/>
        <v>14.375</v>
      </c>
      <c r="Z32" s="8">
        <f t="shared" si="59"/>
        <v>0.15</v>
      </c>
      <c r="AA32" s="8">
        <f t="shared" si="60"/>
        <v>546.9</v>
      </c>
      <c r="AB32" s="8">
        <f t="shared" si="77"/>
        <v>2738.0821448162365</v>
      </c>
      <c r="AC32" s="8">
        <f t="shared" si="61"/>
        <v>13.250454235783677</v>
      </c>
      <c r="AD32" s="8">
        <f t="shared" si="62"/>
        <v>90.35035824269535</v>
      </c>
      <c r="AE32" s="8">
        <f t="shared" si="63"/>
        <v>67.5</v>
      </c>
      <c r="AF32" s="8">
        <f t="shared" si="64"/>
        <v>109.25045423578368</v>
      </c>
      <c r="AG32" s="8">
        <f t="shared" si="65"/>
        <v>84.84</v>
      </c>
      <c r="AH32" s="8">
        <f t="shared" si="66"/>
        <v>2.03062242562929</v>
      </c>
      <c r="AI32" s="8">
        <f t="shared" si="67"/>
        <v>0.5308816799030824</v>
      </c>
      <c r="AJ32" s="8">
        <f t="shared" si="68"/>
        <v>0.03693089947151878</v>
      </c>
      <c r="AK32" s="8">
        <f t="shared" si="69"/>
        <v>1.9653829850701554</v>
      </c>
      <c r="AL32" s="8">
        <f t="shared" si="70"/>
        <v>0.602335721617969</v>
      </c>
      <c r="AM32" s="8">
        <f t="shared" si="71"/>
        <v>0.6349175987979678</v>
      </c>
      <c r="AN32" s="8">
        <f t="shared" si="72"/>
        <v>1.97</v>
      </c>
      <c r="AO32" s="8">
        <f t="shared" si="73"/>
        <v>1.875</v>
      </c>
      <c r="AP32" s="8">
        <f t="shared" si="74"/>
        <v>10.3125</v>
      </c>
      <c r="AQ32" s="8">
        <f t="shared" si="75"/>
        <v>531.9</v>
      </c>
      <c r="AR32" s="8">
        <f t="shared" si="76"/>
        <v>38906.64624981982</v>
      </c>
    </row>
    <row r="33" spans="1:44" ht="12.75">
      <c r="A33" s="6" t="s">
        <v>126</v>
      </c>
      <c r="B33">
        <v>22.5</v>
      </c>
      <c r="C33">
        <v>7.07</v>
      </c>
      <c r="D33" s="1">
        <f t="shared" si="40"/>
        <v>777.7</v>
      </c>
      <c r="E33" s="1">
        <v>0</v>
      </c>
      <c r="F33" s="1">
        <f>C33*60</f>
        <v>424.20000000000005</v>
      </c>
      <c r="G33" s="1">
        <v>0</v>
      </c>
      <c r="H33" s="1">
        <f>(1.2*D33)+(1.6*F33)</f>
        <v>1611.96</v>
      </c>
      <c r="I33" s="1">
        <f>0.1*MAX(G33:H33)</f>
        <v>161.19600000000003</v>
      </c>
      <c r="J33" s="1">
        <f>0.2*MAX(G33:H33)</f>
        <v>322.39200000000005</v>
      </c>
      <c r="K33" s="1">
        <f>ROUND(((0.08*B33)*12),0)</f>
        <v>22</v>
      </c>
      <c r="L33" s="1">
        <f>ROUND(((0.1*B33)*12),0)</f>
        <v>27</v>
      </c>
      <c r="M33" s="1">
        <f>ROUND((0.5*K33),0)</f>
        <v>11</v>
      </c>
      <c r="N33" s="1">
        <f>ROUND((0.5*L33),0)</f>
        <v>14</v>
      </c>
      <c r="O33" s="8">
        <f>(M33/12)*(K33/12)*150</f>
        <v>252.08333333333331</v>
      </c>
      <c r="P33" s="8">
        <f>(N33/12)*(L33/12)*150</f>
        <v>393.75</v>
      </c>
      <c r="Q33">
        <v>300</v>
      </c>
      <c r="R33" s="8">
        <v>0</v>
      </c>
      <c r="S33" s="8">
        <f>(1.2*Q33)+H33</f>
        <v>1971.96</v>
      </c>
      <c r="T33" s="8"/>
      <c r="U33" s="8"/>
      <c r="V33" s="8">
        <f>(S33*B33)/2000</f>
        <v>22.184549999999998</v>
      </c>
      <c r="W33" s="8">
        <v>611</v>
      </c>
      <c r="X33" s="8">
        <f>(B33/16)*12</f>
        <v>16.875</v>
      </c>
      <c r="Y33" s="8">
        <f t="shared" si="58"/>
        <v>14.375</v>
      </c>
      <c r="Z33" s="8">
        <f t="shared" si="59"/>
        <v>0.15</v>
      </c>
      <c r="AA33" s="8">
        <f t="shared" si="60"/>
        <v>546.9</v>
      </c>
      <c r="AB33" s="8">
        <f>(12000*W33)/AA33</f>
        <v>13406.472846955568</v>
      </c>
      <c r="AC33" s="8">
        <f>AB33/(Y33^2)</f>
        <v>64.87820508167535</v>
      </c>
      <c r="AD33" s="8">
        <f>0.75*((((2*(4000^0.5)*AC33*Y33)+(8*(4000^0.5)*AC33*Y33)))/1000)</f>
        <v>442.3825000234599</v>
      </c>
      <c r="AE33" s="8">
        <f>(B33/4)*12</f>
        <v>67.5</v>
      </c>
      <c r="AF33" s="8">
        <f>((8*6)*2)+AC33</f>
        <v>160.87820508167533</v>
      </c>
      <c r="AG33" s="8">
        <f>C33*12</f>
        <v>84.84</v>
      </c>
      <c r="AH33" s="8">
        <f>(W33*12000)/(0.9*60000*0.95*Y33)</f>
        <v>9.942537503178235</v>
      </c>
      <c r="AI33" s="8">
        <f>(AH33*60000)/(0.85*4000*(MIN(AE33:AG33)))</f>
        <v>2.599356209981238</v>
      </c>
      <c r="AJ33" s="8">
        <f>AI33/Y33</f>
        <v>0.18082477982478176</v>
      </c>
      <c r="AK33" s="8">
        <f>(W33*12000)/(0.9*60000*(Y33-(AI33/2)))</f>
        <v>10.384278021453664</v>
      </c>
      <c r="AL33" s="8">
        <f>(3*(4000^0.5)*AC33*Y33)/60000</f>
        <v>2.949216666823066</v>
      </c>
      <c r="AM33" s="8">
        <f>(200*AC33*Y33)/60000</f>
        <v>3.108747326830277</v>
      </c>
      <c r="AN33" s="8">
        <f>ROUND(MAX(AK33:AM33),2)</f>
        <v>10.38</v>
      </c>
      <c r="AO33" s="8">
        <f t="shared" si="73"/>
        <v>1.875</v>
      </c>
      <c r="AP33" s="8">
        <f t="shared" si="74"/>
        <v>10.3125</v>
      </c>
      <c r="AQ33" s="8">
        <f>AN33*(B33*12)</f>
        <v>2802.6000000000004</v>
      </c>
      <c r="AR33" s="8">
        <f>(X33-6)*AC33*(12*B33)</f>
        <v>190498.62967106924</v>
      </c>
    </row>
    <row r="34" spans="1:44" ht="12.75">
      <c r="A34">
        <v>24</v>
      </c>
      <c r="B34">
        <v>22.5</v>
      </c>
      <c r="C34">
        <v>8</v>
      </c>
      <c r="D34" s="1">
        <f t="shared" si="40"/>
        <v>880</v>
      </c>
      <c r="E34" s="1">
        <v>0</v>
      </c>
      <c r="F34" s="1">
        <f t="shared" si="42"/>
        <v>480</v>
      </c>
      <c r="G34" s="1">
        <v>0</v>
      </c>
      <c r="H34" s="1">
        <f t="shared" si="44"/>
        <v>1824</v>
      </c>
      <c r="I34" s="1">
        <f t="shared" si="45"/>
        <v>182.4</v>
      </c>
      <c r="J34" s="1">
        <f t="shared" si="46"/>
        <v>364.8</v>
      </c>
      <c r="K34" s="1">
        <f aca="true" t="shared" si="80" ref="K34:K88">ROUND(((0.08*B34)*12),0)</f>
        <v>22</v>
      </c>
      <c r="L34" s="1">
        <f aca="true" t="shared" si="81" ref="L34:L88">ROUND(((0.1*B34)*12),0)</f>
        <v>27</v>
      </c>
      <c r="M34" s="1">
        <f aca="true" t="shared" si="82" ref="M34:M88">ROUND((0.5*K34),0)</f>
        <v>11</v>
      </c>
      <c r="N34" s="1">
        <f aca="true" t="shared" si="83" ref="N34:N88">ROUND((0.5*L34),0)</f>
        <v>14</v>
      </c>
      <c r="O34" s="8">
        <f aca="true" t="shared" si="84" ref="O34:O88">(M34/12)*(K34/12)*150</f>
        <v>252.08333333333331</v>
      </c>
      <c r="P34" s="8">
        <f aca="true" t="shared" si="85" ref="P34:P88">(N34/12)*(L34/12)*150</f>
        <v>393.75</v>
      </c>
      <c r="Q34">
        <v>300</v>
      </c>
      <c r="R34" s="8">
        <v>0</v>
      </c>
      <c r="S34" s="8">
        <f t="shared" si="52"/>
        <v>2184</v>
      </c>
      <c r="T34" s="8"/>
      <c r="U34" s="8"/>
      <c r="V34" s="8">
        <f t="shared" si="78"/>
        <v>24.57</v>
      </c>
      <c r="W34" s="8">
        <f t="shared" si="79"/>
        <v>138.20625</v>
      </c>
      <c r="X34" s="8">
        <f t="shared" si="57"/>
        <v>16.875</v>
      </c>
      <c r="Y34" s="8">
        <f t="shared" si="58"/>
        <v>14.375</v>
      </c>
      <c r="Z34" s="8">
        <f t="shared" si="59"/>
        <v>0.15</v>
      </c>
      <c r="AA34" s="8">
        <f t="shared" si="60"/>
        <v>546.9</v>
      </c>
      <c r="AB34" s="8">
        <f t="shared" si="77"/>
        <v>3032.501371365881</v>
      </c>
      <c r="AC34" s="8">
        <f t="shared" si="61"/>
        <v>14.675242931373639</v>
      </c>
      <c r="AD34" s="8">
        <f t="shared" si="62"/>
        <v>100.06550964626399</v>
      </c>
      <c r="AE34" s="8">
        <f t="shared" si="63"/>
        <v>67.5</v>
      </c>
      <c r="AF34" s="8">
        <f t="shared" si="64"/>
        <v>110.67524293137365</v>
      </c>
      <c r="AG34" s="8">
        <f t="shared" si="65"/>
        <v>96</v>
      </c>
      <c r="AH34" s="8">
        <f t="shared" si="66"/>
        <v>2.2489702517162473</v>
      </c>
      <c r="AI34" s="8">
        <f t="shared" si="67"/>
        <v>0.5879660788800647</v>
      </c>
      <c r="AJ34" s="8">
        <f t="shared" si="68"/>
        <v>0.0409019880960045</v>
      </c>
      <c r="AK34" s="8">
        <f t="shared" si="69"/>
        <v>2.1811279743518357</v>
      </c>
      <c r="AL34" s="8">
        <f t="shared" si="70"/>
        <v>0.66710339764176</v>
      </c>
      <c r="AM34" s="8">
        <f t="shared" si="71"/>
        <v>0.7031887237949869</v>
      </c>
      <c r="AN34" s="8">
        <f t="shared" si="72"/>
        <v>2.18</v>
      </c>
      <c r="AO34" s="8">
        <f t="shared" si="73"/>
        <v>1.875</v>
      </c>
      <c r="AP34" s="8">
        <f t="shared" si="74"/>
        <v>10.3125</v>
      </c>
      <c r="AQ34" s="8">
        <f t="shared" si="75"/>
        <v>588.6</v>
      </c>
      <c r="AR34" s="8">
        <f t="shared" si="76"/>
        <v>43090.182057245845</v>
      </c>
    </row>
    <row r="35" spans="1:44" ht="12.75">
      <c r="A35">
        <v>25</v>
      </c>
      <c r="B35">
        <v>22.5</v>
      </c>
      <c r="C35">
        <v>7.73</v>
      </c>
      <c r="D35" s="1">
        <f t="shared" si="40"/>
        <v>850.3000000000001</v>
      </c>
      <c r="E35" s="1">
        <v>0</v>
      </c>
      <c r="F35" s="1">
        <f t="shared" si="42"/>
        <v>463.8</v>
      </c>
      <c r="G35" s="1">
        <v>0</v>
      </c>
      <c r="H35" s="1">
        <f t="shared" si="44"/>
        <v>1762.44</v>
      </c>
      <c r="I35" s="1">
        <f t="shared" si="45"/>
        <v>176.24400000000003</v>
      </c>
      <c r="J35" s="1">
        <f t="shared" si="46"/>
        <v>352.48800000000006</v>
      </c>
      <c r="K35" s="1">
        <f t="shared" si="80"/>
        <v>22</v>
      </c>
      <c r="L35" s="1">
        <f t="shared" si="81"/>
        <v>27</v>
      </c>
      <c r="M35" s="1">
        <f t="shared" si="82"/>
        <v>11</v>
      </c>
      <c r="N35" s="1">
        <f t="shared" si="83"/>
        <v>14</v>
      </c>
      <c r="O35" s="8">
        <f t="shared" si="84"/>
        <v>252.08333333333331</v>
      </c>
      <c r="P35" s="8">
        <f t="shared" si="85"/>
        <v>393.75</v>
      </c>
      <c r="Q35">
        <v>300</v>
      </c>
      <c r="R35" s="8">
        <v>0</v>
      </c>
      <c r="S35" s="8">
        <f t="shared" si="52"/>
        <v>2122.44</v>
      </c>
      <c r="T35" s="8"/>
      <c r="U35" s="8"/>
      <c r="V35" s="8">
        <f t="shared" si="78"/>
        <v>23.87745</v>
      </c>
      <c r="W35" s="8">
        <f t="shared" si="79"/>
        <v>134.31065625</v>
      </c>
      <c r="X35" s="8">
        <f t="shared" si="57"/>
        <v>16.875</v>
      </c>
      <c r="Y35" s="8">
        <f t="shared" si="58"/>
        <v>14.375</v>
      </c>
      <c r="Z35" s="8">
        <f t="shared" si="59"/>
        <v>0.15</v>
      </c>
      <c r="AA35" s="8">
        <f t="shared" si="60"/>
        <v>546.9</v>
      </c>
      <c r="AB35" s="8">
        <f t="shared" si="77"/>
        <v>2947.0248217224357</v>
      </c>
      <c r="AC35" s="8">
        <f t="shared" si="61"/>
        <v>14.261594600395908</v>
      </c>
      <c r="AD35" s="8">
        <f t="shared" si="62"/>
        <v>97.2449818194215</v>
      </c>
      <c r="AE35" s="8">
        <f t="shared" si="63"/>
        <v>67.5</v>
      </c>
      <c r="AF35" s="8">
        <f t="shared" si="64"/>
        <v>110.26159460039591</v>
      </c>
      <c r="AG35" s="8">
        <f t="shared" si="65"/>
        <v>92.76</v>
      </c>
      <c r="AH35" s="8">
        <f t="shared" si="66"/>
        <v>2.185578947368421</v>
      </c>
      <c r="AI35" s="8">
        <f t="shared" si="67"/>
        <v>0.5713931888544891</v>
      </c>
      <c r="AJ35" s="8">
        <f t="shared" si="68"/>
        <v>0.039749091398573154</v>
      </c>
      <c r="AK35" s="8">
        <f t="shared" si="69"/>
        <v>2.118402282982611</v>
      </c>
      <c r="AL35" s="8">
        <f t="shared" si="70"/>
        <v>0.6482998787961433</v>
      </c>
      <c r="AM35" s="8">
        <f t="shared" si="71"/>
        <v>0.683368074602304</v>
      </c>
      <c r="AN35" s="8">
        <f t="shared" si="72"/>
        <v>2.12</v>
      </c>
      <c r="AO35" s="8">
        <f t="shared" si="73"/>
        <v>1.875</v>
      </c>
      <c r="AP35" s="8">
        <f t="shared" si="74"/>
        <v>10.3125</v>
      </c>
      <c r="AQ35" s="8">
        <f t="shared" si="75"/>
        <v>572.4</v>
      </c>
      <c r="AR35" s="8">
        <f t="shared" si="76"/>
        <v>41875.60714541248</v>
      </c>
    </row>
    <row r="36" spans="1:44" ht="12.75">
      <c r="A36">
        <v>26</v>
      </c>
      <c r="B36">
        <v>22.5</v>
      </c>
      <c r="C36">
        <v>7.86</v>
      </c>
      <c r="D36" s="1">
        <f t="shared" si="40"/>
        <v>864.6</v>
      </c>
      <c r="E36" s="1">
        <v>0</v>
      </c>
      <c r="F36" s="1">
        <f t="shared" si="42"/>
        <v>471.6</v>
      </c>
      <c r="G36" s="1">
        <v>0</v>
      </c>
      <c r="H36" s="1">
        <f t="shared" si="44"/>
        <v>1792.08</v>
      </c>
      <c r="I36" s="1">
        <f t="shared" si="45"/>
        <v>179.208</v>
      </c>
      <c r="J36" s="1">
        <f t="shared" si="46"/>
        <v>358.416</v>
      </c>
      <c r="K36" s="1">
        <f t="shared" si="80"/>
        <v>22</v>
      </c>
      <c r="L36" s="1">
        <f t="shared" si="81"/>
        <v>27</v>
      </c>
      <c r="M36" s="1">
        <f t="shared" si="82"/>
        <v>11</v>
      </c>
      <c r="N36" s="1">
        <f t="shared" si="83"/>
        <v>14</v>
      </c>
      <c r="O36" s="8">
        <f t="shared" si="84"/>
        <v>252.08333333333331</v>
      </c>
      <c r="P36" s="8">
        <f t="shared" si="85"/>
        <v>393.75</v>
      </c>
      <c r="Q36">
        <v>300</v>
      </c>
      <c r="R36" s="8">
        <v>0</v>
      </c>
      <c r="S36" s="8">
        <f t="shared" si="52"/>
        <v>2152.08</v>
      </c>
      <c r="T36" s="8"/>
      <c r="U36" s="8"/>
      <c r="V36" s="8">
        <f t="shared" si="78"/>
        <v>24.2109</v>
      </c>
      <c r="W36" s="8">
        <f t="shared" si="79"/>
        <v>136.18631249999999</v>
      </c>
      <c r="X36" s="8">
        <f t="shared" si="57"/>
        <v>16.875</v>
      </c>
      <c r="Y36" s="8">
        <f t="shared" si="58"/>
        <v>14.375</v>
      </c>
      <c r="Z36" s="8">
        <f t="shared" si="59"/>
        <v>0.15</v>
      </c>
      <c r="AA36" s="8">
        <f t="shared" si="60"/>
        <v>546.9</v>
      </c>
      <c r="AB36" s="8">
        <f t="shared" si="77"/>
        <v>2988.1801974766863</v>
      </c>
      <c r="AC36" s="8">
        <f t="shared" si="61"/>
        <v>14.460758611607405</v>
      </c>
      <c r="AD36" s="8">
        <f t="shared" si="62"/>
        <v>98.60301373604935</v>
      </c>
      <c r="AE36" s="8">
        <f t="shared" si="63"/>
        <v>67.5</v>
      </c>
      <c r="AF36" s="8">
        <f t="shared" si="64"/>
        <v>110.4607586116074</v>
      </c>
      <c r="AG36" s="8">
        <f t="shared" si="65"/>
        <v>94.32000000000001</v>
      </c>
      <c r="AH36" s="8">
        <f t="shared" si="66"/>
        <v>2.2161006864988555</v>
      </c>
      <c r="AI36" s="8">
        <f t="shared" si="67"/>
        <v>0.5793727284964328</v>
      </c>
      <c r="AJ36" s="8">
        <f t="shared" si="68"/>
        <v>0.0403041898084475</v>
      </c>
      <c r="AK36" s="8">
        <f t="shared" si="69"/>
        <v>2.148594329002651</v>
      </c>
      <c r="AL36" s="8">
        <f t="shared" si="70"/>
        <v>0.6573534249069954</v>
      </c>
      <c r="AM36" s="8">
        <f t="shared" si="71"/>
        <v>0.6929113501395215</v>
      </c>
      <c r="AN36" s="8">
        <f t="shared" si="72"/>
        <v>2.15</v>
      </c>
      <c r="AO36" s="8">
        <f t="shared" si="73"/>
        <v>1.875</v>
      </c>
      <c r="AP36" s="8">
        <f t="shared" si="74"/>
        <v>10.3125</v>
      </c>
      <c r="AQ36" s="8">
        <f t="shared" si="75"/>
        <v>580.5</v>
      </c>
      <c r="AR36" s="8">
        <f t="shared" si="76"/>
        <v>42460.402473332244</v>
      </c>
    </row>
    <row r="37" spans="1:44" ht="12.75">
      <c r="A37">
        <v>27</v>
      </c>
      <c r="B37">
        <v>22.5</v>
      </c>
      <c r="C37">
        <v>8.58</v>
      </c>
      <c r="D37" s="1">
        <f t="shared" si="40"/>
        <v>943.8</v>
      </c>
      <c r="E37" s="1">
        <v>0</v>
      </c>
      <c r="F37" s="1">
        <f t="shared" si="42"/>
        <v>514.8</v>
      </c>
      <c r="G37" s="1">
        <v>0</v>
      </c>
      <c r="H37" s="1">
        <f t="shared" si="44"/>
        <v>1956.2399999999998</v>
      </c>
      <c r="I37" s="1">
        <f t="shared" si="45"/>
        <v>195.624</v>
      </c>
      <c r="J37" s="1">
        <f t="shared" si="46"/>
        <v>391.248</v>
      </c>
      <c r="K37" s="1">
        <f t="shared" si="80"/>
        <v>22</v>
      </c>
      <c r="L37" s="1">
        <f t="shared" si="81"/>
        <v>27</v>
      </c>
      <c r="M37" s="1">
        <f t="shared" si="82"/>
        <v>11</v>
      </c>
      <c r="N37" s="1">
        <f t="shared" si="83"/>
        <v>14</v>
      </c>
      <c r="O37" s="8">
        <f t="shared" si="84"/>
        <v>252.08333333333331</v>
      </c>
      <c r="P37" s="8">
        <f t="shared" si="85"/>
        <v>393.75</v>
      </c>
      <c r="Q37">
        <v>300</v>
      </c>
      <c r="R37" s="8">
        <v>0</v>
      </c>
      <c r="S37" s="8">
        <f t="shared" si="52"/>
        <v>2316.24</v>
      </c>
      <c r="T37" s="8"/>
      <c r="U37" s="8"/>
      <c r="V37" s="8">
        <f t="shared" si="78"/>
        <v>26.057699999999997</v>
      </c>
      <c r="W37" s="8">
        <f t="shared" si="79"/>
        <v>146.57456249999998</v>
      </c>
      <c r="X37" s="8">
        <f t="shared" si="57"/>
        <v>16.875</v>
      </c>
      <c r="Y37" s="8">
        <f t="shared" si="58"/>
        <v>14.375</v>
      </c>
      <c r="Z37" s="8">
        <f t="shared" si="59"/>
        <v>0.15</v>
      </c>
      <c r="AA37" s="8">
        <f t="shared" si="60"/>
        <v>546.9</v>
      </c>
      <c r="AB37" s="8">
        <f t="shared" si="77"/>
        <v>3216.1176631925396</v>
      </c>
      <c r="AC37" s="8">
        <f t="shared" si="61"/>
        <v>15.563820827548017</v>
      </c>
      <c r="AD37" s="8">
        <f t="shared" si="62"/>
        <v>106.124421274296</v>
      </c>
      <c r="AE37" s="8">
        <f t="shared" si="63"/>
        <v>67.5</v>
      </c>
      <c r="AF37" s="8">
        <f t="shared" si="64"/>
        <v>111.56382082754801</v>
      </c>
      <c r="AG37" s="8">
        <f t="shared" si="65"/>
        <v>102.96000000000001</v>
      </c>
      <c r="AH37" s="8">
        <f t="shared" si="66"/>
        <v>2.385144164759725</v>
      </c>
      <c r="AI37" s="8">
        <f t="shared" si="67"/>
        <v>0.6235671018979673</v>
      </c>
      <c r="AJ37" s="8">
        <f t="shared" si="68"/>
        <v>0.04337858100159772</v>
      </c>
      <c r="AK37" s="8">
        <f t="shared" si="69"/>
        <v>2.3161219994020614</v>
      </c>
      <c r="AL37" s="8">
        <f t="shared" si="70"/>
        <v>0.70749614182864</v>
      </c>
      <c r="AM37" s="8">
        <f t="shared" si="71"/>
        <v>0.7457664146533425</v>
      </c>
      <c r="AN37" s="8">
        <f t="shared" si="72"/>
        <v>2.32</v>
      </c>
      <c r="AO37" s="8">
        <f t="shared" si="73"/>
        <v>1.875</v>
      </c>
      <c r="AP37" s="8">
        <f t="shared" si="74"/>
        <v>10.3125</v>
      </c>
      <c r="AQ37" s="8">
        <f t="shared" si="75"/>
        <v>626.4</v>
      </c>
      <c r="AR37" s="8">
        <f t="shared" si="76"/>
        <v>45699.26890488787</v>
      </c>
    </row>
    <row r="38" spans="1:44" ht="12.75">
      <c r="A38" s="6" t="s">
        <v>127</v>
      </c>
      <c r="B38">
        <v>22.5</v>
      </c>
      <c r="C38">
        <v>7.52</v>
      </c>
      <c r="D38" s="1">
        <f t="shared" si="40"/>
        <v>827.1999999999999</v>
      </c>
      <c r="E38" s="1">
        <v>0</v>
      </c>
      <c r="F38" s="1">
        <f t="shared" si="42"/>
        <v>451.2</v>
      </c>
      <c r="G38" s="1">
        <v>0</v>
      </c>
      <c r="H38" s="1">
        <f t="shared" si="44"/>
        <v>1714.56</v>
      </c>
      <c r="I38" s="1">
        <f t="shared" si="45"/>
        <v>171.45600000000002</v>
      </c>
      <c r="J38" s="1">
        <f t="shared" si="46"/>
        <v>342.91200000000003</v>
      </c>
      <c r="K38" s="1">
        <f t="shared" si="80"/>
        <v>22</v>
      </c>
      <c r="L38" s="1">
        <f t="shared" si="81"/>
        <v>27</v>
      </c>
      <c r="M38" s="1">
        <f t="shared" si="82"/>
        <v>11</v>
      </c>
      <c r="N38" s="1">
        <f t="shared" si="83"/>
        <v>14</v>
      </c>
      <c r="O38" s="8">
        <f t="shared" si="84"/>
        <v>252.08333333333331</v>
      </c>
      <c r="P38" s="8">
        <f t="shared" si="85"/>
        <v>393.75</v>
      </c>
      <c r="Q38">
        <v>300</v>
      </c>
      <c r="R38" s="8">
        <v>0</v>
      </c>
      <c r="S38" s="8">
        <f t="shared" si="52"/>
        <v>2074.56</v>
      </c>
      <c r="T38" s="8"/>
      <c r="U38" s="8"/>
      <c r="V38" s="8">
        <f t="shared" si="78"/>
        <v>23.3388</v>
      </c>
      <c r="W38" s="8">
        <f t="shared" si="79"/>
        <v>131.28074999999998</v>
      </c>
      <c r="X38" s="8">
        <f t="shared" si="57"/>
        <v>16.875</v>
      </c>
      <c r="Y38" s="8">
        <f t="shared" si="58"/>
        <v>14.375</v>
      </c>
      <c r="Z38" s="8">
        <f t="shared" si="59"/>
        <v>0.15</v>
      </c>
      <c r="AA38" s="8">
        <f t="shared" si="60"/>
        <v>546.9</v>
      </c>
      <c r="AB38" s="8">
        <f t="shared" si="77"/>
        <v>2880.543060888645</v>
      </c>
      <c r="AC38" s="8">
        <f t="shared" si="61"/>
        <v>13.939868120746562</v>
      </c>
      <c r="AD38" s="8">
        <f t="shared" si="62"/>
        <v>95.05123795409955</v>
      </c>
      <c r="AE38" s="8">
        <f t="shared" si="63"/>
        <v>67.5</v>
      </c>
      <c r="AF38" s="8">
        <f t="shared" si="64"/>
        <v>109.93986812074657</v>
      </c>
      <c r="AG38" s="8">
        <f t="shared" si="65"/>
        <v>90.24</v>
      </c>
      <c r="AH38" s="8">
        <f t="shared" si="66"/>
        <v>2.136274599542334</v>
      </c>
      <c r="AI38" s="8">
        <f t="shared" si="67"/>
        <v>0.5585031632790415</v>
      </c>
      <c r="AJ38" s="8">
        <f t="shared" si="68"/>
        <v>0.03885239396723767</v>
      </c>
      <c r="AK38" s="8">
        <f t="shared" si="69"/>
        <v>2.069666621035881</v>
      </c>
      <c r="AL38" s="8">
        <f t="shared" si="70"/>
        <v>0.6336749196939969</v>
      </c>
      <c r="AM38" s="8">
        <f t="shared" si="71"/>
        <v>0.6679520141191061</v>
      </c>
      <c r="AN38" s="8">
        <f t="shared" si="72"/>
        <v>2.07</v>
      </c>
      <c r="AO38" s="8">
        <f t="shared" si="73"/>
        <v>1.875</v>
      </c>
      <c r="AP38" s="8">
        <f t="shared" si="74"/>
        <v>10.3125</v>
      </c>
      <c r="AQ38" s="8">
        <f t="shared" si="75"/>
        <v>558.9</v>
      </c>
      <c r="AR38" s="8">
        <f t="shared" si="76"/>
        <v>40930.93776954209</v>
      </c>
    </row>
    <row r="39" spans="1:44" ht="12.75">
      <c r="A39" s="6" t="s">
        <v>128</v>
      </c>
      <c r="B39">
        <v>22.5</v>
      </c>
      <c r="C39">
        <v>7.52</v>
      </c>
      <c r="D39" s="1">
        <f t="shared" si="40"/>
        <v>827.1999999999999</v>
      </c>
      <c r="E39" s="1">
        <v>0</v>
      </c>
      <c r="F39" s="1">
        <f>C39*60</f>
        <v>451.2</v>
      </c>
      <c r="G39" s="1">
        <v>0</v>
      </c>
      <c r="H39" s="1">
        <f>(1.2*D39)+(1.6*F39)</f>
        <v>1714.56</v>
      </c>
      <c r="I39" s="1">
        <f>0.1*MAX(G39:H39)</f>
        <v>171.45600000000002</v>
      </c>
      <c r="J39" s="1">
        <f>0.2*MAX(G39:H39)</f>
        <v>342.91200000000003</v>
      </c>
      <c r="K39" s="1">
        <f>ROUND(((0.08*B39)*12),0)</f>
        <v>22</v>
      </c>
      <c r="L39" s="1">
        <f>ROUND(((0.1*B39)*12),0)</f>
        <v>27</v>
      </c>
      <c r="M39" s="1">
        <f>ROUND((0.5*K39),0)</f>
        <v>11</v>
      </c>
      <c r="N39" s="1">
        <f>ROUND((0.5*L39),0)</f>
        <v>14</v>
      </c>
      <c r="O39" s="8">
        <f>(M39/12)*(K39/12)*150</f>
        <v>252.08333333333331</v>
      </c>
      <c r="P39" s="8">
        <f>(N39/12)*(L39/12)*150</f>
        <v>393.75</v>
      </c>
      <c r="Q39">
        <v>300</v>
      </c>
      <c r="R39" s="8">
        <v>0</v>
      </c>
      <c r="S39" s="8">
        <f>(1.2*Q39)+H39</f>
        <v>2074.56</v>
      </c>
      <c r="T39" s="8"/>
      <c r="U39" s="8"/>
      <c r="V39" s="8">
        <f>(S39*B39)/2000</f>
        <v>23.3388</v>
      </c>
      <c r="W39" s="8">
        <v>611</v>
      </c>
      <c r="X39" s="8">
        <f>(B39/16)*12</f>
        <v>16.875</v>
      </c>
      <c r="Y39" s="8">
        <f t="shared" si="58"/>
        <v>14.375</v>
      </c>
      <c r="Z39" s="8">
        <f t="shared" si="59"/>
        <v>0.15</v>
      </c>
      <c r="AA39" s="8">
        <f t="shared" si="60"/>
        <v>546.9</v>
      </c>
      <c r="AB39" s="8">
        <f>(12000*W39)/AA39</f>
        <v>13406.472846955568</v>
      </c>
      <c r="AC39" s="8">
        <f>AB39/(Y39^2)</f>
        <v>64.87820508167535</v>
      </c>
      <c r="AD39" s="8">
        <f>0.75*((((2*(4000^0.5)*AC39*Y39)+(8*(4000^0.5)*AC39*Y39)))/1000)</f>
        <v>442.3825000234599</v>
      </c>
      <c r="AE39" s="8">
        <f>(B39/4)*12</f>
        <v>67.5</v>
      </c>
      <c r="AF39" s="8">
        <f>((8*6)*2)+AC39</f>
        <v>160.87820508167533</v>
      </c>
      <c r="AG39" s="8">
        <f>C39*12</f>
        <v>90.24</v>
      </c>
      <c r="AH39" s="8">
        <f>(W39*12000)/(0.9*60000*0.95*Y39)</f>
        <v>9.942537503178235</v>
      </c>
      <c r="AI39" s="8">
        <f>(AH39*60000)/(0.85*4000*(MIN(AE39:AG39)))</f>
        <v>2.599356209981238</v>
      </c>
      <c r="AJ39" s="8">
        <f>AI39/Y39</f>
        <v>0.18082477982478176</v>
      </c>
      <c r="AK39" s="8">
        <f>(W39*12000)/(0.9*60000*(Y39-(AI39/2)))</f>
        <v>10.384278021453664</v>
      </c>
      <c r="AL39" s="8">
        <f>(3*(4000^0.5)*AC39*Y39)/60000</f>
        <v>2.949216666823066</v>
      </c>
      <c r="AM39" s="8">
        <f>(200*AC39*Y39)/60000</f>
        <v>3.108747326830277</v>
      </c>
      <c r="AN39" s="8">
        <f>ROUND(MAX(AK39:AM39),2)</f>
        <v>10.38</v>
      </c>
      <c r="AO39" s="8">
        <f t="shared" si="73"/>
        <v>1.875</v>
      </c>
      <c r="AP39" s="8">
        <f t="shared" si="74"/>
        <v>10.3125</v>
      </c>
      <c r="AQ39" s="8">
        <f>AN39*(B39*12)</f>
        <v>2802.6000000000004</v>
      </c>
      <c r="AR39" s="8">
        <f>(X39-6)*AC39*(12*B39)</f>
        <v>190498.62967106924</v>
      </c>
    </row>
    <row r="40" spans="1:44" ht="12.75">
      <c r="A40">
        <v>29</v>
      </c>
      <c r="B40">
        <v>22.5</v>
      </c>
      <c r="C40">
        <v>6.46</v>
      </c>
      <c r="D40" s="1">
        <f t="shared" si="40"/>
        <v>710.6</v>
      </c>
      <c r="E40" s="1">
        <v>0</v>
      </c>
      <c r="F40" s="1">
        <f t="shared" si="42"/>
        <v>387.6</v>
      </c>
      <c r="G40" s="1">
        <v>0</v>
      </c>
      <c r="H40" s="1">
        <f t="shared" si="44"/>
        <v>1472.88</v>
      </c>
      <c r="I40" s="1">
        <f t="shared" si="45"/>
        <v>147.288</v>
      </c>
      <c r="J40" s="1">
        <f t="shared" si="46"/>
        <v>294.576</v>
      </c>
      <c r="K40" s="1">
        <f t="shared" si="80"/>
        <v>22</v>
      </c>
      <c r="L40" s="1">
        <f t="shared" si="81"/>
        <v>27</v>
      </c>
      <c r="M40" s="1">
        <f t="shared" si="82"/>
        <v>11</v>
      </c>
      <c r="N40" s="1">
        <f t="shared" si="83"/>
        <v>14</v>
      </c>
      <c r="O40" s="8">
        <f t="shared" si="84"/>
        <v>252.08333333333331</v>
      </c>
      <c r="P40" s="8">
        <f t="shared" si="85"/>
        <v>393.75</v>
      </c>
      <c r="Q40">
        <v>300</v>
      </c>
      <c r="R40" s="8">
        <v>0</v>
      </c>
      <c r="S40" s="8">
        <f t="shared" si="52"/>
        <v>1832.88</v>
      </c>
      <c r="T40" s="8"/>
      <c r="U40" s="8"/>
      <c r="V40" s="8">
        <f t="shared" si="78"/>
        <v>20.6199</v>
      </c>
      <c r="W40" s="8">
        <f t="shared" si="79"/>
        <v>115.98693750000001</v>
      </c>
      <c r="X40" s="8">
        <f t="shared" si="57"/>
        <v>16.875</v>
      </c>
      <c r="Y40" s="8">
        <f t="shared" si="58"/>
        <v>14.375</v>
      </c>
      <c r="Z40" s="8">
        <f t="shared" si="59"/>
        <v>0.15</v>
      </c>
      <c r="AA40" s="8">
        <f t="shared" si="60"/>
        <v>546.9</v>
      </c>
      <c r="AB40" s="8">
        <f t="shared" si="77"/>
        <v>2544.968458584751</v>
      </c>
      <c r="AC40" s="8">
        <f t="shared" si="61"/>
        <v>12.315915413945108</v>
      </c>
      <c r="AD40" s="8">
        <f t="shared" si="62"/>
        <v>83.97805463390308</v>
      </c>
      <c r="AE40" s="8">
        <f t="shared" si="63"/>
        <v>67.5</v>
      </c>
      <c r="AF40" s="8">
        <f t="shared" si="64"/>
        <v>108.3159154139451</v>
      </c>
      <c r="AG40" s="8">
        <f t="shared" si="65"/>
        <v>77.52</v>
      </c>
      <c r="AH40" s="8">
        <f t="shared" si="66"/>
        <v>1.887405034324943</v>
      </c>
      <c r="AI40" s="8">
        <f t="shared" si="67"/>
        <v>0.49343922466011586</v>
      </c>
      <c r="AJ40" s="8">
        <f t="shared" si="68"/>
        <v>0.03432620693287763</v>
      </c>
      <c r="AK40" s="8">
        <f t="shared" si="69"/>
        <v>1.8243462256379268</v>
      </c>
      <c r="AL40" s="8">
        <f t="shared" si="70"/>
        <v>0.5598536975593539</v>
      </c>
      <c r="AM40" s="8">
        <f t="shared" si="71"/>
        <v>0.5901376135848698</v>
      </c>
      <c r="AN40" s="8">
        <f t="shared" si="72"/>
        <v>1.82</v>
      </c>
      <c r="AO40" s="8">
        <f t="shared" si="73"/>
        <v>1.875</v>
      </c>
      <c r="AP40" s="8">
        <f t="shared" si="74"/>
        <v>10.3125</v>
      </c>
      <c r="AQ40" s="8">
        <f t="shared" si="75"/>
        <v>491.40000000000003</v>
      </c>
      <c r="AR40" s="8">
        <f t="shared" si="76"/>
        <v>36162.60663419632</v>
      </c>
    </row>
    <row r="41" spans="1:44" ht="12.75">
      <c r="A41">
        <v>16</v>
      </c>
      <c r="B41">
        <v>17</v>
      </c>
      <c r="C41">
        <v>3.54</v>
      </c>
      <c r="D41" s="1">
        <f>(C41*((0.5*150)+5+10+20))+640</f>
        <v>1029.4</v>
      </c>
      <c r="E41" s="1"/>
      <c r="F41" s="1">
        <f t="shared" si="42"/>
        <v>212.4</v>
      </c>
      <c r="G41" s="1"/>
      <c r="H41" s="1">
        <f t="shared" si="44"/>
        <v>1575.12</v>
      </c>
      <c r="I41" s="1">
        <f t="shared" si="45"/>
        <v>157.512</v>
      </c>
      <c r="J41" s="1">
        <f t="shared" si="46"/>
        <v>315.024</v>
      </c>
      <c r="K41" s="1">
        <f t="shared" si="80"/>
        <v>16</v>
      </c>
      <c r="L41" s="1">
        <f t="shared" si="81"/>
        <v>20</v>
      </c>
      <c r="M41" s="1">
        <f t="shared" si="82"/>
        <v>8</v>
      </c>
      <c r="N41" s="1">
        <f t="shared" si="83"/>
        <v>10</v>
      </c>
      <c r="O41" s="8">
        <f t="shared" si="84"/>
        <v>133.33333333333331</v>
      </c>
      <c r="P41" s="8">
        <f t="shared" si="85"/>
        <v>208.33333333333337</v>
      </c>
      <c r="Q41">
        <v>200</v>
      </c>
      <c r="R41" s="8">
        <v>0</v>
      </c>
      <c r="S41" s="8">
        <f t="shared" si="52"/>
        <v>1815.12</v>
      </c>
      <c r="T41" s="8"/>
      <c r="U41" s="8"/>
      <c r="V41" s="8">
        <f t="shared" si="78"/>
        <v>15.428519999999999</v>
      </c>
      <c r="W41" s="8">
        <f t="shared" si="79"/>
        <v>65.57121</v>
      </c>
      <c r="X41" s="8">
        <f t="shared" si="57"/>
        <v>12.75</v>
      </c>
      <c r="Y41" s="8">
        <f t="shared" si="58"/>
        <v>10.25</v>
      </c>
      <c r="Z41" s="8">
        <f t="shared" si="59"/>
        <v>0.15</v>
      </c>
      <c r="AA41" s="8">
        <f t="shared" si="60"/>
        <v>546.9</v>
      </c>
      <c r="AB41" s="8">
        <f t="shared" si="77"/>
        <v>1438.7539221064178</v>
      </c>
      <c r="AC41" s="8">
        <f t="shared" si="61"/>
        <v>13.6942669563966</v>
      </c>
      <c r="AD41" s="8">
        <f t="shared" si="62"/>
        <v>66.5815519954648</v>
      </c>
      <c r="AE41" s="8">
        <f t="shared" si="63"/>
        <v>51</v>
      </c>
      <c r="AF41" s="8">
        <f>((8*6))+AC41</f>
        <v>61.6942669563966</v>
      </c>
      <c r="AG41" s="8">
        <f t="shared" si="65"/>
        <v>42.480000000000004</v>
      </c>
      <c r="AH41" s="8">
        <f t="shared" si="66"/>
        <v>1.4964189987163028</v>
      </c>
      <c r="AI41" s="8">
        <f t="shared" si="67"/>
        <v>0.621642987170282</v>
      </c>
      <c r="AJ41" s="8">
        <f t="shared" si="68"/>
        <v>0.0606480963092958</v>
      </c>
      <c r="AK41" s="8">
        <f t="shared" si="69"/>
        <v>1.4660547640426684</v>
      </c>
      <c r="AL41" s="8">
        <f t="shared" si="70"/>
        <v>0.44387701330309864</v>
      </c>
      <c r="AM41" s="8">
        <f t="shared" si="71"/>
        <v>0.4678874543435505</v>
      </c>
      <c r="AN41" s="8">
        <f t="shared" si="72"/>
        <v>1.47</v>
      </c>
      <c r="AO41" s="8">
        <f t="shared" si="73"/>
        <v>1.875</v>
      </c>
      <c r="AP41" s="8">
        <f t="shared" si="74"/>
        <v>10.3125</v>
      </c>
      <c r="AQ41" s="8">
        <f t="shared" si="75"/>
        <v>299.88</v>
      </c>
      <c r="AR41" s="8">
        <f t="shared" si="76"/>
        <v>18857.00559895812</v>
      </c>
    </row>
    <row r="42" spans="1:44" ht="12.75">
      <c r="A42">
        <v>34</v>
      </c>
      <c r="B42">
        <v>17</v>
      </c>
      <c r="C42">
        <v>3.54</v>
      </c>
      <c r="D42" s="1">
        <f>(C42*((0.5*150)+5+10+20))+640</f>
        <v>1029.4</v>
      </c>
      <c r="E42" s="1"/>
      <c r="F42" s="1">
        <f t="shared" si="42"/>
        <v>212.4</v>
      </c>
      <c r="G42" s="1"/>
      <c r="H42" s="1">
        <f t="shared" si="44"/>
        <v>1575.12</v>
      </c>
      <c r="I42" s="1">
        <f t="shared" si="45"/>
        <v>157.512</v>
      </c>
      <c r="J42" s="1">
        <f t="shared" si="46"/>
        <v>315.024</v>
      </c>
      <c r="K42" s="1">
        <f t="shared" si="80"/>
        <v>16</v>
      </c>
      <c r="L42" s="1">
        <f t="shared" si="81"/>
        <v>20</v>
      </c>
      <c r="M42" s="1">
        <f t="shared" si="82"/>
        <v>8</v>
      </c>
      <c r="N42" s="1">
        <f t="shared" si="83"/>
        <v>10</v>
      </c>
      <c r="O42" s="8">
        <f t="shared" si="84"/>
        <v>133.33333333333331</v>
      </c>
      <c r="P42" s="8">
        <f t="shared" si="85"/>
        <v>208.33333333333337</v>
      </c>
      <c r="Q42">
        <v>200</v>
      </c>
      <c r="R42" s="8">
        <v>0</v>
      </c>
      <c r="S42" s="8">
        <f t="shared" si="52"/>
        <v>1815.12</v>
      </c>
      <c r="T42" s="8"/>
      <c r="U42" s="8"/>
      <c r="V42" s="8">
        <f t="shared" si="78"/>
        <v>15.428519999999999</v>
      </c>
      <c r="W42" s="8">
        <f t="shared" si="79"/>
        <v>65.57121</v>
      </c>
      <c r="X42" s="8">
        <f t="shared" si="57"/>
        <v>12.75</v>
      </c>
      <c r="Y42" s="8">
        <f t="shared" si="58"/>
        <v>10.25</v>
      </c>
      <c r="Z42" s="8">
        <f t="shared" si="59"/>
        <v>0.15</v>
      </c>
      <c r="AA42" s="8">
        <f t="shared" si="60"/>
        <v>546.9</v>
      </c>
      <c r="AB42" s="8">
        <f t="shared" si="77"/>
        <v>1438.7539221064178</v>
      </c>
      <c r="AC42" s="8">
        <f t="shared" si="61"/>
        <v>13.6942669563966</v>
      </c>
      <c r="AD42" s="8">
        <f t="shared" si="62"/>
        <v>66.5815519954648</v>
      </c>
      <c r="AE42" s="8">
        <f t="shared" si="63"/>
        <v>51</v>
      </c>
      <c r="AF42" s="8">
        <f>((8*6))+AC42</f>
        <v>61.6942669563966</v>
      </c>
      <c r="AG42" s="8">
        <f t="shared" si="65"/>
        <v>42.480000000000004</v>
      </c>
      <c r="AH42" s="8">
        <f t="shared" si="66"/>
        <v>1.4964189987163028</v>
      </c>
      <c r="AI42" s="8">
        <f t="shared" si="67"/>
        <v>0.621642987170282</v>
      </c>
      <c r="AJ42" s="8">
        <f t="shared" si="68"/>
        <v>0.0606480963092958</v>
      </c>
      <c r="AK42" s="8">
        <f t="shared" si="69"/>
        <v>1.4660547640426684</v>
      </c>
      <c r="AL42" s="8">
        <f t="shared" si="70"/>
        <v>0.44387701330309864</v>
      </c>
      <c r="AM42" s="8">
        <f t="shared" si="71"/>
        <v>0.4678874543435505</v>
      </c>
      <c r="AN42" s="8">
        <f t="shared" si="72"/>
        <v>1.47</v>
      </c>
      <c r="AO42" s="8">
        <f t="shared" si="73"/>
        <v>1.875</v>
      </c>
      <c r="AP42" s="8">
        <f t="shared" si="74"/>
        <v>10.3125</v>
      </c>
      <c r="AQ42" s="8">
        <f t="shared" si="75"/>
        <v>299.88</v>
      </c>
      <c r="AR42" s="8">
        <f t="shared" si="76"/>
        <v>18857.00559895812</v>
      </c>
    </row>
    <row r="43" spans="1:44" ht="12.75">
      <c r="A43">
        <v>1</v>
      </c>
      <c r="B43">
        <v>17</v>
      </c>
      <c r="C43">
        <v>3.54</v>
      </c>
      <c r="D43" s="1">
        <f>(C43*((0.5*150)+5+10+20))+640</f>
        <v>1029.4</v>
      </c>
      <c r="E43" s="1"/>
      <c r="F43" s="1">
        <f t="shared" si="42"/>
        <v>212.4</v>
      </c>
      <c r="G43" s="1"/>
      <c r="H43" s="1">
        <f t="shared" si="44"/>
        <v>1575.12</v>
      </c>
      <c r="I43" s="1">
        <f t="shared" si="45"/>
        <v>157.512</v>
      </c>
      <c r="J43" s="1">
        <f t="shared" si="46"/>
        <v>315.024</v>
      </c>
      <c r="K43" s="1">
        <f t="shared" si="80"/>
        <v>16</v>
      </c>
      <c r="L43" s="1">
        <f t="shared" si="81"/>
        <v>20</v>
      </c>
      <c r="M43" s="1">
        <f t="shared" si="82"/>
        <v>8</v>
      </c>
      <c r="N43" s="1">
        <f t="shared" si="83"/>
        <v>10</v>
      </c>
      <c r="O43" s="8">
        <f t="shared" si="84"/>
        <v>133.33333333333331</v>
      </c>
      <c r="P43" s="8">
        <f t="shared" si="85"/>
        <v>208.33333333333337</v>
      </c>
      <c r="Q43">
        <v>200</v>
      </c>
      <c r="R43" s="8">
        <v>0</v>
      </c>
      <c r="S43" s="8">
        <f t="shared" si="52"/>
        <v>1815.12</v>
      </c>
      <c r="T43" s="8"/>
      <c r="U43" s="8"/>
      <c r="V43" s="8">
        <f t="shared" si="78"/>
        <v>15.428519999999999</v>
      </c>
      <c r="W43" s="8">
        <f t="shared" si="79"/>
        <v>65.57121</v>
      </c>
      <c r="X43" s="8">
        <f t="shared" si="57"/>
        <v>12.75</v>
      </c>
      <c r="Y43" s="8">
        <f t="shared" si="58"/>
        <v>10.25</v>
      </c>
      <c r="Z43" s="8">
        <f t="shared" si="59"/>
        <v>0.15</v>
      </c>
      <c r="AA43" s="8">
        <f t="shared" si="60"/>
        <v>546.9</v>
      </c>
      <c r="AB43" s="8">
        <f t="shared" si="77"/>
        <v>1438.7539221064178</v>
      </c>
      <c r="AC43" s="8">
        <f t="shared" si="61"/>
        <v>13.6942669563966</v>
      </c>
      <c r="AD43" s="8">
        <f t="shared" si="62"/>
        <v>66.5815519954648</v>
      </c>
      <c r="AE43" s="8">
        <f t="shared" si="63"/>
        <v>51</v>
      </c>
      <c r="AF43" s="8">
        <f>((8*6))+AC43</f>
        <v>61.6942669563966</v>
      </c>
      <c r="AG43" s="8">
        <f t="shared" si="65"/>
        <v>42.480000000000004</v>
      </c>
      <c r="AH43" s="8">
        <f t="shared" si="66"/>
        <v>1.4964189987163028</v>
      </c>
      <c r="AI43" s="8">
        <f t="shared" si="67"/>
        <v>0.621642987170282</v>
      </c>
      <c r="AJ43" s="8">
        <f t="shared" si="68"/>
        <v>0.0606480963092958</v>
      </c>
      <c r="AK43" s="8">
        <f t="shared" si="69"/>
        <v>1.4660547640426684</v>
      </c>
      <c r="AL43" s="8">
        <f t="shared" si="70"/>
        <v>0.44387701330309864</v>
      </c>
      <c r="AM43" s="8">
        <f t="shared" si="71"/>
        <v>0.4678874543435505</v>
      </c>
      <c r="AN43" s="8">
        <f t="shared" si="72"/>
        <v>1.47</v>
      </c>
      <c r="AO43" s="8">
        <f t="shared" si="73"/>
        <v>1.875</v>
      </c>
      <c r="AP43" s="8">
        <f t="shared" si="74"/>
        <v>10.3125</v>
      </c>
      <c r="AQ43" s="8">
        <f t="shared" si="75"/>
        <v>299.88</v>
      </c>
      <c r="AR43" s="8">
        <f t="shared" si="76"/>
        <v>18857.00559895812</v>
      </c>
    </row>
    <row r="44" spans="1:44" ht="12.75">
      <c r="A44">
        <v>17</v>
      </c>
      <c r="B44">
        <v>17</v>
      </c>
      <c r="C44">
        <v>3.54</v>
      </c>
      <c r="D44" s="1">
        <f>(C44*((0.5*150)+5+10+20))+640</f>
        <v>1029.4</v>
      </c>
      <c r="E44" s="1"/>
      <c r="F44" s="1">
        <f t="shared" si="42"/>
        <v>212.4</v>
      </c>
      <c r="G44" s="1"/>
      <c r="H44" s="1">
        <f t="shared" si="44"/>
        <v>1575.12</v>
      </c>
      <c r="I44" s="1">
        <f t="shared" si="45"/>
        <v>157.512</v>
      </c>
      <c r="J44" s="1">
        <f t="shared" si="46"/>
        <v>315.024</v>
      </c>
      <c r="K44" s="1">
        <f t="shared" si="80"/>
        <v>16</v>
      </c>
      <c r="L44" s="1">
        <f t="shared" si="81"/>
        <v>20</v>
      </c>
      <c r="M44" s="1">
        <f t="shared" si="82"/>
        <v>8</v>
      </c>
      <c r="N44" s="1">
        <f t="shared" si="83"/>
        <v>10</v>
      </c>
      <c r="O44" s="8">
        <f t="shared" si="84"/>
        <v>133.33333333333331</v>
      </c>
      <c r="P44" s="8">
        <f t="shared" si="85"/>
        <v>208.33333333333337</v>
      </c>
      <c r="Q44">
        <v>200</v>
      </c>
      <c r="R44" s="8">
        <v>0</v>
      </c>
      <c r="S44" s="8">
        <f t="shared" si="52"/>
        <v>1815.12</v>
      </c>
      <c r="T44" s="8"/>
      <c r="U44" s="8"/>
      <c r="V44" s="8">
        <f t="shared" si="78"/>
        <v>15.428519999999999</v>
      </c>
      <c r="W44" s="8">
        <f t="shared" si="79"/>
        <v>65.57121</v>
      </c>
      <c r="X44" s="8">
        <f t="shared" si="57"/>
        <v>12.75</v>
      </c>
      <c r="Y44" s="8">
        <f t="shared" si="58"/>
        <v>10.25</v>
      </c>
      <c r="Z44" s="8">
        <f t="shared" si="59"/>
        <v>0.15</v>
      </c>
      <c r="AA44" s="8">
        <f t="shared" si="60"/>
        <v>546.9</v>
      </c>
      <c r="AB44" s="8">
        <f t="shared" si="77"/>
        <v>1438.7539221064178</v>
      </c>
      <c r="AC44" s="8">
        <f t="shared" si="61"/>
        <v>13.6942669563966</v>
      </c>
      <c r="AD44" s="8">
        <f t="shared" si="62"/>
        <v>66.5815519954648</v>
      </c>
      <c r="AE44" s="8">
        <f t="shared" si="63"/>
        <v>51</v>
      </c>
      <c r="AF44" s="8">
        <f>((8*6))+AC44</f>
        <v>61.6942669563966</v>
      </c>
      <c r="AG44" s="8">
        <f t="shared" si="65"/>
        <v>42.480000000000004</v>
      </c>
      <c r="AH44" s="8">
        <f t="shared" si="66"/>
        <v>1.4964189987163028</v>
      </c>
      <c r="AI44" s="8">
        <f t="shared" si="67"/>
        <v>0.621642987170282</v>
      </c>
      <c r="AJ44" s="8">
        <f t="shared" si="68"/>
        <v>0.0606480963092958</v>
      </c>
      <c r="AK44" s="8">
        <f t="shared" si="69"/>
        <v>1.4660547640426684</v>
      </c>
      <c r="AL44" s="8">
        <f t="shared" si="70"/>
        <v>0.44387701330309864</v>
      </c>
      <c r="AM44" s="8">
        <f t="shared" si="71"/>
        <v>0.4678874543435505</v>
      </c>
      <c r="AN44" s="8">
        <f t="shared" si="72"/>
        <v>1.47</v>
      </c>
      <c r="AO44" s="8">
        <f t="shared" si="73"/>
        <v>1.875</v>
      </c>
      <c r="AP44" s="8">
        <f t="shared" si="74"/>
        <v>10.3125</v>
      </c>
      <c r="AQ44" s="8">
        <f t="shared" si="75"/>
        <v>299.88</v>
      </c>
      <c r="AR44" s="8">
        <f t="shared" si="76"/>
        <v>18857.00559895812</v>
      </c>
    </row>
    <row r="45" spans="1:44" ht="12.75">
      <c r="A45">
        <v>15</v>
      </c>
      <c r="B45">
        <v>17</v>
      </c>
      <c r="C45">
        <v>7.08</v>
      </c>
      <c r="D45" s="1">
        <f aca="true" t="shared" si="86" ref="D45:D56">C45*((0.5*150)+5+10+20)</f>
        <v>778.8</v>
      </c>
      <c r="E45" s="1">
        <v>0</v>
      </c>
      <c r="F45" s="1">
        <f t="shared" si="42"/>
        <v>424.8</v>
      </c>
      <c r="G45" s="1">
        <v>0</v>
      </c>
      <c r="H45" s="1">
        <f t="shared" si="44"/>
        <v>1614.24</v>
      </c>
      <c r="I45" s="1">
        <f t="shared" si="45"/>
        <v>161.424</v>
      </c>
      <c r="J45" s="1">
        <f t="shared" si="46"/>
        <v>322.848</v>
      </c>
      <c r="K45" s="1">
        <f t="shared" si="80"/>
        <v>16</v>
      </c>
      <c r="L45" s="1">
        <f t="shared" si="81"/>
        <v>20</v>
      </c>
      <c r="M45" s="1">
        <f t="shared" si="82"/>
        <v>8</v>
      </c>
      <c r="N45" s="1">
        <f t="shared" si="83"/>
        <v>10</v>
      </c>
      <c r="O45" s="8">
        <f t="shared" si="84"/>
        <v>133.33333333333331</v>
      </c>
      <c r="P45" s="8">
        <f t="shared" si="85"/>
        <v>208.33333333333337</v>
      </c>
      <c r="Q45">
        <v>200</v>
      </c>
      <c r="R45" s="8">
        <v>0</v>
      </c>
      <c r="S45" s="8">
        <f t="shared" si="52"/>
        <v>1854.24</v>
      </c>
      <c r="T45" s="8"/>
      <c r="U45" s="8"/>
      <c r="V45" s="8">
        <f t="shared" si="78"/>
        <v>15.761040000000001</v>
      </c>
      <c r="W45" s="8">
        <f t="shared" si="79"/>
        <v>66.98442</v>
      </c>
      <c r="X45" s="8">
        <f t="shared" si="57"/>
        <v>12.75</v>
      </c>
      <c r="Y45" s="8">
        <f t="shared" si="58"/>
        <v>10.25</v>
      </c>
      <c r="Z45" s="8">
        <f t="shared" si="59"/>
        <v>0.15</v>
      </c>
      <c r="AA45" s="8">
        <f t="shared" si="60"/>
        <v>546.9</v>
      </c>
      <c r="AB45" s="8">
        <f t="shared" si="77"/>
        <v>1469.7623697202414</v>
      </c>
      <c r="AC45" s="8">
        <f t="shared" si="61"/>
        <v>13.989409824820857</v>
      </c>
      <c r="AD45" s="8">
        <f t="shared" si="62"/>
        <v>68.01653718325547</v>
      </c>
      <c r="AE45" s="8">
        <f t="shared" si="63"/>
        <v>51</v>
      </c>
      <c r="AF45" s="8">
        <f aca="true" t="shared" si="87" ref="AF45:AF52">((8*6)*2)+AC45</f>
        <v>109.98940982482085</v>
      </c>
      <c r="AG45" s="8">
        <f t="shared" si="65"/>
        <v>84.96000000000001</v>
      </c>
      <c r="AH45" s="8">
        <f t="shared" si="66"/>
        <v>1.5286702610183998</v>
      </c>
      <c r="AI45" s="8">
        <f t="shared" si="67"/>
        <v>0.5289516474112109</v>
      </c>
      <c r="AJ45" s="8">
        <f t="shared" si="68"/>
        <v>0.05160503877182546</v>
      </c>
      <c r="AK45" s="8">
        <f t="shared" si="69"/>
        <v>1.4907005785439515</v>
      </c>
      <c r="AL45" s="8">
        <f t="shared" si="70"/>
        <v>0.45344358122170314</v>
      </c>
      <c r="AM45" s="8">
        <f t="shared" si="71"/>
        <v>0.4779715023480459</v>
      </c>
      <c r="AN45" s="8">
        <f t="shared" si="72"/>
        <v>1.49</v>
      </c>
      <c r="AO45" s="8">
        <f t="shared" si="73"/>
        <v>1.875</v>
      </c>
      <c r="AP45" s="8">
        <f t="shared" si="74"/>
        <v>10.3125</v>
      </c>
      <c r="AQ45" s="8">
        <f t="shared" si="75"/>
        <v>303.96</v>
      </c>
      <c r="AR45" s="8">
        <f t="shared" si="76"/>
        <v>19263.41732877832</v>
      </c>
    </row>
    <row r="46" spans="1:44" ht="12.75">
      <c r="A46">
        <v>33</v>
      </c>
      <c r="B46">
        <v>17</v>
      </c>
      <c r="C46">
        <v>7.08</v>
      </c>
      <c r="D46" s="1">
        <f t="shared" si="86"/>
        <v>778.8</v>
      </c>
      <c r="E46" s="1">
        <v>0</v>
      </c>
      <c r="F46" s="1">
        <f t="shared" si="42"/>
        <v>424.8</v>
      </c>
      <c r="G46" s="1">
        <v>0</v>
      </c>
      <c r="H46" s="1">
        <f t="shared" si="44"/>
        <v>1614.24</v>
      </c>
      <c r="I46" s="1">
        <f t="shared" si="45"/>
        <v>161.424</v>
      </c>
      <c r="J46" s="1">
        <f t="shared" si="46"/>
        <v>322.848</v>
      </c>
      <c r="K46" s="1">
        <f t="shared" si="80"/>
        <v>16</v>
      </c>
      <c r="L46" s="1">
        <f t="shared" si="81"/>
        <v>20</v>
      </c>
      <c r="M46" s="1">
        <f t="shared" si="82"/>
        <v>8</v>
      </c>
      <c r="N46" s="1">
        <f t="shared" si="83"/>
        <v>10</v>
      </c>
      <c r="O46" s="8">
        <f t="shared" si="84"/>
        <v>133.33333333333331</v>
      </c>
      <c r="P46" s="8">
        <f t="shared" si="85"/>
        <v>208.33333333333337</v>
      </c>
      <c r="Q46">
        <v>200</v>
      </c>
      <c r="R46" s="8">
        <v>0</v>
      </c>
      <c r="S46" s="8">
        <f t="shared" si="52"/>
        <v>1854.24</v>
      </c>
      <c r="T46" s="8"/>
      <c r="U46" s="8"/>
      <c r="V46" s="8">
        <f t="shared" si="78"/>
        <v>15.761040000000001</v>
      </c>
      <c r="W46" s="8">
        <f t="shared" si="79"/>
        <v>66.98442</v>
      </c>
      <c r="X46" s="8">
        <f t="shared" si="57"/>
        <v>12.75</v>
      </c>
      <c r="Y46" s="8">
        <f t="shared" si="58"/>
        <v>10.25</v>
      </c>
      <c r="Z46" s="8">
        <f t="shared" si="59"/>
        <v>0.15</v>
      </c>
      <c r="AA46" s="8">
        <f t="shared" si="60"/>
        <v>546.9</v>
      </c>
      <c r="AB46" s="8">
        <f t="shared" si="77"/>
        <v>1469.7623697202414</v>
      </c>
      <c r="AC46" s="8">
        <f t="shared" si="61"/>
        <v>13.989409824820857</v>
      </c>
      <c r="AD46" s="8">
        <f t="shared" si="62"/>
        <v>68.01653718325547</v>
      </c>
      <c r="AE46" s="8">
        <f t="shared" si="63"/>
        <v>51</v>
      </c>
      <c r="AF46" s="8">
        <f t="shared" si="87"/>
        <v>109.98940982482085</v>
      </c>
      <c r="AG46" s="8">
        <f t="shared" si="65"/>
        <v>84.96000000000001</v>
      </c>
      <c r="AH46" s="8">
        <f t="shared" si="66"/>
        <v>1.5286702610183998</v>
      </c>
      <c r="AI46" s="8">
        <f t="shared" si="67"/>
        <v>0.5289516474112109</v>
      </c>
      <c r="AJ46" s="8">
        <f t="shared" si="68"/>
        <v>0.05160503877182546</v>
      </c>
      <c r="AK46" s="8">
        <f t="shared" si="69"/>
        <v>1.4907005785439515</v>
      </c>
      <c r="AL46" s="8">
        <f t="shared" si="70"/>
        <v>0.45344358122170314</v>
      </c>
      <c r="AM46" s="8">
        <f t="shared" si="71"/>
        <v>0.4779715023480459</v>
      </c>
      <c r="AN46" s="8">
        <f t="shared" si="72"/>
        <v>1.49</v>
      </c>
      <c r="AO46" s="8">
        <f t="shared" si="73"/>
        <v>1.875</v>
      </c>
      <c r="AP46" s="8">
        <f t="shared" si="74"/>
        <v>10.3125</v>
      </c>
      <c r="AQ46" s="8">
        <f t="shared" si="75"/>
        <v>303.96</v>
      </c>
      <c r="AR46" s="8">
        <f t="shared" si="76"/>
        <v>19263.41732877832</v>
      </c>
    </row>
    <row r="47" spans="1:44" ht="12.75">
      <c r="A47">
        <v>2</v>
      </c>
      <c r="B47">
        <v>17</v>
      </c>
      <c r="C47">
        <v>7.08</v>
      </c>
      <c r="D47" s="1">
        <f t="shared" si="86"/>
        <v>778.8</v>
      </c>
      <c r="E47" s="1">
        <v>0</v>
      </c>
      <c r="F47" s="1">
        <f t="shared" si="42"/>
        <v>424.8</v>
      </c>
      <c r="G47" s="1">
        <v>0</v>
      </c>
      <c r="H47" s="1">
        <f t="shared" si="44"/>
        <v>1614.24</v>
      </c>
      <c r="I47" s="1">
        <f t="shared" si="45"/>
        <v>161.424</v>
      </c>
      <c r="J47" s="1">
        <f t="shared" si="46"/>
        <v>322.848</v>
      </c>
      <c r="K47" s="1">
        <f t="shared" si="80"/>
        <v>16</v>
      </c>
      <c r="L47" s="1">
        <f t="shared" si="81"/>
        <v>20</v>
      </c>
      <c r="M47" s="1">
        <f t="shared" si="82"/>
        <v>8</v>
      </c>
      <c r="N47" s="1">
        <f t="shared" si="83"/>
        <v>10</v>
      </c>
      <c r="O47" s="8">
        <f t="shared" si="84"/>
        <v>133.33333333333331</v>
      </c>
      <c r="P47" s="8">
        <f t="shared" si="85"/>
        <v>208.33333333333337</v>
      </c>
      <c r="Q47">
        <v>200</v>
      </c>
      <c r="R47" s="8">
        <v>0</v>
      </c>
      <c r="S47" s="8">
        <f t="shared" si="52"/>
        <v>1854.24</v>
      </c>
      <c r="T47" s="8"/>
      <c r="U47" s="8"/>
      <c r="V47" s="8">
        <f t="shared" si="78"/>
        <v>15.761040000000001</v>
      </c>
      <c r="W47" s="8">
        <f t="shared" si="79"/>
        <v>66.98442</v>
      </c>
      <c r="X47" s="8">
        <f t="shared" si="57"/>
        <v>12.75</v>
      </c>
      <c r="Y47" s="8">
        <f t="shared" si="58"/>
        <v>10.25</v>
      </c>
      <c r="Z47" s="8">
        <f t="shared" si="59"/>
        <v>0.15</v>
      </c>
      <c r="AA47" s="8">
        <f t="shared" si="60"/>
        <v>546.9</v>
      </c>
      <c r="AB47" s="8">
        <f t="shared" si="77"/>
        <v>1469.7623697202414</v>
      </c>
      <c r="AC47" s="8">
        <f t="shared" si="61"/>
        <v>13.989409824820857</v>
      </c>
      <c r="AD47" s="8">
        <f t="shared" si="62"/>
        <v>68.01653718325547</v>
      </c>
      <c r="AE47" s="8">
        <f t="shared" si="63"/>
        <v>51</v>
      </c>
      <c r="AF47" s="8">
        <f t="shared" si="87"/>
        <v>109.98940982482085</v>
      </c>
      <c r="AG47" s="8">
        <f t="shared" si="65"/>
        <v>84.96000000000001</v>
      </c>
      <c r="AH47" s="8">
        <f t="shared" si="66"/>
        <v>1.5286702610183998</v>
      </c>
      <c r="AI47" s="8">
        <f t="shared" si="67"/>
        <v>0.5289516474112109</v>
      </c>
      <c r="AJ47" s="8">
        <f t="shared" si="68"/>
        <v>0.05160503877182546</v>
      </c>
      <c r="AK47" s="8">
        <f t="shared" si="69"/>
        <v>1.4907005785439515</v>
      </c>
      <c r="AL47" s="8">
        <f t="shared" si="70"/>
        <v>0.45344358122170314</v>
      </c>
      <c r="AM47" s="8">
        <f t="shared" si="71"/>
        <v>0.4779715023480459</v>
      </c>
      <c r="AN47" s="8">
        <f t="shared" si="72"/>
        <v>1.49</v>
      </c>
      <c r="AO47" s="8">
        <f t="shared" si="73"/>
        <v>1.875</v>
      </c>
      <c r="AP47" s="8">
        <f t="shared" si="74"/>
        <v>10.3125</v>
      </c>
      <c r="AQ47" s="8">
        <f t="shared" si="75"/>
        <v>303.96</v>
      </c>
      <c r="AR47" s="8">
        <f t="shared" si="76"/>
        <v>19263.41732877832</v>
      </c>
    </row>
    <row r="48" spans="1:44" ht="12.75">
      <c r="A48">
        <v>18</v>
      </c>
      <c r="B48">
        <v>17</v>
      </c>
      <c r="C48">
        <v>7.08</v>
      </c>
      <c r="D48" s="1">
        <f t="shared" si="86"/>
        <v>778.8</v>
      </c>
      <c r="E48" s="1">
        <v>0</v>
      </c>
      <c r="F48" s="1">
        <f t="shared" si="42"/>
        <v>424.8</v>
      </c>
      <c r="G48" s="1">
        <v>0</v>
      </c>
      <c r="H48" s="1">
        <f t="shared" si="44"/>
        <v>1614.24</v>
      </c>
      <c r="I48" s="1">
        <f t="shared" si="45"/>
        <v>161.424</v>
      </c>
      <c r="J48" s="1">
        <f t="shared" si="46"/>
        <v>322.848</v>
      </c>
      <c r="K48" s="1">
        <f t="shared" si="80"/>
        <v>16</v>
      </c>
      <c r="L48" s="1">
        <f t="shared" si="81"/>
        <v>20</v>
      </c>
      <c r="M48" s="1">
        <f t="shared" si="82"/>
        <v>8</v>
      </c>
      <c r="N48" s="1">
        <f t="shared" si="83"/>
        <v>10</v>
      </c>
      <c r="O48" s="8">
        <f t="shared" si="84"/>
        <v>133.33333333333331</v>
      </c>
      <c r="P48" s="8">
        <f t="shared" si="85"/>
        <v>208.33333333333337</v>
      </c>
      <c r="Q48">
        <v>200</v>
      </c>
      <c r="R48" s="8">
        <v>0</v>
      </c>
      <c r="S48" s="8">
        <f t="shared" si="52"/>
        <v>1854.24</v>
      </c>
      <c r="T48" s="8"/>
      <c r="U48" s="8"/>
      <c r="V48" s="8">
        <f t="shared" si="78"/>
        <v>15.761040000000001</v>
      </c>
      <c r="W48" s="8">
        <f t="shared" si="79"/>
        <v>66.98442</v>
      </c>
      <c r="X48" s="8">
        <f t="shared" si="57"/>
        <v>12.75</v>
      </c>
      <c r="Y48" s="8">
        <f t="shared" si="58"/>
        <v>10.25</v>
      </c>
      <c r="Z48" s="8">
        <f t="shared" si="59"/>
        <v>0.15</v>
      </c>
      <c r="AA48" s="8">
        <f t="shared" si="60"/>
        <v>546.9</v>
      </c>
      <c r="AB48" s="8">
        <f t="shared" si="77"/>
        <v>1469.7623697202414</v>
      </c>
      <c r="AC48" s="8">
        <f t="shared" si="61"/>
        <v>13.989409824820857</v>
      </c>
      <c r="AD48" s="8">
        <f t="shared" si="62"/>
        <v>68.01653718325547</v>
      </c>
      <c r="AE48" s="8">
        <f t="shared" si="63"/>
        <v>51</v>
      </c>
      <c r="AF48" s="8">
        <f t="shared" si="87"/>
        <v>109.98940982482085</v>
      </c>
      <c r="AG48" s="8">
        <f t="shared" si="65"/>
        <v>84.96000000000001</v>
      </c>
      <c r="AH48" s="8">
        <f t="shared" si="66"/>
        <v>1.5286702610183998</v>
      </c>
      <c r="AI48" s="8">
        <f t="shared" si="67"/>
        <v>0.5289516474112109</v>
      </c>
      <c r="AJ48" s="8">
        <f t="shared" si="68"/>
        <v>0.05160503877182546</v>
      </c>
      <c r="AK48" s="8">
        <f t="shared" si="69"/>
        <v>1.4907005785439515</v>
      </c>
      <c r="AL48" s="8">
        <f t="shared" si="70"/>
        <v>0.45344358122170314</v>
      </c>
      <c r="AM48" s="8">
        <f t="shared" si="71"/>
        <v>0.4779715023480459</v>
      </c>
      <c r="AN48" s="8">
        <f t="shared" si="72"/>
        <v>1.49</v>
      </c>
      <c r="AO48" s="8">
        <f t="shared" si="73"/>
        <v>1.875</v>
      </c>
      <c r="AP48" s="8">
        <f t="shared" si="74"/>
        <v>10.3125</v>
      </c>
      <c r="AQ48" s="8">
        <f t="shared" si="75"/>
        <v>303.96</v>
      </c>
      <c r="AR48" s="8">
        <f t="shared" si="76"/>
        <v>19263.41732877832</v>
      </c>
    </row>
    <row r="49" spans="1:44" ht="12.75">
      <c r="A49">
        <v>4</v>
      </c>
      <c r="B49">
        <v>22.4</v>
      </c>
      <c r="C49">
        <v>9</v>
      </c>
      <c r="D49" s="1">
        <f t="shared" si="86"/>
        <v>990</v>
      </c>
      <c r="E49" s="1">
        <v>0</v>
      </c>
      <c r="F49" s="1">
        <f t="shared" si="42"/>
        <v>540</v>
      </c>
      <c r="G49" s="1">
        <v>0</v>
      </c>
      <c r="H49" s="1">
        <f t="shared" si="44"/>
        <v>2052</v>
      </c>
      <c r="I49" s="1">
        <f t="shared" si="45"/>
        <v>205.20000000000002</v>
      </c>
      <c r="J49" s="1">
        <f t="shared" si="46"/>
        <v>410.40000000000003</v>
      </c>
      <c r="K49" s="1">
        <f t="shared" si="80"/>
        <v>22</v>
      </c>
      <c r="L49" s="1">
        <f t="shared" si="81"/>
        <v>27</v>
      </c>
      <c r="M49" s="1">
        <f t="shared" si="82"/>
        <v>11</v>
      </c>
      <c r="N49" s="1">
        <f t="shared" si="83"/>
        <v>14</v>
      </c>
      <c r="O49" s="8">
        <f t="shared" si="84"/>
        <v>252.08333333333331</v>
      </c>
      <c r="P49" s="8">
        <f t="shared" si="85"/>
        <v>393.75</v>
      </c>
      <c r="Q49">
        <v>300</v>
      </c>
      <c r="R49" s="8">
        <v>0</v>
      </c>
      <c r="S49" s="8">
        <f t="shared" si="52"/>
        <v>2412</v>
      </c>
      <c r="T49" s="8"/>
      <c r="U49" s="8"/>
      <c r="V49" s="8">
        <f t="shared" si="78"/>
        <v>27.0144</v>
      </c>
      <c r="W49" s="8">
        <f t="shared" si="79"/>
        <v>151.28063999999998</v>
      </c>
      <c r="X49" s="8">
        <f t="shared" si="57"/>
        <v>16.799999999999997</v>
      </c>
      <c r="Y49" s="8">
        <f t="shared" si="58"/>
        <v>14.299999999999997</v>
      </c>
      <c r="Z49" s="8">
        <f t="shared" si="59"/>
        <v>0.15</v>
      </c>
      <c r="AA49" s="8">
        <f t="shared" si="60"/>
        <v>546.9</v>
      </c>
      <c r="AB49" s="8">
        <f t="shared" si="77"/>
        <v>3319.3777290181015</v>
      </c>
      <c r="AC49" s="8">
        <f t="shared" si="61"/>
        <v>16.232469700318365</v>
      </c>
      <c r="AD49" s="8">
        <f t="shared" si="62"/>
        <v>110.10623116924188</v>
      </c>
      <c r="AE49" s="8">
        <f t="shared" si="63"/>
        <v>67.19999999999999</v>
      </c>
      <c r="AF49" s="8">
        <f t="shared" si="87"/>
        <v>112.23246970031836</v>
      </c>
      <c r="AG49" s="8">
        <f t="shared" si="65"/>
        <v>108</v>
      </c>
      <c r="AH49" s="8">
        <f t="shared" si="66"/>
        <v>2.4746352594773646</v>
      </c>
      <c r="AI49" s="8">
        <f t="shared" si="67"/>
        <v>0.6498516962913248</v>
      </c>
      <c r="AJ49" s="8">
        <f t="shared" si="68"/>
        <v>0.04544417456582692</v>
      </c>
      <c r="AK49" s="8">
        <f t="shared" si="69"/>
        <v>2.4055629068371904</v>
      </c>
      <c r="AL49" s="8">
        <f t="shared" si="70"/>
        <v>0.734041541128279</v>
      </c>
      <c r="AM49" s="8">
        <f t="shared" si="71"/>
        <v>0.773747722381842</v>
      </c>
      <c r="AN49" s="8">
        <f t="shared" si="72"/>
        <v>2.41</v>
      </c>
      <c r="AO49" s="8">
        <f t="shared" si="73"/>
        <v>1.875</v>
      </c>
      <c r="AP49" s="8">
        <f t="shared" si="74"/>
        <v>10.3125</v>
      </c>
      <c r="AQ49" s="8">
        <f t="shared" si="75"/>
        <v>647.8079999999999</v>
      </c>
      <c r="AR49" s="8">
        <f t="shared" si="76"/>
        <v>47123.50883881221</v>
      </c>
    </row>
    <row r="50" spans="1:44" ht="12.75">
      <c r="A50">
        <v>20</v>
      </c>
      <c r="B50">
        <v>22.4</v>
      </c>
      <c r="C50">
        <v>9</v>
      </c>
      <c r="D50" s="1">
        <f t="shared" si="86"/>
        <v>990</v>
      </c>
      <c r="E50" s="1">
        <v>0</v>
      </c>
      <c r="F50" s="1">
        <f t="shared" si="42"/>
        <v>540</v>
      </c>
      <c r="G50" s="1">
        <v>0</v>
      </c>
      <c r="H50" s="1">
        <f t="shared" si="44"/>
        <v>2052</v>
      </c>
      <c r="I50" s="1">
        <f t="shared" si="45"/>
        <v>205.20000000000002</v>
      </c>
      <c r="J50" s="1">
        <f t="shared" si="46"/>
        <v>410.40000000000003</v>
      </c>
      <c r="K50" s="1">
        <f t="shared" si="80"/>
        <v>22</v>
      </c>
      <c r="L50" s="1">
        <f t="shared" si="81"/>
        <v>27</v>
      </c>
      <c r="M50" s="1">
        <f t="shared" si="82"/>
        <v>11</v>
      </c>
      <c r="N50" s="1">
        <f t="shared" si="83"/>
        <v>14</v>
      </c>
      <c r="O50" s="8">
        <f t="shared" si="84"/>
        <v>252.08333333333331</v>
      </c>
      <c r="P50" s="8">
        <f t="shared" si="85"/>
        <v>393.75</v>
      </c>
      <c r="Q50">
        <v>300</v>
      </c>
      <c r="R50" s="8">
        <v>0</v>
      </c>
      <c r="S50" s="8">
        <f t="shared" si="52"/>
        <v>2412</v>
      </c>
      <c r="T50" s="8"/>
      <c r="U50" s="8"/>
      <c r="V50" s="8">
        <f t="shared" si="78"/>
        <v>27.0144</v>
      </c>
      <c r="W50" s="8">
        <f t="shared" si="79"/>
        <v>151.28063999999998</v>
      </c>
      <c r="X50" s="8">
        <f t="shared" si="57"/>
        <v>16.799999999999997</v>
      </c>
      <c r="Y50" s="8">
        <f t="shared" si="58"/>
        <v>14.299999999999997</v>
      </c>
      <c r="Z50" s="8">
        <f t="shared" si="59"/>
        <v>0.15</v>
      </c>
      <c r="AA50" s="8">
        <f t="shared" si="60"/>
        <v>546.9</v>
      </c>
      <c r="AB50" s="8">
        <f t="shared" si="77"/>
        <v>3319.3777290181015</v>
      </c>
      <c r="AC50" s="8">
        <f t="shared" si="61"/>
        <v>16.232469700318365</v>
      </c>
      <c r="AD50" s="8">
        <f t="shared" si="62"/>
        <v>110.10623116924188</v>
      </c>
      <c r="AE50" s="8">
        <f t="shared" si="63"/>
        <v>67.19999999999999</v>
      </c>
      <c r="AF50" s="8">
        <f t="shared" si="87"/>
        <v>112.23246970031836</v>
      </c>
      <c r="AG50" s="8">
        <f t="shared" si="65"/>
        <v>108</v>
      </c>
      <c r="AH50" s="8">
        <f t="shared" si="66"/>
        <v>2.4746352594773646</v>
      </c>
      <c r="AI50" s="8">
        <f t="shared" si="67"/>
        <v>0.6498516962913248</v>
      </c>
      <c r="AJ50" s="8">
        <f t="shared" si="68"/>
        <v>0.04544417456582692</v>
      </c>
      <c r="AK50" s="8">
        <f t="shared" si="69"/>
        <v>2.4055629068371904</v>
      </c>
      <c r="AL50" s="8">
        <f t="shared" si="70"/>
        <v>0.734041541128279</v>
      </c>
      <c r="AM50" s="8">
        <f t="shared" si="71"/>
        <v>0.773747722381842</v>
      </c>
      <c r="AN50" s="8">
        <f t="shared" si="72"/>
        <v>2.41</v>
      </c>
      <c r="AO50" s="8">
        <f t="shared" si="73"/>
        <v>1.875</v>
      </c>
      <c r="AP50" s="8">
        <f t="shared" si="74"/>
        <v>10.3125</v>
      </c>
      <c r="AQ50" s="8">
        <f t="shared" si="75"/>
        <v>647.8079999999999</v>
      </c>
      <c r="AR50" s="8">
        <f t="shared" si="76"/>
        <v>47123.50883881221</v>
      </c>
    </row>
    <row r="51" spans="1:44" ht="12.75">
      <c r="A51">
        <v>13</v>
      </c>
      <c r="B51">
        <v>22.4</v>
      </c>
      <c r="C51">
        <v>9</v>
      </c>
      <c r="D51" s="1">
        <f t="shared" si="86"/>
        <v>990</v>
      </c>
      <c r="E51" s="1">
        <v>0</v>
      </c>
      <c r="F51" s="1">
        <f t="shared" si="42"/>
        <v>540</v>
      </c>
      <c r="G51" s="1">
        <v>0</v>
      </c>
      <c r="H51" s="1">
        <f t="shared" si="44"/>
        <v>2052</v>
      </c>
      <c r="I51" s="1">
        <f t="shared" si="45"/>
        <v>205.20000000000002</v>
      </c>
      <c r="J51" s="1">
        <f t="shared" si="46"/>
        <v>410.40000000000003</v>
      </c>
      <c r="K51" s="1">
        <f t="shared" si="80"/>
        <v>22</v>
      </c>
      <c r="L51" s="1">
        <f t="shared" si="81"/>
        <v>27</v>
      </c>
      <c r="M51" s="1">
        <f t="shared" si="82"/>
        <v>11</v>
      </c>
      <c r="N51" s="1">
        <f t="shared" si="83"/>
        <v>14</v>
      </c>
      <c r="O51" s="8">
        <f t="shared" si="84"/>
        <v>252.08333333333331</v>
      </c>
      <c r="P51" s="8">
        <f t="shared" si="85"/>
        <v>393.75</v>
      </c>
      <c r="Q51">
        <v>300</v>
      </c>
      <c r="R51" s="8">
        <v>0</v>
      </c>
      <c r="S51" s="8">
        <f t="shared" si="52"/>
        <v>2412</v>
      </c>
      <c r="T51" s="8"/>
      <c r="U51" s="8"/>
      <c r="V51" s="8">
        <f t="shared" si="78"/>
        <v>27.0144</v>
      </c>
      <c r="W51" s="8">
        <f t="shared" si="79"/>
        <v>151.28063999999998</v>
      </c>
      <c r="X51" s="8">
        <f t="shared" si="57"/>
        <v>16.799999999999997</v>
      </c>
      <c r="Y51" s="8">
        <f t="shared" si="58"/>
        <v>14.299999999999997</v>
      </c>
      <c r="Z51" s="8">
        <f t="shared" si="59"/>
        <v>0.15</v>
      </c>
      <c r="AA51" s="8">
        <f t="shared" si="60"/>
        <v>546.9</v>
      </c>
      <c r="AB51" s="8">
        <f t="shared" si="77"/>
        <v>3319.3777290181015</v>
      </c>
      <c r="AC51" s="8">
        <f t="shared" si="61"/>
        <v>16.232469700318365</v>
      </c>
      <c r="AD51" s="8">
        <f t="shared" si="62"/>
        <v>110.10623116924188</v>
      </c>
      <c r="AE51" s="8">
        <f t="shared" si="63"/>
        <v>67.19999999999999</v>
      </c>
      <c r="AF51" s="8">
        <f t="shared" si="87"/>
        <v>112.23246970031836</v>
      </c>
      <c r="AG51" s="8">
        <f t="shared" si="65"/>
        <v>108</v>
      </c>
      <c r="AH51" s="8">
        <f t="shared" si="66"/>
        <v>2.4746352594773646</v>
      </c>
      <c r="AI51" s="8">
        <f t="shared" si="67"/>
        <v>0.6498516962913248</v>
      </c>
      <c r="AJ51" s="8">
        <f t="shared" si="68"/>
        <v>0.04544417456582692</v>
      </c>
      <c r="AK51" s="8">
        <f t="shared" si="69"/>
        <v>2.4055629068371904</v>
      </c>
      <c r="AL51" s="8">
        <f t="shared" si="70"/>
        <v>0.734041541128279</v>
      </c>
      <c r="AM51" s="8">
        <f t="shared" si="71"/>
        <v>0.773747722381842</v>
      </c>
      <c r="AN51" s="8">
        <f t="shared" si="72"/>
        <v>2.41</v>
      </c>
      <c r="AO51" s="8">
        <f t="shared" si="73"/>
        <v>1.875</v>
      </c>
      <c r="AP51" s="8">
        <f t="shared" si="74"/>
        <v>10.3125</v>
      </c>
      <c r="AQ51" s="8">
        <f t="shared" si="75"/>
        <v>647.8079999999999</v>
      </c>
      <c r="AR51" s="8">
        <f t="shared" si="76"/>
        <v>47123.50883881221</v>
      </c>
    </row>
    <row r="52" spans="1:44" ht="12.75">
      <c r="A52">
        <v>31</v>
      </c>
      <c r="B52">
        <v>22.4</v>
      </c>
      <c r="C52">
        <v>9</v>
      </c>
      <c r="D52" s="1">
        <f t="shared" si="86"/>
        <v>990</v>
      </c>
      <c r="E52" s="1">
        <v>0</v>
      </c>
      <c r="F52" s="1">
        <f t="shared" si="42"/>
        <v>540</v>
      </c>
      <c r="G52" s="1">
        <v>0</v>
      </c>
      <c r="H52" s="1">
        <f t="shared" si="44"/>
        <v>2052</v>
      </c>
      <c r="I52" s="1">
        <f t="shared" si="45"/>
        <v>205.20000000000002</v>
      </c>
      <c r="J52" s="1">
        <f t="shared" si="46"/>
        <v>410.40000000000003</v>
      </c>
      <c r="K52" s="1">
        <f t="shared" si="80"/>
        <v>22</v>
      </c>
      <c r="L52" s="1">
        <f t="shared" si="81"/>
        <v>27</v>
      </c>
      <c r="M52" s="1">
        <f t="shared" si="82"/>
        <v>11</v>
      </c>
      <c r="N52" s="1">
        <f t="shared" si="83"/>
        <v>14</v>
      </c>
      <c r="O52" s="8">
        <f t="shared" si="84"/>
        <v>252.08333333333331</v>
      </c>
      <c r="P52" s="8">
        <f t="shared" si="85"/>
        <v>393.75</v>
      </c>
      <c r="Q52">
        <v>300</v>
      </c>
      <c r="R52" s="8">
        <v>0</v>
      </c>
      <c r="S52" s="8">
        <f t="shared" si="52"/>
        <v>2412</v>
      </c>
      <c r="T52" s="8"/>
      <c r="U52" s="8"/>
      <c r="V52" s="8">
        <f t="shared" si="78"/>
        <v>27.0144</v>
      </c>
      <c r="W52" s="8">
        <f t="shared" si="79"/>
        <v>151.28063999999998</v>
      </c>
      <c r="X52" s="8">
        <f t="shared" si="57"/>
        <v>16.799999999999997</v>
      </c>
      <c r="Y52" s="8">
        <f t="shared" si="58"/>
        <v>14.299999999999997</v>
      </c>
      <c r="Z52" s="8">
        <f t="shared" si="59"/>
        <v>0.15</v>
      </c>
      <c r="AA52" s="8">
        <f t="shared" si="60"/>
        <v>546.9</v>
      </c>
      <c r="AB52" s="8">
        <f t="shared" si="77"/>
        <v>3319.3777290181015</v>
      </c>
      <c r="AC52" s="8">
        <f t="shared" si="61"/>
        <v>16.232469700318365</v>
      </c>
      <c r="AD52" s="8">
        <f t="shared" si="62"/>
        <v>110.10623116924188</v>
      </c>
      <c r="AE52" s="8">
        <f t="shared" si="63"/>
        <v>67.19999999999999</v>
      </c>
      <c r="AF52" s="8">
        <f t="shared" si="87"/>
        <v>112.23246970031836</v>
      </c>
      <c r="AG52" s="8">
        <f t="shared" si="65"/>
        <v>108</v>
      </c>
      <c r="AH52" s="8">
        <f t="shared" si="66"/>
        <v>2.4746352594773646</v>
      </c>
      <c r="AI52" s="8">
        <f t="shared" si="67"/>
        <v>0.6498516962913248</v>
      </c>
      <c r="AJ52" s="8">
        <f t="shared" si="68"/>
        <v>0.04544417456582692</v>
      </c>
      <c r="AK52" s="8">
        <f t="shared" si="69"/>
        <v>2.4055629068371904</v>
      </c>
      <c r="AL52" s="8">
        <f t="shared" si="70"/>
        <v>0.734041541128279</v>
      </c>
      <c r="AM52" s="8">
        <f t="shared" si="71"/>
        <v>0.773747722381842</v>
      </c>
      <c r="AN52" s="8">
        <f t="shared" si="72"/>
        <v>2.41</v>
      </c>
      <c r="AO52" s="8">
        <f t="shared" si="73"/>
        <v>1.875</v>
      </c>
      <c r="AP52" s="8">
        <f t="shared" si="74"/>
        <v>10.3125</v>
      </c>
      <c r="AQ52" s="8">
        <f t="shared" si="75"/>
        <v>647.8079999999999</v>
      </c>
      <c r="AR52" s="8">
        <f t="shared" si="76"/>
        <v>47123.50883881221</v>
      </c>
    </row>
    <row r="53" spans="1:44" ht="12.75">
      <c r="A53" s="6" t="s">
        <v>108</v>
      </c>
      <c r="B53">
        <v>24</v>
      </c>
      <c r="C53">
        <v>7.16</v>
      </c>
      <c r="D53" s="1">
        <f t="shared" si="86"/>
        <v>787.6</v>
      </c>
      <c r="E53" s="1">
        <v>0</v>
      </c>
      <c r="F53" s="1">
        <f t="shared" si="42"/>
        <v>429.6</v>
      </c>
      <c r="G53" s="1">
        <v>0</v>
      </c>
      <c r="H53" s="1">
        <f t="shared" si="44"/>
        <v>1632.48</v>
      </c>
      <c r="I53" s="1">
        <f t="shared" si="45"/>
        <v>163.24800000000002</v>
      </c>
      <c r="J53" s="1">
        <f t="shared" si="46"/>
        <v>326.49600000000004</v>
      </c>
      <c r="K53" s="1">
        <f t="shared" si="80"/>
        <v>23</v>
      </c>
      <c r="L53" s="1">
        <f t="shared" si="81"/>
        <v>29</v>
      </c>
      <c r="M53" s="1">
        <f t="shared" si="82"/>
        <v>12</v>
      </c>
      <c r="N53" s="1">
        <f t="shared" si="83"/>
        <v>15</v>
      </c>
      <c r="O53" s="8">
        <f t="shared" si="84"/>
        <v>287.5</v>
      </c>
      <c r="P53" s="8">
        <f t="shared" si="85"/>
        <v>453.12499999999994</v>
      </c>
      <c r="Q53">
        <v>300</v>
      </c>
      <c r="R53" s="8">
        <v>0</v>
      </c>
      <c r="S53" s="8">
        <f t="shared" si="52"/>
        <v>1992.48</v>
      </c>
      <c r="T53" s="8">
        <v>18.58</v>
      </c>
      <c r="U53" s="8">
        <v>48.28</v>
      </c>
      <c r="V53" s="8">
        <v>21.92</v>
      </c>
      <c r="W53" s="8">
        <v>95.89</v>
      </c>
      <c r="X53" s="8">
        <f t="shared" si="57"/>
        <v>18</v>
      </c>
      <c r="Y53" s="8">
        <f t="shared" si="58"/>
        <v>15.5</v>
      </c>
      <c r="Z53" s="8">
        <f t="shared" si="59"/>
        <v>0.15</v>
      </c>
      <c r="AA53" s="8">
        <f t="shared" si="60"/>
        <v>546.9</v>
      </c>
      <c r="AB53" s="8">
        <f>(12000*W53)/AA53</f>
        <v>2104.004388370817</v>
      </c>
      <c r="AC53" s="8">
        <f aca="true" t="shared" si="88" ref="AC53:AC58">AB53/(Y53^2)</f>
        <v>8.757562490617346</v>
      </c>
      <c r="AD53" s="8">
        <f>0.75*((((2*(4000^0.5)*AC53*Y53)+(8*(4000^0.5)*AC53*Y53)))/1000)</f>
        <v>64.38818781523808</v>
      </c>
      <c r="AE53" s="8">
        <f>(B53/4)*12</f>
        <v>72</v>
      </c>
      <c r="AF53" s="8">
        <f aca="true" t="shared" si="89" ref="AF53:AF58">((8*6)*2)+AC53</f>
        <v>104.75756249061735</v>
      </c>
      <c r="AG53" s="8">
        <f>C53*12</f>
        <v>85.92</v>
      </c>
      <c r="AH53" s="8">
        <f>(W53*12000)/(0.9*60000*0.95*Y53)</f>
        <v>1.4471231843048482</v>
      </c>
      <c r="AI53" s="8">
        <f>(AH53*60000)/(0.85*4000*(MIN(AE53:AG53)))</f>
        <v>0.35468705497667846</v>
      </c>
      <c r="AJ53" s="8">
        <f>AI53/Y53</f>
        <v>0.022883035804946997</v>
      </c>
      <c r="AK53" s="8">
        <f>(W53*12000)/(0.9*60000*(Y53-(AI53/2)))</f>
        <v>1.3906784980213014</v>
      </c>
      <c r="AL53" s="8">
        <f>(3*(4000^0.5)*AC53*Y53)/60000</f>
        <v>0.4292545854349207</v>
      </c>
      <c r="AM53" s="8">
        <f>(200*AC53*Y53)/60000</f>
        <v>0.45247406201522955</v>
      </c>
      <c r="AN53" s="8">
        <f>ROUND(MAX(AK53:AM53),2)</f>
        <v>1.39</v>
      </c>
      <c r="AO53" s="8">
        <f t="shared" si="73"/>
        <v>1.875</v>
      </c>
      <c r="AP53" s="8">
        <f t="shared" si="74"/>
        <v>10.3125</v>
      </c>
      <c r="AQ53" s="8">
        <f>AN53*(B53*12)</f>
        <v>400.32</v>
      </c>
      <c r="AR53" s="8">
        <f>(X53-6)*AC53*(12*B53)</f>
        <v>30266.135967573548</v>
      </c>
    </row>
    <row r="54" spans="1:44" ht="12.75">
      <c r="A54" s="6" t="s">
        <v>109</v>
      </c>
      <c r="B54">
        <v>24</v>
      </c>
      <c r="C54">
        <v>7.16</v>
      </c>
      <c r="D54" s="1">
        <f t="shared" si="86"/>
        <v>787.6</v>
      </c>
      <c r="E54" s="1">
        <v>0</v>
      </c>
      <c r="F54" s="1">
        <f>C54*60</f>
        <v>429.6</v>
      </c>
      <c r="G54" s="1">
        <v>0</v>
      </c>
      <c r="H54" s="1">
        <f>(1.2*D54)+(1.6*F54)</f>
        <v>1632.48</v>
      </c>
      <c r="I54" s="1">
        <f>0.1*MAX(G54:H54)</f>
        <v>163.24800000000002</v>
      </c>
      <c r="J54" s="1">
        <f>0.2*MAX(G54:H54)</f>
        <v>326.49600000000004</v>
      </c>
      <c r="K54" s="1">
        <f>ROUND(((0.08*B54)*12),0)</f>
        <v>23</v>
      </c>
      <c r="L54" s="1">
        <f>ROUND(((0.1*B54)*12),0)</f>
        <v>29</v>
      </c>
      <c r="M54" s="1">
        <f aca="true" t="shared" si="90" ref="M54:N56">ROUND((0.5*K54),0)</f>
        <v>12</v>
      </c>
      <c r="N54" s="1">
        <f t="shared" si="90"/>
        <v>15</v>
      </c>
      <c r="O54" s="8">
        <f aca="true" t="shared" si="91" ref="O54:P56">(M54/12)*(K54/12)*150</f>
        <v>287.5</v>
      </c>
      <c r="P54" s="8">
        <f t="shared" si="91"/>
        <v>453.12499999999994</v>
      </c>
      <c r="Q54">
        <v>300</v>
      </c>
      <c r="R54" s="8">
        <v>0</v>
      </c>
      <c r="S54" s="8">
        <f>(1.2*Q54)+H54</f>
        <v>1992.48</v>
      </c>
      <c r="T54" s="8">
        <v>18.58</v>
      </c>
      <c r="U54" s="8">
        <v>48.28</v>
      </c>
      <c r="V54" s="8">
        <v>21.92</v>
      </c>
      <c r="W54" s="8">
        <v>611</v>
      </c>
      <c r="X54" s="8">
        <f>(B54/16)*12</f>
        <v>18</v>
      </c>
      <c r="Y54" s="8">
        <f t="shared" si="58"/>
        <v>15.5</v>
      </c>
      <c r="Z54" s="8">
        <f t="shared" si="59"/>
        <v>0.15</v>
      </c>
      <c r="AA54" s="8">
        <f t="shared" si="60"/>
        <v>546.9</v>
      </c>
      <c r="AB54" s="8">
        <f>(12000*W54)/AA54</f>
        <v>13406.472846955568</v>
      </c>
      <c r="AC54" s="8">
        <f t="shared" si="88"/>
        <v>55.80217626204191</v>
      </c>
      <c r="AD54" s="8">
        <f>0.75*((((2*(4000^0.5)*AC54*Y54)+(8*(4000^0.5)*AC54*Y54)))/1000)</f>
        <v>410.2740927636925</v>
      </c>
      <c r="AE54" s="8">
        <f>(B54/4)*12</f>
        <v>72</v>
      </c>
      <c r="AF54" s="8">
        <f t="shared" si="89"/>
        <v>151.8021762620419</v>
      </c>
      <c r="AG54" s="8">
        <f>C54*12</f>
        <v>85.92</v>
      </c>
      <c r="AH54" s="8">
        <f>(W54*12000)/(0.9*60000*0.95*Y54)</f>
        <v>9.220901716657234</v>
      </c>
      <c r="AI54" s="8">
        <f>(AH54*60000)/(0.85*4000*(MIN(AE54:AG54)))</f>
        <v>2.260024930553244</v>
      </c>
      <c r="AJ54" s="8">
        <f>AI54/Y54</f>
        <v>0.14580806003569316</v>
      </c>
      <c r="AK54" s="8">
        <f>(W54*12000)/(0.9*60000*(Y54-(AI54/2)))</f>
        <v>9.448705327662033</v>
      </c>
      <c r="AL54" s="8">
        <f>(3*(4000^0.5)*AC54*Y54)/60000</f>
        <v>2.735160618424617</v>
      </c>
      <c r="AM54" s="8">
        <f>(200*AC54*Y54)/60000</f>
        <v>2.883112440205499</v>
      </c>
      <c r="AN54" s="8">
        <f>ROUND(MAX(AK54:AM54),2)</f>
        <v>9.45</v>
      </c>
      <c r="AO54" s="8">
        <f t="shared" si="73"/>
        <v>1.875</v>
      </c>
      <c r="AP54" s="8">
        <f t="shared" si="74"/>
        <v>10.3125</v>
      </c>
      <c r="AQ54" s="8">
        <f>AN54*(B54*12)</f>
        <v>2721.6</v>
      </c>
      <c r="AR54" s="8">
        <f>(X54-6)*AC54*(12*B54)</f>
        <v>192852.32116161686</v>
      </c>
    </row>
    <row r="55" spans="1:44" ht="12.75">
      <c r="A55" s="6" t="s">
        <v>107</v>
      </c>
      <c r="B55">
        <v>24</v>
      </c>
      <c r="C55">
        <v>7.16</v>
      </c>
      <c r="D55" s="1">
        <f t="shared" si="86"/>
        <v>787.6</v>
      </c>
      <c r="E55" s="1">
        <v>1</v>
      </c>
      <c r="F55" s="1">
        <f>C55*60</f>
        <v>429.6</v>
      </c>
      <c r="G55" s="1">
        <v>1</v>
      </c>
      <c r="H55" s="1">
        <f>(1.2*D55)+(1.6*F55)</f>
        <v>1632.48</v>
      </c>
      <c r="I55" s="1">
        <f>0.1*MAX(G55:H55)</f>
        <v>163.24800000000002</v>
      </c>
      <c r="J55" s="1">
        <f>0.2*MAX(G55:H55)</f>
        <v>326.49600000000004</v>
      </c>
      <c r="K55" s="1">
        <f>ROUND(((0.08*B55)*12),0)</f>
        <v>23</v>
      </c>
      <c r="L55" s="1">
        <f>ROUND(((0.1*B55)*12),0)</f>
        <v>29</v>
      </c>
      <c r="M55" s="1">
        <f t="shared" si="90"/>
        <v>12</v>
      </c>
      <c r="N55" s="1">
        <f t="shared" si="90"/>
        <v>15</v>
      </c>
      <c r="O55" s="8">
        <f t="shared" si="91"/>
        <v>287.5</v>
      </c>
      <c r="P55" s="8">
        <f t="shared" si="91"/>
        <v>453.12499999999994</v>
      </c>
      <c r="Q55">
        <v>300</v>
      </c>
      <c r="R55" s="8">
        <v>0</v>
      </c>
      <c r="S55" s="8">
        <f>(1.2*Q55)+H55</f>
        <v>1992.48</v>
      </c>
      <c r="T55" s="8">
        <v>18.58</v>
      </c>
      <c r="U55" s="8">
        <v>48.28</v>
      </c>
      <c r="V55" s="8">
        <v>21.92</v>
      </c>
      <c r="W55" s="8">
        <v>95.89</v>
      </c>
      <c r="X55" s="8">
        <f>(B55/16)*12</f>
        <v>18</v>
      </c>
      <c r="Y55" s="8">
        <f t="shared" si="58"/>
        <v>15.5</v>
      </c>
      <c r="Z55" s="8">
        <f t="shared" si="59"/>
        <v>0.15</v>
      </c>
      <c r="AA55" s="8">
        <f t="shared" si="60"/>
        <v>546.9</v>
      </c>
      <c r="AB55" s="8">
        <f>(12000*W55)/AA55</f>
        <v>2104.004388370817</v>
      </c>
      <c r="AC55" s="8">
        <f t="shared" si="88"/>
        <v>8.757562490617346</v>
      </c>
      <c r="AD55" s="8">
        <f>0.75*((((2*(4000^0.5)*AC55*Y55)+(8*(4000^0.5)*AC55*Y55)))/1000)</f>
        <v>64.38818781523808</v>
      </c>
      <c r="AE55" s="8">
        <f>(B55/4)*12</f>
        <v>72</v>
      </c>
      <c r="AF55" s="8">
        <f t="shared" si="89"/>
        <v>104.75756249061735</v>
      </c>
      <c r="AG55" s="8">
        <f>C55*12</f>
        <v>85.92</v>
      </c>
      <c r="AH55" s="8">
        <f>(W55*12000)/(0.9*60000*0.95*Y55)</f>
        <v>1.4471231843048482</v>
      </c>
      <c r="AI55" s="8">
        <f>(AH55*60000)/(0.85*4000*(MIN(AE55:AG55)))</f>
        <v>0.35468705497667846</v>
      </c>
      <c r="AJ55" s="8">
        <f>AI55/Y55</f>
        <v>0.022883035804946997</v>
      </c>
      <c r="AK55" s="8">
        <f>(W55*12000)/(0.9*60000*(Y55-(AI55/2)))</f>
        <v>1.3906784980213014</v>
      </c>
      <c r="AL55" s="8">
        <f>(3*(4000^0.5)*AC55*Y55)/60000</f>
        <v>0.4292545854349207</v>
      </c>
      <c r="AM55" s="8">
        <f>(200*AC55*Y55)/60000</f>
        <v>0.45247406201522955</v>
      </c>
      <c r="AN55" s="8">
        <f>ROUND(MAX(AK55:AM55),2)</f>
        <v>1.39</v>
      </c>
      <c r="AO55" s="8">
        <f t="shared" si="73"/>
        <v>1.875</v>
      </c>
      <c r="AP55" s="8">
        <f t="shared" si="74"/>
        <v>10.3125</v>
      </c>
      <c r="AQ55" s="8">
        <f>AN55*(B55*12)</f>
        <v>400.32</v>
      </c>
      <c r="AR55" s="8">
        <f>(X55-6)*AC55*(12*B55)</f>
        <v>30266.135967573548</v>
      </c>
    </row>
    <row r="56" spans="1:44" ht="12.75">
      <c r="A56" s="6" t="s">
        <v>106</v>
      </c>
      <c r="B56">
        <v>24</v>
      </c>
      <c r="C56">
        <v>7.16</v>
      </c>
      <c r="D56" s="1">
        <f t="shared" si="86"/>
        <v>787.6</v>
      </c>
      <c r="E56" s="1">
        <v>0</v>
      </c>
      <c r="F56" s="1">
        <f>C56*60</f>
        <v>429.6</v>
      </c>
      <c r="G56" s="1">
        <v>0</v>
      </c>
      <c r="H56" s="1">
        <f>(1.2*D56)+(1.6*F56)</f>
        <v>1632.48</v>
      </c>
      <c r="I56" s="1">
        <f>0.1*MAX(G56:H56)</f>
        <v>163.24800000000002</v>
      </c>
      <c r="J56" s="1">
        <f>0.2*MAX(G56:H56)</f>
        <v>326.49600000000004</v>
      </c>
      <c r="K56" s="1">
        <f>ROUND(((0.08*B56)*12),0)</f>
        <v>23</v>
      </c>
      <c r="L56" s="1">
        <f>ROUND(((0.1*B56)*12),0)</f>
        <v>29</v>
      </c>
      <c r="M56" s="1">
        <f t="shared" si="90"/>
        <v>12</v>
      </c>
      <c r="N56" s="1">
        <f t="shared" si="90"/>
        <v>15</v>
      </c>
      <c r="O56" s="8">
        <f t="shared" si="91"/>
        <v>287.5</v>
      </c>
      <c r="P56" s="8">
        <f t="shared" si="91"/>
        <v>453.12499999999994</v>
      </c>
      <c r="Q56">
        <v>300</v>
      </c>
      <c r="R56" s="8">
        <v>0</v>
      </c>
      <c r="S56" s="8">
        <f>(1.2*Q56)+H56</f>
        <v>1992.48</v>
      </c>
      <c r="T56" s="8">
        <v>18.58</v>
      </c>
      <c r="U56" s="8">
        <v>48.28</v>
      </c>
      <c r="V56" s="8">
        <v>21.92</v>
      </c>
      <c r="W56" s="8">
        <v>611</v>
      </c>
      <c r="X56" s="8">
        <f>(B56/16)*12</f>
        <v>18</v>
      </c>
      <c r="Y56" s="8">
        <f t="shared" si="58"/>
        <v>15.5</v>
      </c>
      <c r="Z56" s="8">
        <f t="shared" si="59"/>
        <v>0.15</v>
      </c>
      <c r="AA56" s="8">
        <f t="shared" si="60"/>
        <v>546.9</v>
      </c>
      <c r="AB56" s="8">
        <f>(12000*W56)/AA56</f>
        <v>13406.472846955568</v>
      </c>
      <c r="AC56" s="8">
        <f t="shared" si="88"/>
        <v>55.80217626204191</v>
      </c>
      <c r="AD56" s="8">
        <f>0.75*((((2*(4000^0.5)*AC56*Y56)+(8*(4000^0.5)*AC56*Y56)))/1000)</f>
        <v>410.2740927636925</v>
      </c>
      <c r="AE56" s="8">
        <f>(B56/4)*12</f>
        <v>72</v>
      </c>
      <c r="AF56" s="8">
        <f t="shared" si="89"/>
        <v>151.8021762620419</v>
      </c>
      <c r="AG56" s="8">
        <f>C56*12</f>
        <v>85.92</v>
      </c>
      <c r="AH56" s="8">
        <f>(W56*12000)/(0.9*60000*0.95*Y56)</f>
        <v>9.220901716657234</v>
      </c>
      <c r="AI56" s="8">
        <f>(AH56*60000)/(0.85*4000*(MIN(AE56:AG56)))</f>
        <v>2.260024930553244</v>
      </c>
      <c r="AJ56" s="8">
        <f>AI56/Y56</f>
        <v>0.14580806003569316</v>
      </c>
      <c r="AK56" s="8">
        <f>(W56*12000)/(0.9*60000*(Y56-(AI56/2)))</f>
        <v>9.448705327662033</v>
      </c>
      <c r="AL56" s="8">
        <f>(3*(4000^0.5)*AC56*Y56)/60000</f>
        <v>2.735160618424617</v>
      </c>
      <c r="AM56" s="8">
        <f>(200*AC56*Y56)/60000</f>
        <v>2.883112440205499</v>
      </c>
      <c r="AN56" s="8">
        <f>ROUND(MAX(AK56:AM56),2)</f>
        <v>9.45</v>
      </c>
      <c r="AO56" s="8">
        <f t="shared" si="73"/>
        <v>1.875</v>
      </c>
      <c r="AP56" s="8">
        <f t="shared" si="74"/>
        <v>10.3125</v>
      </c>
      <c r="AQ56" s="8">
        <f>AN56*(B56*12)</f>
        <v>2721.6</v>
      </c>
      <c r="AR56" s="8">
        <f>(X56-6)*AC56*(12*B56)</f>
        <v>192852.32116161686</v>
      </c>
    </row>
    <row r="57" spans="1:44" ht="12.75">
      <c r="A57">
        <v>12</v>
      </c>
      <c r="B57">
        <v>31.45</v>
      </c>
      <c r="C57">
        <v>8.6</v>
      </c>
      <c r="D57" s="1">
        <f aca="true" t="shared" si="92" ref="D57:D62">C57*((0.5*150)+5+10+20)</f>
        <v>946</v>
      </c>
      <c r="E57" s="1">
        <v>0</v>
      </c>
      <c r="F57" s="1">
        <f aca="true" t="shared" si="93" ref="F57:F62">C57*60</f>
        <v>516</v>
      </c>
      <c r="G57" s="1">
        <v>0</v>
      </c>
      <c r="H57" s="1">
        <f aca="true" t="shared" si="94" ref="H57:H62">(1.2*D57)+(1.6*F57)</f>
        <v>1960.8000000000002</v>
      </c>
      <c r="I57" s="1">
        <f aca="true" t="shared" si="95" ref="I57:I62">0.1*MAX(G57:H57)</f>
        <v>196.08000000000004</v>
      </c>
      <c r="J57" s="1">
        <f aca="true" t="shared" si="96" ref="J57:J62">0.2*MAX(G57:H57)</f>
        <v>392.1600000000001</v>
      </c>
      <c r="K57" s="1">
        <f t="shared" si="80"/>
        <v>30</v>
      </c>
      <c r="L57" s="1">
        <f t="shared" si="81"/>
        <v>38</v>
      </c>
      <c r="M57" s="1">
        <f t="shared" si="82"/>
        <v>15</v>
      </c>
      <c r="N57" s="1">
        <f t="shared" si="83"/>
        <v>19</v>
      </c>
      <c r="O57" s="8">
        <f t="shared" si="84"/>
        <v>468.75</v>
      </c>
      <c r="P57" s="8">
        <f t="shared" si="85"/>
        <v>752.0833333333333</v>
      </c>
      <c r="Q57">
        <v>800</v>
      </c>
      <c r="R57" s="8">
        <v>0</v>
      </c>
      <c r="S57" s="8">
        <f aca="true" t="shared" si="97" ref="S57:S62">(1.2*Q57)+H57</f>
        <v>2920.8</v>
      </c>
      <c r="T57" s="8">
        <f>2*35.3</f>
        <v>70.6</v>
      </c>
      <c r="U57" s="8">
        <f>2*53.76</f>
        <v>107.52</v>
      </c>
      <c r="V57" s="8">
        <f>2*38.29</f>
        <v>76.58</v>
      </c>
      <c r="W57" s="8">
        <f>2*358.8</f>
        <v>717.6</v>
      </c>
      <c r="X57" s="8">
        <f t="shared" si="57"/>
        <v>23.5875</v>
      </c>
      <c r="Y57" s="8">
        <f t="shared" si="58"/>
        <v>21.0875</v>
      </c>
      <c r="Z57" s="8">
        <f aca="true" t="shared" si="98" ref="Z57:Z62">(60000/4000)*0.01</f>
        <v>0.15</v>
      </c>
      <c r="AA57" s="8">
        <f aca="true" t="shared" si="99" ref="AA57:AA62">4000*Z57*(1-(0.59*Z57))</f>
        <v>546.9</v>
      </c>
      <c r="AB57" s="8">
        <f aca="true" t="shared" si="100" ref="AB57:AB62">(12000*W57)/AA57</f>
        <v>15745.474492594625</v>
      </c>
      <c r="AC57" s="8">
        <f t="shared" si="88"/>
        <v>35.40833956821231</v>
      </c>
      <c r="AD57" s="8">
        <f aca="true" t="shared" si="101" ref="AD57:AD62">0.75*((((2*(4000^0.5)*AC57*Y57)+(8*(4000^0.5)*AC57*Y57)))/1000)</f>
        <v>354.17827317142644</v>
      </c>
      <c r="AE57" s="8">
        <f t="shared" si="63"/>
        <v>94.35</v>
      </c>
      <c r="AF57" s="8">
        <f t="shared" si="89"/>
        <v>131.4083395682123</v>
      </c>
      <c r="AG57" s="8">
        <f aca="true" t="shared" si="102" ref="AG57:AG62">C57*12</f>
        <v>103.19999999999999</v>
      </c>
      <c r="AH57" s="8">
        <f aca="true" t="shared" si="103" ref="AH57:AH62">(W57*12000)/(0.9*60000*0.95*Y57)</f>
        <v>7.960149335995591</v>
      </c>
      <c r="AI57" s="8">
        <f aca="true" t="shared" si="104" ref="AI57:AI62">(AH57*60000)/(0.85*4000*(MIN(AE57:AG57)))</f>
        <v>1.4888523961461875</v>
      </c>
      <c r="AJ57" s="8">
        <f aca="true" t="shared" si="105" ref="AJ57:AJ62">AI57/Y57</f>
        <v>0.07060355168446651</v>
      </c>
      <c r="AK57" s="8">
        <f aca="true" t="shared" si="106" ref="AK57:AK62">(W57*12000)/(0.9*60000*(Y57-(AI57/2)))</f>
        <v>7.83886782397466</v>
      </c>
      <c r="AL57" s="8">
        <f aca="true" t="shared" si="107" ref="AL57:AL62">(3*(4000^0.5)*AC57*Y57)/60000</f>
        <v>2.36118848780951</v>
      </c>
      <c r="AM57" s="8">
        <f aca="true" t="shared" si="108" ref="AM57:AM62">(200*AC57*Y57)/60000</f>
        <v>2.4889112021489237</v>
      </c>
      <c r="AN57" s="8">
        <f aca="true" t="shared" si="109" ref="AN57:AN62">ROUND(MAX(AK57:AM57),2)</f>
        <v>7.84</v>
      </c>
      <c r="AO57" s="8">
        <f aca="true" t="shared" si="110" ref="AO57:AO62">1.875</f>
        <v>1.875</v>
      </c>
      <c r="AP57" s="8">
        <f aca="true" t="shared" si="111" ref="AP57:AP62">(540/(0.6*60))-(2.5*AO57)</f>
        <v>10.3125</v>
      </c>
      <c r="AQ57" s="8">
        <f aca="true" t="shared" si="112" ref="AQ57:AQ62">AN57*(B57*12)</f>
        <v>2958.816</v>
      </c>
      <c r="AR57" s="8">
        <f aca="true" t="shared" si="113" ref="AR57:AR62">(X57-6)*AC57*(12*B57)</f>
        <v>235023.6505716495</v>
      </c>
    </row>
    <row r="58" spans="1:44" ht="12.75">
      <c r="A58">
        <v>5</v>
      </c>
      <c r="B58">
        <v>31.45</v>
      </c>
      <c r="C58">
        <v>8.6</v>
      </c>
      <c r="D58" s="1">
        <f t="shared" si="92"/>
        <v>946</v>
      </c>
      <c r="E58" s="1">
        <v>0</v>
      </c>
      <c r="F58" s="1">
        <f t="shared" si="93"/>
        <v>516</v>
      </c>
      <c r="G58" s="1">
        <v>0</v>
      </c>
      <c r="H58" s="1">
        <f t="shared" si="94"/>
        <v>1960.8000000000002</v>
      </c>
      <c r="I58" s="1">
        <f t="shared" si="95"/>
        <v>196.08000000000004</v>
      </c>
      <c r="J58" s="1">
        <f t="shared" si="96"/>
        <v>392.1600000000001</v>
      </c>
      <c r="K58" s="1">
        <f>ROUND(((0.08*B58)*12),0)</f>
        <v>30</v>
      </c>
      <c r="L58" s="1">
        <f>ROUND(((0.1*B58)*12),0)</f>
        <v>38</v>
      </c>
      <c r="M58" s="1">
        <f aca="true" t="shared" si="114" ref="M58:N62">ROUND((0.5*K58),0)</f>
        <v>15</v>
      </c>
      <c r="N58" s="1">
        <f t="shared" si="114"/>
        <v>19</v>
      </c>
      <c r="O58" s="8">
        <f aca="true" t="shared" si="115" ref="O58:P62">(M58/12)*(K58/12)*150</f>
        <v>468.75</v>
      </c>
      <c r="P58" s="8">
        <f t="shared" si="115"/>
        <v>752.0833333333333</v>
      </c>
      <c r="Q58">
        <v>800</v>
      </c>
      <c r="R58" s="8">
        <v>0</v>
      </c>
      <c r="S58" s="8">
        <f t="shared" si="97"/>
        <v>2920.8</v>
      </c>
      <c r="T58" s="8">
        <f>2*35.3</f>
        <v>70.6</v>
      </c>
      <c r="U58" s="8">
        <f>2*53.76</f>
        <v>107.52</v>
      </c>
      <c r="V58" s="8">
        <f>2*38.29</f>
        <v>76.58</v>
      </c>
      <c r="W58" s="8">
        <v>349.91</v>
      </c>
      <c r="X58" s="8">
        <f t="shared" si="57"/>
        <v>23.5875</v>
      </c>
      <c r="Y58" s="8">
        <f t="shared" si="58"/>
        <v>21.0875</v>
      </c>
      <c r="Z58" s="8">
        <f t="shared" si="98"/>
        <v>0.15</v>
      </c>
      <c r="AA58" s="8">
        <f t="shared" si="99"/>
        <v>546.9</v>
      </c>
      <c r="AB58" s="8">
        <f t="shared" si="100"/>
        <v>7677.674163466813</v>
      </c>
      <c r="AC58" s="8">
        <f t="shared" si="88"/>
        <v>17.265512957515565</v>
      </c>
      <c r="AD58" s="8">
        <f t="shared" si="101"/>
        <v>172.7013929283916</v>
      </c>
      <c r="AE58" s="8">
        <f t="shared" si="63"/>
        <v>94.35</v>
      </c>
      <c r="AF58" s="8">
        <f t="shared" si="89"/>
        <v>113.26551295751557</v>
      </c>
      <c r="AG58" s="8">
        <f t="shared" si="102"/>
        <v>103.19999999999999</v>
      </c>
      <c r="AH58" s="8">
        <f t="shared" si="103"/>
        <v>3.881460220398853</v>
      </c>
      <c r="AI58" s="8">
        <f t="shared" si="104"/>
        <v>0.7259815244363328</v>
      </c>
      <c r="AJ58" s="8">
        <f t="shared" si="105"/>
        <v>0.03442710252217346</v>
      </c>
      <c r="AK58" s="8">
        <f t="shared" si="106"/>
        <v>3.7519719712359416</v>
      </c>
      <c r="AL58" s="8">
        <f t="shared" si="107"/>
        <v>1.1513426195226109</v>
      </c>
      <c r="AM58" s="8">
        <f t="shared" si="108"/>
        <v>1.2136216816386982</v>
      </c>
      <c r="AN58" s="8">
        <f t="shared" si="109"/>
        <v>3.75</v>
      </c>
      <c r="AO58" s="8">
        <f t="shared" si="110"/>
        <v>1.875</v>
      </c>
      <c r="AP58" s="8">
        <f t="shared" si="111"/>
        <v>10.3125</v>
      </c>
      <c r="AQ58" s="8">
        <f t="shared" si="112"/>
        <v>1415.25</v>
      </c>
      <c r="AR58" s="8">
        <f t="shared" si="113"/>
        <v>114600.2307295511</v>
      </c>
    </row>
    <row r="59" spans="1:44" ht="12.75">
      <c r="A59">
        <v>3</v>
      </c>
      <c r="B59">
        <v>22.4</v>
      </c>
      <c r="C59">
        <v>8.04</v>
      </c>
      <c r="D59" s="1">
        <f t="shared" si="92"/>
        <v>884.3999999999999</v>
      </c>
      <c r="E59" s="1">
        <v>0</v>
      </c>
      <c r="F59" s="1">
        <f t="shared" si="93"/>
        <v>482.4</v>
      </c>
      <c r="G59" s="1">
        <v>0</v>
      </c>
      <c r="H59" s="1">
        <f t="shared" si="94"/>
        <v>1833.12</v>
      </c>
      <c r="I59" s="1">
        <f t="shared" si="95"/>
        <v>183.312</v>
      </c>
      <c r="J59" s="1">
        <f t="shared" si="96"/>
        <v>366.624</v>
      </c>
      <c r="K59" s="1">
        <f>ROUND(((0.08*B59)*12),0)</f>
        <v>22</v>
      </c>
      <c r="L59" s="1">
        <f>ROUND(((0.1*B59)*12),0)</f>
        <v>27</v>
      </c>
      <c r="M59" s="1">
        <f t="shared" si="114"/>
        <v>11</v>
      </c>
      <c r="N59" s="1">
        <f t="shared" si="114"/>
        <v>14</v>
      </c>
      <c r="O59" s="8">
        <f t="shared" si="115"/>
        <v>252.08333333333331</v>
      </c>
      <c r="P59" s="8">
        <f t="shared" si="115"/>
        <v>393.75</v>
      </c>
      <c r="Q59">
        <v>300</v>
      </c>
      <c r="R59" s="8">
        <v>0</v>
      </c>
      <c r="S59" s="8">
        <f t="shared" si="97"/>
        <v>2193.12</v>
      </c>
      <c r="T59" s="8">
        <v>31.5</v>
      </c>
      <c r="U59" s="8">
        <v>33.2</v>
      </c>
      <c r="V59" s="8">
        <v>33.2</v>
      </c>
      <c r="W59" s="8">
        <v>223.01</v>
      </c>
      <c r="X59" s="8">
        <f>Y59+2.5</f>
        <v>21.934034668847897</v>
      </c>
      <c r="Y59" s="8">
        <f>(AB59/AC59)^0.5</f>
        <v>19.434034668847897</v>
      </c>
      <c r="Z59" s="8">
        <f t="shared" si="98"/>
        <v>0.15</v>
      </c>
      <c r="AA59" s="8">
        <f t="shared" si="99"/>
        <v>546.9</v>
      </c>
      <c r="AB59" s="8">
        <f t="shared" si="100"/>
        <v>4893.252879868349</v>
      </c>
      <c r="AC59" s="8">
        <f>(AB59/2.25)^(1/3)</f>
        <v>12.956023112565266</v>
      </c>
      <c r="AD59" s="8">
        <f t="shared" si="101"/>
        <v>119.43344136639536</v>
      </c>
      <c r="AE59" s="8">
        <f t="shared" si="63"/>
        <v>67.19999999999999</v>
      </c>
      <c r="AF59" s="8">
        <f>(8*6)+AC59</f>
        <v>60.95602311256526</v>
      </c>
      <c r="AG59" s="8">
        <f t="shared" si="102"/>
        <v>96.47999999999999</v>
      </c>
      <c r="AH59" s="8">
        <f t="shared" si="103"/>
        <v>2.6842641150046673</v>
      </c>
      <c r="AI59" s="8">
        <f t="shared" si="104"/>
        <v>0.7771072375883381</v>
      </c>
      <c r="AJ59" s="8">
        <f t="shared" si="105"/>
        <v>0.03998692247029974</v>
      </c>
      <c r="AK59" s="8">
        <f t="shared" si="106"/>
        <v>2.602075402954339</v>
      </c>
      <c r="AL59" s="8">
        <f t="shared" si="107"/>
        <v>0.7962229424426356</v>
      </c>
      <c r="AM59" s="8">
        <f t="shared" si="108"/>
        <v>0.8392926744666267</v>
      </c>
      <c r="AN59" s="8">
        <f t="shared" si="109"/>
        <v>2.6</v>
      </c>
      <c r="AO59" s="8">
        <f t="shared" si="110"/>
        <v>1.875</v>
      </c>
      <c r="AP59" s="8">
        <f t="shared" si="111"/>
        <v>10.3125</v>
      </c>
      <c r="AQ59" s="8">
        <f t="shared" si="112"/>
        <v>698.8799999999999</v>
      </c>
      <c r="AR59" s="8">
        <f t="shared" si="113"/>
        <v>55491.534724687364</v>
      </c>
    </row>
    <row r="60" spans="1:44" ht="12.75">
      <c r="A60">
        <v>19</v>
      </c>
      <c r="B60">
        <v>22.4</v>
      </c>
      <c r="C60">
        <v>8.04</v>
      </c>
      <c r="D60" s="1">
        <f t="shared" si="92"/>
        <v>884.3999999999999</v>
      </c>
      <c r="E60" s="1">
        <v>0</v>
      </c>
      <c r="F60" s="1">
        <f t="shared" si="93"/>
        <v>482.4</v>
      </c>
      <c r="G60" s="1">
        <v>0</v>
      </c>
      <c r="H60" s="1">
        <f t="shared" si="94"/>
        <v>1833.12</v>
      </c>
      <c r="I60" s="1">
        <f t="shared" si="95"/>
        <v>183.312</v>
      </c>
      <c r="J60" s="1">
        <f t="shared" si="96"/>
        <v>366.624</v>
      </c>
      <c r="K60" s="1">
        <f>ROUND(((0.08*B60)*12),0)</f>
        <v>22</v>
      </c>
      <c r="L60" s="1">
        <f>ROUND(((0.1*B60)*12),0)</f>
        <v>27</v>
      </c>
      <c r="M60" s="1">
        <f t="shared" si="114"/>
        <v>11</v>
      </c>
      <c r="N60" s="1">
        <f t="shared" si="114"/>
        <v>14</v>
      </c>
      <c r="O60" s="8">
        <f t="shared" si="115"/>
        <v>252.08333333333331</v>
      </c>
      <c r="P60" s="8">
        <f t="shared" si="115"/>
        <v>393.75</v>
      </c>
      <c r="Q60">
        <v>300</v>
      </c>
      <c r="R60" s="8">
        <v>0</v>
      </c>
      <c r="S60" s="8">
        <f t="shared" si="97"/>
        <v>2193.12</v>
      </c>
      <c r="T60" s="8">
        <v>31.5</v>
      </c>
      <c r="U60" s="8">
        <v>33.2</v>
      </c>
      <c r="V60" s="8">
        <v>33.2</v>
      </c>
      <c r="W60" s="8">
        <v>223.01</v>
      </c>
      <c r="X60" s="8">
        <f>Y60+2.5</f>
        <v>21.934034668847897</v>
      </c>
      <c r="Y60" s="8">
        <f>(AB60/AC60)^0.5</f>
        <v>19.434034668847897</v>
      </c>
      <c r="Z60" s="8">
        <f t="shared" si="98"/>
        <v>0.15</v>
      </c>
      <c r="AA60" s="8">
        <f t="shared" si="99"/>
        <v>546.9</v>
      </c>
      <c r="AB60" s="8">
        <f t="shared" si="100"/>
        <v>4893.252879868349</v>
      </c>
      <c r="AC60" s="8">
        <f>(AB60/2.25)^(1/3)</f>
        <v>12.956023112565266</v>
      </c>
      <c r="AD60" s="8">
        <f t="shared" si="101"/>
        <v>119.43344136639536</v>
      </c>
      <c r="AE60" s="8">
        <f t="shared" si="63"/>
        <v>67.19999999999999</v>
      </c>
      <c r="AF60" s="8">
        <f>(8*6)+AC60</f>
        <v>60.95602311256526</v>
      </c>
      <c r="AG60" s="8">
        <f t="shared" si="102"/>
        <v>96.47999999999999</v>
      </c>
      <c r="AH60" s="8">
        <f t="shared" si="103"/>
        <v>2.6842641150046673</v>
      </c>
      <c r="AI60" s="8">
        <f t="shared" si="104"/>
        <v>0.7771072375883381</v>
      </c>
      <c r="AJ60" s="8">
        <f t="shared" si="105"/>
        <v>0.03998692247029974</v>
      </c>
      <c r="AK60" s="8">
        <f t="shared" si="106"/>
        <v>2.602075402954339</v>
      </c>
      <c r="AL60" s="8">
        <f t="shared" si="107"/>
        <v>0.7962229424426356</v>
      </c>
      <c r="AM60" s="8">
        <f t="shared" si="108"/>
        <v>0.8392926744666267</v>
      </c>
      <c r="AN60" s="8">
        <f t="shared" si="109"/>
        <v>2.6</v>
      </c>
      <c r="AO60" s="8">
        <f t="shared" si="110"/>
        <v>1.875</v>
      </c>
      <c r="AP60" s="8">
        <f t="shared" si="111"/>
        <v>10.3125</v>
      </c>
      <c r="AQ60" s="8">
        <f t="shared" si="112"/>
        <v>698.8799999999999</v>
      </c>
      <c r="AR60" s="8">
        <f t="shared" si="113"/>
        <v>55491.534724687364</v>
      </c>
    </row>
    <row r="61" spans="1:44" ht="12.75">
      <c r="A61">
        <v>14</v>
      </c>
      <c r="B61">
        <v>22.4</v>
      </c>
      <c r="C61">
        <v>8.04</v>
      </c>
      <c r="D61" s="1">
        <f t="shared" si="92"/>
        <v>884.3999999999999</v>
      </c>
      <c r="E61" s="1">
        <v>0</v>
      </c>
      <c r="F61" s="1">
        <f t="shared" si="93"/>
        <v>482.4</v>
      </c>
      <c r="G61" s="1">
        <v>0</v>
      </c>
      <c r="H61" s="1">
        <f t="shared" si="94"/>
        <v>1833.12</v>
      </c>
      <c r="I61" s="1">
        <f t="shared" si="95"/>
        <v>183.312</v>
      </c>
      <c r="J61" s="1">
        <f t="shared" si="96"/>
        <v>366.624</v>
      </c>
      <c r="K61" s="1">
        <f>ROUND(((0.08*B61)*12),0)</f>
        <v>22</v>
      </c>
      <c r="L61" s="1">
        <f>ROUND(((0.1*B61)*12),0)</f>
        <v>27</v>
      </c>
      <c r="M61" s="1">
        <f t="shared" si="114"/>
        <v>11</v>
      </c>
      <c r="N61" s="1">
        <f t="shared" si="114"/>
        <v>14</v>
      </c>
      <c r="O61" s="8">
        <f t="shared" si="115"/>
        <v>252.08333333333331</v>
      </c>
      <c r="P61" s="8">
        <f t="shared" si="115"/>
        <v>393.75</v>
      </c>
      <c r="Q61">
        <v>300</v>
      </c>
      <c r="R61" s="8">
        <v>0</v>
      </c>
      <c r="S61" s="8">
        <f t="shared" si="97"/>
        <v>2193.12</v>
      </c>
      <c r="T61" s="8">
        <v>31.5</v>
      </c>
      <c r="U61" s="8">
        <v>33.2</v>
      </c>
      <c r="V61" s="8">
        <v>33.2</v>
      </c>
      <c r="W61" s="8">
        <v>223.01</v>
      </c>
      <c r="X61" s="8">
        <f>Y61+2.5</f>
        <v>21.934034668847897</v>
      </c>
      <c r="Y61" s="8">
        <f>(AB61/AC61)^0.5</f>
        <v>19.434034668847897</v>
      </c>
      <c r="Z61" s="8">
        <f t="shared" si="98"/>
        <v>0.15</v>
      </c>
      <c r="AA61" s="8">
        <f t="shared" si="99"/>
        <v>546.9</v>
      </c>
      <c r="AB61" s="8">
        <f t="shared" si="100"/>
        <v>4893.252879868349</v>
      </c>
      <c r="AC61" s="8">
        <f>(AB61/2.25)^(1/3)</f>
        <v>12.956023112565266</v>
      </c>
      <c r="AD61" s="8">
        <f t="shared" si="101"/>
        <v>119.43344136639536</v>
      </c>
      <c r="AE61" s="8">
        <f t="shared" si="63"/>
        <v>67.19999999999999</v>
      </c>
      <c r="AF61" s="8">
        <f>(8*6)+AC61</f>
        <v>60.95602311256526</v>
      </c>
      <c r="AG61" s="8">
        <f t="shared" si="102"/>
        <v>96.47999999999999</v>
      </c>
      <c r="AH61" s="8">
        <f t="shared" si="103"/>
        <v>2.6842641150046673</v>
      </c>
      <c r="AI61" s="8">
        <f t="shared" si="104"/>
        <v>0.7771072375883381</v>
      </c>
      <c r="AJ61" s="8">
        <f t="shared" si="105"/>
        <v>0.03998692247029974</v>
      </c>
      <c r="AK61" s="8">
        <f t="shared" si="106"/>
        <v>2.602075402954339</v>
      </c>
      <c r="AL61" s="8">
        <f t="shared" si="107"/>
        <v>0.7962229424426356</v>
      </c>
      <c r="AM61" s="8">
        <f t="shared" si="108"/>
        <v>0.8392926744666267</v>
      </c>
      <c r="AN61" s="8">
        <f t="shared" si="109"/>
        <v>2.6</v>
      </c>
      <c r="AO61" s="8">
        <f t="shared" si="110"/>
        <v>1.875</v>
      </c>
      <c r="AP61" s="8">
        <f t="shared" si="111"/>
        <v>10.3125</v>
      </c>
      <c r="AQ61" s="8">
        <f t="shared" si="112"/>
        <v>698.8799999999999</v>
      </c>
      <c r="AR61" s="8">
        <f t="shared" si="113"/>
        <v>55491.534724687364</v>
      </c>
    </row>
    <row r="62" spans="1:44" ht="12.75">
      <c r="A62">
        <v>32</v>
      </c>
      <c r="B62">
        <v>22.4</v>
      </c>
      <c r="C62">
        <v>8.04</v>
      </c>
      <c r="D62" s="1">
        <f t="shared" si="92"/>
        <v>884.3999999999999</v>
      </c>
      <c r="E62" s="1">
        <v>0</v>
      </c>
      <c r="F62" s="1">
        <f t="shared" si="93"/>
        <v>482.4</v>
      </c>
      <c r="G62" s="1">
        <v>0</v>
      </c>
      <c r="H62" s="1">
        <f t="shared" si="94"/>
        <v>1833.12</v>
      </c>
      <c r="I62" s="1">
        <f t="shared" si="95"/>
        <v>183.312</v>
      </c>
      <c r="J62" s="1">
        <f t="shared" si="96"/>
        <v>366.624</v>
      </c>
      <c r="K62" s="1">
        <f>ROUND(((0.08*B62)*12),0)</f>
        <v>22</v>
      </c>
      <c r="L62" s="1">
        <f>ROUND(((0.1*B62)*12),0)</f>
        <v>27</v>
      </c>
      <c r="M62" s="1">
        <f t="shared" si="114"/>
        <v>11</v>
      </c>
      <c r="N62" s="1">
        <f t="shared" si="114"/>
        <v>14</v>
      </c>
      <c r="O62" s="8">
        <f t="shared" si="115"/>
        <v>252.08333333333331</v>
      </c>
      <c r="P62" s="8">
        <f t="shared" si="115"/>
        <v>393.75</v>
      </c>
      <c r="Q62">
        <v>300</v>
      </c>
      <c r="R62" s="8">
        <v>0</v>
      </c>
      <c r="S62" s="8">
        <f t="shared" si="97"/>
        <v>2193.12</v>
      </c>
      <c r="T62" s="8">
        <v>31.5</v>
      </c>
      <c r="U62" s="8">
        <v>33.2</v>
      </c>
      <c r="V62" s="8">
        <v>33.2</v>
      </c>
      <c r="W62" s="8">
        <v>223.01</v>
      </c>
      <c r="X62" s="8">
        <f>Y62+2.5</f>
        <v>21.934034668847897</v>
      </c>
      <c r="Y62" s="8">
        <f>(AB62/AC62)^0.5</f>
        <v>19.434034668847897</v>
      </c>
      <c r="Z62" s="8">
        <f t="shared" si="98"/>
        <v>0.15</v>
      </c>
      <c r="AA62" s="8">
        <f t="shared" si="99"/>
        <v>546.9</v>
      </c>
      <c r="AB62" s="8">
        <f t="shared" si="100"/>
        <v>4893.252879868349</v>
      </c>
      <c r="AC62" s="8">
        <f>(AB62/2.25)^(1/3)</f>
        <v>12.956023112565266</v>
      </c>
      <c r="AD62" s="8">
        <f t="shared" si="101"/>
        <v>119.43344136639536</v>
      </c>
      <c r="AE62" s="8">
        <f t="shared" si="63"/>
        <v>67.19999999999999</v>
      </c>
      <c r="AF62" s="8">
        <f>(8*6)+AC62</f>
        <v>60.95602311256526</v>
      </c>
      <c r="AG62" s="8">
        <f t="shared" si="102"/>
        <v>96.47999999999999</v>
      </c>
      <c r="AH62" s="8">
        <f t="shared" si="103"/>
        <v>2.6842641150046673</v>
      </c>
      <c r="AI62" s="8">
        <f t="shared" si="104"/>
        <v>0.7771072375883381</v>
      </c>
      <c r="AJ62" s="8">
        <f t="shared" si="105"/>
        <v>0.03998692247029974</v>
      </c>
      <c r="AK62" s="8">
        <f t="shared" si="106"/>
        <v>2.602075402954339</v>
      </c>
      <c r="AL62" s="8">
        <f t="shared" si="107"/>
        <v>0.7962229424426356</v>
      </c>
      <c r="AM62" s="8">
        <f t="shared" si="108"/>
        <v>0.8392926744666267</v>
      </c>
      <c r="AN62" s="8">
        <f t="shared" si="109"/>
        <v>2.6</v>
      </c>
      <c r="AO62" s="8">
        <f t="shared" si="110"/>
        <v>1.875</v>
      </c>
      <c r="AP62" s="8">
        <f t="shared" si="111"/>
        <v>10.3125</v>
      </c>
      <c r="AQ62" s="8">
        <f t="shared" si="112"/>
        <v>698.8799999999999</v>
      </c>
      <c r="AR62" s="8">
        <f t="shared" si="113"/>
        <v>55491.534724687364</v>
      </c>
    </row>
    <row r="63" spans="4:44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"/>
      <c r="P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>
        <v>50</v>
      </c>
      <c r="B64">
        <v>13</v>
      </c>
      <c r="C64">
        <v>5.22</v>
      </c>
      <c r="D64" s="1">
        <f aca="true" t="shared" si="116" ref="D64:D88">C64*((0.5*150)+5+10+20)</f>
        <v>574.1999999999999</v>
      </c>
      <c r="E64" s="1">
        <v>0</v>
      </c>
      <c r="F64" s="1">
        <f aca="true" t="shared" si="117" ref="F64:F88">C64*60</f>
        <v>313.2</v>
      </c>
      <c r="G64" s="1">
        <v>0</v>
      </c>
      <c r="H64" s="1">
        <f aca="true" t="shared" si="118" ref="H64:H88">(1.2*D64)+(1.6*F64)</f>
        <v>1190.1599999999999</v>
      </c>
      <c r="I64" s="1">
        <f aca="true" t="shared" si="119" ref="I64:I88">0.1*MAX(G64:H64)</f>
        <v>119.01599999999999</v>
      </c>
      <c r="J64" s="1">
        <f aca="true" t="shared" si="120" ref="J64:J88">0.2*MAX(G64:H64)</f>
        <v>238.03199999999998</v>
      </c>
      <c r="K64" s="1">
        <f t="shared" si="80"/>
        <v>12</v>
      </c>
      <c r="L64" s="1">
        <f t="shared" si="81"/>
        <v>16</v>
      </c>
      <c r="M64" s="1">
        <f t="shared" si="82"/>
        <v>6</v>
      </c>
      <c r="N64" s="1">
        <f t="shared" si="83"/>
        <v>8</v>
      </c>
      <c r="O64" s="8">
        <f t="shared" si="84"/>
        <v>75</v>
      </c>
      <c r="P64" s="8">
        <f t="shared" si="85"/>
        <v>133.33333333333331</v>
      </c>
      <c r="Q64">
        <v>100</v>
      </c>
      <c r="R64" s="8">
        <v>0</v>
      </c>
      <c r="S64" s="8">
        <f aca="true" t="shared" si="121" ref="S64:S88">(1.2*Q64)+H64</f>
        <v>1310.1599999999999</v>
      </c>
      <c r="T64" s="8"/>
      <c r="U64" s="8"/>
      <c r="V64" s="8">
        <f t="shared" si="78"/>
        <v>8.516039999999998</v>
      </c>
      <c r="W64" s="8">
        <f t="shared" si="79"/>
        <v>27.677129999999995</v>
      </c>
      <c r="X64" s="8">
        <f aca="true" t="shared" si="122" ref="X64:X88">(B64/16)*12</f>
        <v>9.75</v>
      </c>
      <c r="Y64" s="8">
        <f aca="true" t="shared" si="123" ref="Y64:Y88">X64-2.5</f>
        <v>7.25</v>
      </c>
      <c r="Z64" s="8">
        <f aca="true" t="shared" si="124" ref="Z64:Z88">(60000/4000)*0.01</f>
        <v>0.15</v>
      </c>
      <c r="AA64" s="8">
        <f aca="true" t="shared" si="125" ref="AA64:AA88">4000*Z64*(1-(0.59*Z64))</f>
        <v>546.9</v>
      </c>
      <c r="AB64" s="8">
        <f aca="true" t="shared" si="126" ref="AB64:AB74">(12000*W64)/AA64</f>
        <v>607.2875479978057</v>
      </c>
      <c r="AC64" s="8">
        <f aca="true" t="shared" si="127" ref="AC64:AC74">AB64/(Y64^2)</f>
        <v>11.55362754811521</v>
      </c>
      <c r="AD64" s="8">
        <f aca="true" t="shared" si="128" ref="AD64:AD88">0.75*((((2*(4000^0.5)*AC64*Y64)+(8*(4000^0.5)*AC64*Y64)))/1000)</f>
        <v>39.73265888962538</v>
      </c>
      <c r="AE64" s="8">
        <f aca="true" t="shared" si="129" ref="AE64:AE88">(B64/4)*12</f>
        <v>39</v>
      </c>
      <c r="AF64" s="8">
        <f aca="true" t="shared" si="130" ref="AF64:AF88">((8*6)*2)+AC64</f>
        <v>107.55362754811522</v>
      </c>
      <c r="AG64" s="8">
        <f aca="true" t="shared" si="131" ref="AG64:AG88">C64*12</f>
        <v>62.64</v>
      </c>
      <c r="AH64" s="8">
        <f aca="true" t="shared" si="132" ref="AH64:AH88">(W64*12000)/(0.9*60000*0.95*Y64)</f>
        <v>0.8929906836055654</v>
      </c>
      <c r="AI64" s="8">
        <f aca="true" t="shared" si="133" ref="AI64:AI88">(AH64*60000)/(0.85*4000*(MIN(AE64:AG64)))</f>
        <v>0.4040681826269527</v>
      </c>
      <c r="AJ64" s="8">
        <f aca="true" t="shared" si="134" ref="AJ64:AJ88">AI64/Y64</f>
        <v>0.05573354243130382</v>
      </c>
      <c r="AK64" s="8">
        <f aca="true" t="shared" si="135" ref="AK64:AK88">(W64*12000)/(0.9*60000*(Y64-(AI64/2)))</f>
        <v>0.8726593478201925</v>
      </c>
      <c r="AL64" s="8">
        <f aca="true" t="shared" si="136" ref="AL64:AL88">(3*(4000^0.5)*AC64*Y64)/60000</f>
        <v>0.26488439259750257</v>
      </c>
      <c r="AM64" s="8">
        <f aca="true" t="shared" si="137" ref="AM64:AM88">(200*AC64*Y64)/60000</f>
        <v>0.2792126657461176</v>
      </c>
      <c r="AN64" s="8">
        <f aca="true" t="shared" si="138" ref="AN64:AN88">ROUND(MAX(AK64:AM64),2)</f>
        <v>0.87</v>
      </c>
      <c r="AO64" s="8">
        <f aca="true" t="shared" si="139" ref="AO64:AO88">1.875</f>
        <v>1.875</v>
      </c>
      <c r="AP64" s="8">
        <f aca="true" t="shared" si="140" ref="AP64:AP88">(540/(0.6*60))-(2.5*AO64)</f>
        <v>10.3125</v>
      </c>
      <c r="AQ64" s="8">
        <f aca="true" t="shared" si="141" ref="AQ64:AQ75">AN64*(B64*12)</f>
        <v>135.72</v>
      </c>
      <c r="AR64" s="8">
        <f aca="true" t="shared" si="142" ref="AR64:AR88">(X64-6)*AC64*(12*B64)</f>
        <v>6758.8721156473985</v>
      </c>
    </row>
    <row r="65" spans="1:44" ht="12.75">
      <c r="A65">
        <v>51</v>
      </c>
      <c r="B65">
        <v>13</v>
      </c>
      <c r="C65">
        <v>5.22</v>
      </c>
      <c r="D65" s="1">
        <f t="shared" si="116"/>
        <v>574.1999999999999</v>
      </c>
      <c r="E65" s="1">
        <v>0</v>
      </c>
      <c r="F65" s="1">
        <f t="shared" si="117"/>
        <v>313.2</v>
      </c>
      <c r="G65" s="1">
        <v>0</v>
      </c>
      <c r="H65" s="1">
        <f t="shared" si="118"/>
        <v>1190.1599999999999</v>
      </c>
      <c r="I65" s="1">
        <f t="shared" si="119"/>
        <v>119.01599999999999</v>
      </c>
      <c r="J65" s="1">
        <f t="shared" si="120"/>
        <v>238.03199999999998</v>
      </c>
      <c r="K65" s="1">
        <f t="shared" si="80"/>
        <v>12</v>
      </c>
      <c r="L65" s="1">
        <f t="shared" si="81"/>
        <v>16</v>
      </c>
      <c r="M65" s="1">
        <f t="shared" si="82"/>
        <v>6</v>
      </c>
      <c r="N65" s="1">
        <f t="shared" si="83"/>
        <v>8</v>
      </c>
      <c r="O65" s="8">
        <f t="shared" si="84"/>
        <v>75</v>
      </c>
      <c r="P65" s="8">
        <f t="shared" si="85"/>
        <v>133.33333333333331</v>
      </c>
      <c r="Q65">
        <v>100</v>
      </c>
      <c r="R65" s="8">
        <v>0</v>
      </c>
      <c r="S65" s="8">
        <f t="shared" si="121"/>
        <v>1310.1599999999999</v>
      </c>
      <c r="T65" s="8"/>
      <c r="U65" s="8"/>
      <c r="V65" s="8">
        <f t="shared" si="78"/>
        <v>8.516039999999998</v>
      </c>
      <c r="W65" s="8">
        <f t="shared" si="79"/>
        <v>27.677129999999995</v>
      </c>
      <c r="X65" s="8">
        <f t="shared" si="122"/>
        <v>9.75</v>
      </c>
      <c r="Y65" s="8">
        <f t="shared" si="123"/>
        <v>7.25</v>
      </c>
      <c r="Z65" s="8">
        <f t="shared" si="124"/>
        <v>0.15</v>
      </c>
      <c r="AA65" s="8">
        <f t="shared" si="125"/>
        <v>546.9</v>
      </c>
      <c r="AB65" s="8">
        <f t="shared" si="126"/>
        <v>607.2875479978057</v>
      </c>
      <c r="AC65" s="8">
        <f t="shared" si="127"/>
        <v>11.55362754811521</v>
      </c>
      <c r="AD65" s="8">
        <f t="shared" si="128"/>
        <v>39.73265888962538</v>
      </c>
      <c r="AE65" s="8">
        <f t="shared" si="129"/>
        <v>39</v>
      </c>
      <c r="AF65" s="8">
        <f t="shared" si="130"/>
        <v>107.55362754811522</v>
      </c>
      <c r="AG65" s="8">
        <f t="shared" si="131"/>
        <v>62.64</v>
      </c>
      <c r="AH65" s="8">
        <f t="shared" si="132"/>
        <v>0.8929906836055654</v>
      </c>
      <c r="AI65" s="8">
        <f t="shared" si="133"/>
        <v>0.4040681826269527</v>
      </c>
      <c r="AJ65" s="8">
        <f t="shared" si="134"/>
        <v>0.05573354243130382</v>
      </c>
      <c r="AK65" s="8">
        <f t="shared" si="135"/>
        <v>0.8726593478201925</v>
      </c>
      <c r="AL65" s="8">
        <f t="shared" si="136"/>
        <v>0.26488439259750257</v>
      </c>
      <c r="AM65" s="8">
        <f t="shared" si="137"/>
        <v>0.2792126657461176</v>
      </c>
      <c r="AN65" s="8">
        <f t="shared" si="138"/>
        <v>0.87</v>
      </c>
      <c r="AO65" s="8">
        <f t="shared" si="139"/>
        <v>1.875</v>
      </c>
      <c r="AP65" s="8">
        <f t="shared" si="140"/>
        <v>10.3125</v>
      </c>
      <c r="AQ65" s="8">
        <f t="shared" si="141"/>
        <v>135.72</v>
      </c>
      <c r="AR65" s="8">
        <f t="shared" si="142"/>
        <v>6758.8721156473985</v>
      </c>
    </row>
    <row r="66" spans="1:44" ht="12.75">
      <c r="A66">
        <v>52</v>
      </c>
      <c r="B66">
        <v>13</v>
      </c>
      <c r="C66">
        <v>2.61</v>
      </c>
      <c r="D66" s="1">
        <f t="shared" si="116"/>
        <v>287.09999999999997</v>
      </c>
      <c r="E66" s="1">
        <v>0</v>
      </c>
      <c r="F66" s="1">
        <f t="shared" si="117"/>
        <v>156.6</v>
      </c>
      <c r="G66" s="1">
        <v>0</v>
      </c>
      <c r="H66" s="1">
        <f t="shared" si="118"/>
        <v>595.0799999999999</v>
      </c>
      <c r="I66" s="1">
        <f t="shared" si="119"/>
        <v>59.507999999999996</v>
      </c>
      <c r="J66" s="1">
        <f t="shared" si="120"/>
        <v>119.01599999999999</v>
      </c>
      <c r="K66" s="1">
        <f t="shared" si="80"/>
        <v>12</v>
      </c>
      <c r="L66" s="1">
        <f t="shared" si="81"/>
        <v>16</v>
      </c>
      <c r="M66" s="1">
        <f t="shared" si="82"/>
        <v>6</v>
      </c>
      <c r="N66" s="1">
        <f t="shared" si="83"/>
        <v>8</v>
      </c>
      <c r="O66" s="8">
        <f t="shared" si="84"/>
        <v>75</v>
      </c>
      <c r="P66" s="8">
        <f t="shared" si="85"/>
        <v>133.33333333333331</v>
      </c>
      <c r="Q66">
        <v>100</v>
      </c>
      <c r="R66" s="8">
        <v>0</v>
      </c>
      <c r="S66" s="8">
        <f>(1.2*(Q66+0.64))+H66</f>
        <v>715.848</v>
      </c>
      <c r="T66" s="8"/>
      <c r="U66" s="8"/>
      <c r="V66" s="8">
        <f t="shared" si="78"/>
        <v>4.6530119999999995</v>
      </c>
      <c r="W66" s="8">
        <f t="shared" si="79"/>
        <v>15.122288999999999</v>
      </c>
      <c r="X66" s="8">
        <f t="shared" si="122"/>
        <v>9.75</v>
      </c>
      <c r="Y66" s="8">
        <f t="shared" si="123"/>
        <v>7.25</v>
      </c>
      <c r="Z66" s="8">
        <f t="shared" si="124"/>
        <v>0.15</v>
      </c>
      <c r="AA66" s="8">
        <f t="shared" si="125"/>
        <v>546.9</v>
      </c>
      <c r="AB66" s="8">
        <f t="shared" si="126"/>
        <v>331.8110586944597</v>
      </c>
      <c r="AC66" s="8">
        <f t="shared" si="127"/>
        <v>6.312695528075333</v>
      </c>
      <c r="AD66" s="8">
        <f t="shared" si="128"/>
        <v>21.709214447716732</v>
      </c>
      <c r="AE66" s="8">
        <f t="shared" si="129"/>
        <v>39</v>
      </c>
      <c r="AF66" s="8">
        <f t="shared" si="130"/>
        <v>102.31269552807534</v>
      </c>
      <c r="AG66" s="8">
        <f t="shared" si="131"/>
        <v>31.32</v>
      </c>
      <c r="AH66" s="8">
        <f t="shared" si="132"/>
        <v>0.48791414398064126</v>
      </c>
      <c r="AI66" s="8">
        <f t="shared" si="133"/>
        <v>0.27491218389713845</v>
      </c>
      <c r="AJ66" s="8">
        <f t="shared" si="134"/>
        <v>0.03791892191684668</v>
      </c>
      <c r="AK66" s="8">
        <f t="shared" si="135"/>
        <v>0.4724763333780697</v>
      </c>
      <c r="AL66" s="8">
        <f t="shared" si="136"/>
        <v>0.14472809631811157</v>
      </c>
      <c r="AM66" s="8">
        <f t="shared" si="137"/>
        <v>0.15255680859515391</v>
      </c>
      <c r="AN66" s="8">
        <f t="shared" si="138"/>
        <v>0.47</v>
      </c>
      <c r="AO66" s="8">
        <f t="shared" si="139"/>
        <v>1.875</v>
      </c>
      <c r="AP66" s="8">
        <f t="shared" si="140"/>
        <v>10.3125</v>
      </c>
      <c r="AQ66" s="8">
        <f t="shared" si="141"/>
        <v>73.32</v>
      </c>
      <c r="AR66" s="8">
        <f t="shared" si="142"/>
        <v>3692.92688392407</v>
      </c>
    </row>
    <row r="67" spans="1:44" ht="12.75">
      <c r="A67" s="6" t="s">
        <v>131</v>
      </c>
      <c r="B67">
        <v>23.21</v>
      </c>
      <c r="C67">
        <v>4.5</v>
      </c>
      <c r="D67" s="1">
        <f t="shared" si="116"/>
        <v>495</v>
      </c>
      <c r="E67" s="1">
        <v>0</v>
      </c>
      <c r="F67" s="1">
        <f t="shared" si="117"/>
        <v>270</v>
      </c>
      <c r="G67" s="1">
        <v>0</v>
      </c>
      <c r="H67" s="1">
        <f t="shared" si="118"/>
        <v>1026</v>
      </c>
      <c r="I67" s="1">
        <f t="shared" si="119"/>
        <v>102.60000000000001</v>
      </c>
      <c r="J67" s="1">
        <f t="shared" si="120"/>
        <v>205.20000000000002</v>
      </c>
      <c r="K67" s="1">
        <f t="shared" si="80"/>
        <v>22</v>
      </c>
      <c r="L67" s="1">
        <f t="shared" si="81"/>
        <v>28</v>
      </c>
      <c r="M67" s="1">
        <f t="shared" si="82"/>
        <v>11</v>
      </c>
      <c r="N67" s="1">
        <f t="shared" si="83"/>
        <v>14</v>
      </c>
      <c r="O67" s="8">
        <f t="shared" si="84"/>
        <v>252.08333333333331</v>
      </c>
      <c r="P67" s="8">
        <f t="shared" si="85"/>
        <v>408.3333333333334</v>
      </c>
      <c r="Q67">
        <v>300</v>
      </c>
      <c r="R67" s="8">
        <v>0</v>
      </c>
      <c r="S67" s="8">
        <f>(1.2*(Q67+0.64))+H67</f>
        <v>1386.768</v>
      </c>
      <c r="T67" s="8">
        <v>28.93</v>
      </c>
      <c r="U67" s="8">
        <v>25.02</v>
      </c>
      <c r="V67" s="8">
        <f>MAX(T67:U67)</f>
        <v>28.93</v>
      </c>
      <c r="W67" s="8">
        <v>181.76</v>
      </c>
      <c r="X67" s="8">
        <f>(B67/16)*12</f>
        <v>17.4075</v>
      </c>
      <c r="Y67" s="8">
        <f t="shared" si="123"/>
        <v>14.907499999999999</v>
      </c>
      <c r="Z67" s="8">
        <f t="shared" si="124"/>
        <v>0.15</v>
      </c>
      <c r="AA67" s="8">
        <f t="shared" si="125"/>
        <v>546.9</v>
      </c>
      <c r="AB67" s="8">
        <f t="shared" si="126"/>
        <v>3988.151398793198</v>
      </c>
      <c r="AC67" s="8">
        <f t="shared" si="127"/>
        <v>17.94576600442265</v>
      </c>
      <c r="AD67" s="8">
        <f>0.75*((((2*(4000^0.5)*AC67*Y67)+(8*(4000^0.5)*AC67*Y67)))/1000)</f>
        <v>126.8989643512293</v>
      </c>
      <c r="AE67" s="8">
        <f>(B67/4)*12</f>
        <v>69.63</v>
      </c>
      <c r="AF67" s="8">
        <f>((8*6)*2)+AC67</f>
        <v>113.94576600442265</v>
      </c>
      <c r="AG67" s="8">
        <f>C67*12</f>
        <v>54</v>
      </c>
      <c r="AH67" s="8">
        <f>(W67*12000)/(0.9*60000*0.95*Y67)</f>
        <v>2.852051589087875</v>
      </c>
      <c r="AI67" s="8">
        <f>(AH67*60000)/(0.85*4000*(MIN(AE67:AG67)))</f>
        <v>0.9320430029698937</v>
      </c>
      <c r="AJ67" s="8">
        <f>AI67/Y67</f>
        <v>0.06252175099580036</v>
      </c>
      <c r="AK67" s="8">
        <f>(W67*12000)/(0.9*60000*(Y67-(AI67/2)))</f>
        <v>2.7968819892827685</v>
      </c>
      <c r="AL67" s="8">
        <f>(3*(4000^0.5)*AC67*Y67)/60000</f>
        <v>0.845993095674862</v>
      </c>
      <c r="AM67" s="8">
        <f>(200*AC67*Y67)/60000</f>
        <v>0.8917550223697689</v>
      </c>
      <c r="AN67" s="8">
        <f>ROUND(MAX(AK67:AM67),2)</f>
        <v>2.8</v>
      </c>
      <c r="AO67" s="8">
        <f t="shared" si="139"/>
        <v>1.875</v>
      </c>
      <c r="AP67" s="8">
        <f t="shared" si="140"/>
        <v>10.3125</v>
      </c>
      <c r="AQ67" s="8">
        <f t="shared" si="141"/>
        <v>779.8559999999999</v>
      </c>
      <c r="AR67" s="8">
        <f>(X67-6)*AC67*(12*B67)</f>
        <v>57017.59103269711</v>
      </c>
    </row>
    <row r="68" spans="1:44" ht="12.75">
      <c r="A68" s="6" t="s">
        <v>132</v>
      </c>
      <c r="B68">
        <v>23.21</v>
      </c>
      <c r="C68">
        <v>4.5</v>
      </c>
      <c r="D68" s="1">
        <f t="shared" si="116"/>
        <v>495</v>
      </c>
      <c r="E68" s="1">
        <v>0</v>
      </c>
      <c r="F68" s="1">
        <f>C68*60</f>
        <v>270</v>
      </c>
      <c r="G68" s="1">
        <v>0</v>
      </c>
      <c r="H68" s="1">
        <f>(1.2*D68)+(1.6*F68)</f>
        <v>1026</v>
      </c>
      <c r="I68" s="1">
        <f>0.1*MAX(G68:H68)</f>
        <v>102.60000000000001</v>
      </c>
      <c r="J68" s="1">
        <f>0.2*MAX(G68:H68)</f>
        <v>205.20000000000002</v>
      </c>
      <c r="K68" s="1">
        <f>ROUND(((0.08*B68)*12),0)</f>
        <v>22</v>
      </c>
      <c r="L68" s="1">
        <f>ROUND(((0.1*B68)*12),0)</f>
        <v>28</v>
      </c>
      <c r="M68" s="1">
        <f>ROUND((0.5*K68),0)</f>
        <v>11</v>
      </c>
      <c r="N68" s="1">
        <f>ROUND((0.5*L68),0)</f>
        <v>14</v>
      </c>
      <c r="O68" s="8">
        <f>(M68/12)*(K68/12)*150</f>
        <v>252.08333333333331</v>
      </c>
      <c r="P68" s="8">
        <f>(N68/12)*(L68/12)*150</f>
        <v>408.3333333333334</v>
      </c>
      <c r="Q68">
        <v>300</v>
      </c>
      <c r="R68" s="8">
        <v>0</v>
      </c>
      <c r="S68" s="8">
        <f>(1.2*(Q68+0.64))+H68</f>
        <v>1386.768</v>
      </c>
      <c r="T68" s="8">
        <v>28.93</v>
      </c>
      <c r="U68" s="8">
        <v>25.02</v>
      </c>
      <c r="V68" s="8">
        <f>MAX(T68:U68)</f>
        <v>28.93</v>
      </c>
      <c r="W68" s="8">
        <v>611</v>
      </c>
      <c r="X68" s="8">
        <f>(B68/16)*12</f>
        <v>17.4075</v>
      </c>
      <c r="Y68" s="8">
        <f t="shared" si="123"/>
        <v>14.907499999999999</v>
      </c>
      <c r="Z68" s="8">
        <f t="shared" si="124"/>
        <v>0.15</v>
      </c>
      <c r="AA68" s="8">
        <f t="shared" si="125"/>
        <v>546.9</v>
      </c>
      <c r="AB68" s="8">
        <f>(12000*W68)/AA68</f>
        <v>13406.472846955568</v>
      </c>
      <c r="AC68" s="8">
        <f>AB68/(Y68^2)</f>
        <v>60.326050994180456</v>
      </c>
      <c r="AD68" s="8">
        <f>0.75*((((2*(4000^0.5)*AC68*Y68)+(8*(4000^0.5)*AC68*Y68)))/1000)</f>
        <v>426.5804754544514</v>
      </c>
      <c r="AE68" s="8">
        <f>(B68/4)*12</f>
        <v>69.63</v>
      </c>
      <c r="AF68" s="8">
        <f>((8*6)*2)+AC68</f>
        <v>156.32605099418046</v>
      </c>
      <c r="AG68" s="8">
        <f>C68*12</f>
        <v>54</v>
      </c>
      <c r="AH68" s="8">
        <f>(W68*12000)/(0.9*60000*0.95*Y68)</f>
        <v>9.587387329075106</v>
      </c>
      <c r="AI68" s="8">
        <f>(AH68*60000)/(0.85*4000*(MIN(AE68:AG68)))</f>
        <v>3.1331331140768324</v>
      </c>
      <c r="AJ68" s="8">
        <f>AI68/Y68</f>
        <v>0.21017159913310968</v>
      </c>
      <c r="AK68" s="8">
        <f>(W68*12000)/(0.9*60000*(Y68-(AI68/2)))</f>
        <v>10.17753205638032</v>
      </c>
      <c r="AL68" s="8">
        <f>(3*(4000^0.5)*AC68*Y68)/60000</f>
        <v>2.8438698363630097</v>
      </c>
      <c r="AM68" s="8">
        <f>(200*AC68*Y68)/60000</f>
        <v>2.9977020173191504</v>
      </c>
      <c r="AN68" s="8">
        <f>ROUND(MAX(AK68:AM68),2)</f>
        <v>10.18</v>
      </c>
      <c r="AO68" s="8">
        <f t="shared" si="139"/>
        <v>1.875</v>
      </c>
      <c r="AP68" s="8">
        <f t="shared" si="140"/>
        <v>10.3125</v>
      </c>
      <c r="AQ68" s="8">
        <f>AN68*(B68*12)</f>
        <v>2835.3336</v>
      </c>
      <c r="AR68" s="8">
        <f>(X68-6)*AC68*(12*B68)</f>
        <v>191668.9487289719</v>
      </c>
    </row>
    <row r="69" spans="1:44" ht="12.75">
      <c r="A69">
        <v>54</v>
      </c>
      <c r="B69">
        <v>23.21</v>
      </c>
      <c r="C69">
        <v>9</v>
      </c>
      <c r="D69" s="1">
        <f t="shared" si="116"/>
        <v>990</v>
      </c>
      <c r="E69" s="1">
        <v>0</v>
      </c>
      <c r="F69" s="1">
        <f t="shared" si="117"/>
        <v>540</v>
      </c>
      <c r="G69" s="1">
        <v>0</v>
      </c>
      <c r="H69" s="1">
        <f t="shared" si="118"/>
        <v>2052</v>
      </c>
      <c r="I69" s="1">
        <f t="shared" si="119"/>
        <v>205.20000000000002</v>
      </c>
      <c r="J69" s="1">
        <f t="shared" si="120"/>
        <v>410.40000000000003</v>
      </c>
      <c r="K69" s="1">
        <f t="shared" si="80"/>
        <v>22</v>
      </c>
      <c r="L69" s="1">
        <f t="shared" si="81"/>
        <v>28</v>
      </c>
      <c r="M69" s="1">
        <f t="shared" si="82"/>
        <v>11</v>
      </c>
      <c r="N69" s="1">
        <f t="shared" si="83"/>
        <v>14</v>
      </c>
      <c r="O69" s="8">
        <f t="shared" si="84"/>
        <v>252.08333333333331</v>
      </c>
      <c r="P69" s="8">
        <f t="shared" si="85"/>
        <v>408.3333333333334</v>
      </c>
      <c r="Q69">
        <v>300</v>
      </c>
      <c r="R69" s="8">
        <v>0</v>
      </c>
      <c r="S69" s="8">
        <f t="shared" si="121"/>
        <v>2412</v>
      </c>
      <c r="T69" s="8"/>
      <c r="U69" s="8"/>
      <c r="V69" s="8">
        <f>(S69*B69)/2000</f>
        <v>27.99126</v>
      </c>
      <c r="W69" s="8">
        <f t="shared" si="79"/>
        <v>162.41928615</v>
      </c>
      <c r="X69" s="8">
        <f>(B69/16)*12</f>
        <v>17.4075</v>
      </c>
      <c r="Y69" s="8">
        <f t="shared" si="123"/>
        <v>14.907499999999999</v>
      </c>
      <c r="Z69" s="8">
        <f t="shared" si="124"/>
        <v>0.15</v>
      </c>
      <c r="AA69" s="8">
        <f t="shared" si="125"/>
        <v>546.9</v>
      </c>
      <c r="AB69" s="8">
        <f t="shared" si="126"/>
        <v>3563.7802775644545</v>
      </c>
      <c r="AC69" s="8">
        <f t="shared" si="127"/>
        <v>16.036193353065936</v>
      </c>
      <c r="AD69" s="8">
        <f>0.75*((((2*(4000^0.5)*AC69*Y69)+(8*(4000^0.5)*AC69*Y69)))/1000)</f>
        <v>113.39590230579316</v>
      </c>
      <c r="AE69" s="8">
        <f>(B69/4)*12</f>
        <v>69.63</v>
      </c>
      <c r="AF69" s="8">
        <f>((8*6)*2)+AC69</f>
        <v>112.03619335306594</v>
      </c>
      <c r="AG69" s="8">
        <f>C69*12</f>
        <v>108</v>
      </c>
      <c r="AH69" s="8">
        <f>(W69*12000)/(0.9*60000*0.95*Y69)</f>
        <v>2.548570549970432</v>
      </c>
      <c r="AI69" s="8">
        <f>(AH69*60000)/(0.85*4000*(MIN(AE69:AG69)))</f>
        <v>0.6459108776567991</v>
      </c>
      <c r="AJ69" s="8">
        <f>AI69/Y69</f>
        <v>0.043327913979996587</v>
      </c>
      <c r="AK69" s="8">
        <f>(W69*12000)/(0.9*60000*(Y69-(AI69/2)))</f>
        <v>2.4747550085376533</v>
      </c>
      <c r="AL69" s="8">
        <f>(3*(4000^0.5)*AC69*Y69)/60000</f>
        <v>0.7559726820386209</v>
      </c>
      <c r="AM69" s="8">
        <f>(200*AC69*Y69)/60000</f>
        <v>0.7968651747027681</v>
      </c>
      <c r="AN69" s="8">
        <f>ROUND(MAX(AK69:AM69),2)</f>
        <v>2.47</v>
      </c>
      <c r="AO69" s="8">
        <f t="shared" si="139"/>
        <v>1.875</v>
      </c>
      <c r="AP69" s="8">
        <f t="shared" si="140"/>
        <v>10.3125</v>
      </c>
      <c r="AQ69" s="8">
        <f t="shared" si="141"/>
        <v>687.9444</v>
      </c>
      <c r="AR69" s="8">
        <f>(X69-6)*AC69*(12*B69)</f>
        <v>50950.464533028746</v>
      </c>
    </row>
    <row r="70" spans="1:44" ht="12.75">
      <c r="A70" s="6" t="s">
        <v>88</v>
      </c>
      <c r="B70">
        <v>25</v>
      </c>
      <c r="C70">
        <v>7.38</v>
      </c>
      <c r="D70" s="1">
        <f t="shared" si="116"/>
        <v>811.8</v>
      </c>
      <c r="E70" s="1">
        <v>0</v>
      </c>
      <c r="F70" s="1">
        <f t="shared" si="117"/>
        <v>442.8</v>
      </c>
      <c r="G70" s="1">
        <v>0</v>
      </c>
      <c r="H70" s="1">
        <f t="shared" si="118"/>
        <v>1682.6399999999999</v>
      </c>
      <c r="I70" s="1">
        <f t="shared" si="119"/>
        <v>168.264</v>
      </c>
      <c r="J70" s="1">
        <f t="shared" si="120"/>
        <v>336.528</v>
      </c>
      <c r="K70" s="1">
        <f t="shared" si="80"/>
        <v>24</v>
      </c>
      <c r="L70" s="1">
        <f t="shared" si="81"/>
        <v>30</v>
      </c>
      <c r="M70" s="1">
        <f t="shared" si="82"/>
        <v>12</v>
      </c>
      <c r="N70" s="1">
        <f t="shared" si="83"/>
        <v>15</v>
      </c>
      <c r="O70" s="8">
        <f t="shared" si="84"/>
        <v>300</v>
      </c>
      <c r="P70" s="8">
        <f t="shared" si="85"/>
        <v>468.75</v>
      </c>
      <c r="Q70">
        <v>300</v>
      </c>
      <c r="R70" s="8">
        <v>0</v>
      </c>
      <c r="S70" s="8">
        <f t="shared" si="121"/>
        <v>2042.6399999999999</v>
      </c>
      <c r="T70" s="8">
        <v>18.1</v>
      </c>
      <c r="U70" s="8">
        <v>40.29</v>
      </c>
      <c r="V70" s="8">
        <v>20.89</v>
      </c>
      <c r="W70" s="8">
        <v>97.47</v>
      </c>
      <c r="X70" s="8">
        <f>(B70/16)*12</f>
        <v>18.75</v>
      </c>
      <c r="Y70" s="8">
        <f t="shared" si="123"/>
        <v>16.25</v>
      </c>
      <c r="Z70" s="8">
        <f t="shared" si="124"/>
        <v>0.15</v>
      </c>
      <c r="AA70" s="8">
        <f t="shared" si="125"/>
        <v>546.9</v>
      </c>
      <c r="AB70" s="8">
        <f t="shared" si="126"/>
        <v>2138.6725178277566</v>
      </c>
      <c r="AC70" s="8">
        <f t="shared" si="127"/>
        <v>8.099114860412806</v>
      </c>
      <c r="AD70" s="8">
        <f>0.75*((((2*(4000^0.5)*AC70*Y70)+(8*(4000^0.5)*AC70*Y70)))/1000)</f>
        <v>62.42839685116407</v>
      </c>
      <c r="AE70" s="8">
        <f>(B70/4)*12</f>
        <v>75</v>
      </c>
      <c r="AF70" s="8">
        <f>((8*6)*2)+AC70</f>
        <v>104.09911486041281</v>
      </c>
      <c r="AG70" s="8">
        <f>C70*12</f>
        <v>88.56</v>
      </c>
      <c r="AH70" s="8">
        <f>(W70*12000)/(0.9*60000*0.95*Y70)</f>
        <v>1.403076923076923</v>
      </c>
      <c r="AI70" s="8">
        <f>(AH70*60000)/(0.85*4000*(MIN(AE70:AG70)))</f>
        <v>0.3301357466063349</v>
      </c>
      <c r="AJ70" s="8">
        <f>AI70/Y70</f>
        <v>0.020316045945005225</v>
      </c>
      <c r="AK70" s="8">
        <f>(W70*12000)/(0.9*60000*(Y70-(AI70/2)))</f>
        <v>1.34660188985504</v>
      </c>
      <c r="AL70" s="8">
        <f>(3*(4000^0.5)*AC70*Y70)/60000</f>
        <v>0.4161893123410938</v>
      </c>
      <c r="AM70" s="8">
        <f>(200*AC70*Y70)/60000</f>
        <v>0.438702054939027</v>
      </c>
      <c r="AN70" s="8">
        <f>ROUND(MAX(AK70:AM70),2)</f>
        <v>1.35</v>
      </c>
      <c r="AO70" s="8">
        <f t="shared" si="139"/>
        <v>1.875</v>
      </c>
      <c r="AP70" s="8">
        <f t="shared" si="140"/>
        <v>10.3125</v>
      </c>
      <c r="AQ70" s="8">
        <f t="shared" si="141"/>
        <v>405</v>
      </c>
      <c r="AR70" s="8">
        <f>(X70-6)*AC70*(12*B70)</f>
        <v>30979.114341078985</v>
      </c>
    </row>
    <row r="71" spans="1:44" ht="12.75">
      <c r="A71" s="6" t="s">
        <v>89</v>
      </c>
      <c r="B71">
        <v>25</v>
      </c>
      <c r="C71">
        <v>2.88</v>
      </c>
      <c r="D71" s="1">
        <f t="shared" si="116"/>
        <v>316.8</v>
      </c>
      <c r="E71" s="1">
        <v>0</v>
      </c>
      <c r="F71" s="1">
        <f t="shared" si="117"/>
        <v>172.79999999999998</v>
      </c>
      <c r="G71" s="1">
        <v>0</v>
      </c>
      <c r="H71" s="1">
        <f t="shared" si="118"/>
        <v>656.64</v>
      </c>
      <c r="I71" s="1">
        <f t="shared" si="119"/>
        <v>65.664</v>
      </c>
      <c r="J71" s="1">
        <f t="shared" si="120"/>
        <v>131.328</v>
      </c>
      <c r="K71" s="1">
        <f t="shared" si="80"/>
        <v>24</v>
      </c>
      <c r="L71" s="1">
        <f t="shared" si="81"/>
        <v>30</v>
      </c>
      <c r="M71" s="1">
        <f t="shared" si="82"/>
        <v>12</v>
      </c>
      <c r="N71" s="1">
        <f t="shared" si="83"/>
        <v>15</v>
      </c>
      <c r="O71" s="8">
        <f t="shared" si="84"/>
        <v>300</v>
      </c>
      <c r="P71" s="8">
        <f t="shared" si="85"/>
        <v>468.75</v>
      </c>
      <c r="Q71">
        <v>300</v>
      </c>
      <c r="R71" s="8">
        <v>0</v>
      </c>
      <c r="S71" s="8">
        <f t="shared" si="121"/>
        <v>1016.64</v>
      </c>
      <c r="T71" s="8">
        <v>18.1</v>
      </c>
      <c r="U71" s="8">
        <v>40.29</v>
      </c>
      <c r="V71" s="8">
        <v>20.89</v>
      </c>
      <c r="W71" s="8">
        <v>32.47</v>
      </c>
      <c r="X71" s="8">
        <f>(B71/16)*12</f>
        <v>18.75</v>
      </c>
      <c r="Y71" s="8">
        <f t="shared" si="123"/>
        <v>16.25</v>
      </c>
      <c r="Z71" s="8">
        <f t="shared" si="124"/>
        <v>0.15</v>
      </c>
      <c r="AA71" s="8">
        <f t="shared" si="125"/>
        <v>546.9</v>
      </c>
      <c r="AB71" s="8">
        <f t="shared" si="126"/>
        <v>712.4520021941854</v>
      </c>
      <c r="AC71" s="8">
        <f t="shared" si="127"/>
        <v>2.698043085232418</v>
      </c>
      <c r="AD71" s="8">
        <f>0.75*((((2*(4000^0.5)*AC71*Y71)+(8*(4000^0.5)*AC71*Y71)))/1000)</f>
        <v>20.796655850592977</v>
      </c>
      <c r="AE71" s="8">
        <f>(B71/4)*12</f>
        <v>75</v>
      </c>
      <c r="AF71" s="8">
        <f>((8*6)*2)+AC71</f>
        <v>98.69804308523241</v>
      </c>
      <c r="AG71" s="8">
        <f>C71*12</f>
        <v>34.56</v>
      </c>
      <c r="AH71" s="8">
        <f>(W71*12000)/(0.9*60000*0.95*Y71)</f>
        <v>0.46740440845704</v>
      </c>
      <c r="AI71" s="8">
        <f>(AH71*60000)/(0.85*4000*(MIN(AE71:AG71)))</f>
        <v>0.23866646673664216</v>
      </c>
      <c r="AJ71" s="8">
        <f>AI71/Y71</f>
        <v>0.014687167183793363</v>
      </c>
      <c r="AK71" s="8">
        <f>(W71*12000)/(0.9*60000*(Y71-(AI71/2)))</f>
        <v>0.4473191133352183</v>
      </c>
      <c r="AL71" s="8">
        <f>(3*(4000^0.5)*AC71*Y71)/60000</f>
        <v>0.1386443723372865</v>
      </c>
      <c r="AM71" s="8">
        <f>(200*AC71*Y71)/60000</f>
        <v>0.14614400045008932</v>
      </c>
      <c r="AN71" s="8">
        <f>ROUND(MAX(AK71:AM71),2)</f>
        <v>0.45</v>
      </c>
      <c r="AO71" s="8">
        <f t="shared" si="139"/>
        <v>1.875</v>
      </c>
      <c r="AP71" s="8">
        <f t="shared" si="140"/>
        <v>10.3125</v>
      </c>
      <c r="AQ71" s="8">
        <f t="shared" si="141"/>
        <v>135</v>
      </c>
      <c r="AR71" s="8">
        <f>(X71-6)*AC71*(12*B71)</f>
        <v>10320.014801013998</v>
      </c>
    </row>
    <row r="72" spans="1:44" ht="12.75">
      <c r="A72">
        <v>56</v>
      </c>
      <c r="B72">
        <v>25</v>
      </c>
      <c r="C72">
        <v>5.75</v>
      </c>
      <c r="D72" s="1">
        <f t="shared" si="116"/>
        <v>632.5</v>
      </c>
      <c r="E72" s="1">
        <v>0</v>
      </c>
      <c r="F72" s="1">
        <f t="shared" si="117"/>
        <v>345</v>
      </c>
      <c r="G72" s="1">
        <v>0</v>
      </c>
      <c r="H72" s="1">
        <f t="shared" si="118"/>
        <v>1311</v>
      </c>
      <c r="I72" s="1">
        <f t="shared" si="119"/>
        <v>131.1</v>
      </c>
      <c r="J72" s="1">
        <f t="shared" si="120"/>
        <v>262.2</v>
      </c>
      <c r="K72" s="1">
        <f t="shared" si="80"/>
        <v>24</v>
      </c>
      <c r="L72" s="1">
        <f t="shared" si="81"/>
        <v>30</v>
      </c>
      <c r="M72" s="1">
        <f t="shared" si="82"/>
        <v>12</v>
      </c>
      <c r="N72" s="1">
        <f t="shared" si="83"/>
        <v>15</v>
      </c>
      <c r="O72" s="8">
        <f t="shared" si="84"/>
        <v>300</v>
      </c>
      <c r="P72" s="8">
        <f t="shared" si="85"/>
        <v>468.75</v>
      </c>
      <c r="Q72">
        <v>300</v>
      </c>
      <c r="R72" s="8">
        <v>0</v>
      </c>
      <c r="S72" s="8">
        <f t="shared" si="121"/>
        <v>1671</v>
      </c>
      <c r="T72" s="8"/>
      <c r="U72" s="8"/>
      <c r="V72" s="8">
        <f t="shared" si="78"/>
        <v>20.8875</v>
      </c>
      <c r="W72" s="8">
        <f t="shared" si="79"/>
        <v>130.546875</v>
      </c>
      <c r="X72" s="8">
        <f t="shared" si="122"/>
        <v>18.75</v>
      </c>
      <c r="Y72" s="8">
        <f t="shared" si="123"/>
        <v>16.25</v>
      </c>
      <c r="Z72" s="8">
        <f t="shared" si="124"/>
        <v>0.15</v>
      </c>
      <c r="AA72" s="8">
        <f t="shared" si="125"/>
        <v>546.9</v>
      </c>
      <c r="AB72" s="8">
        <f t="shared" si="126"/>
        <v>2864.44048272079</v>
      </c>
      <c r="AC72" s="8">
        <f t="shared" si="127"/>
        <v>10.847585260007726</v>
      </c>
      <c r="AD72" s="8">
        <f t="shared" si="128"/>
        <v>83.61374905282968</v>
      </c>
      <c r="AE72" s="8">
        <f t="shared" si="129"/>
        <v>75</v>
      </c>
      <c r="AF72" s="8">
        <f>((8*6))+AC72</f>
        <v>58.847585260007726</v>
      </c>
      <c r="AG72" s="8">
        <f t="shared" si="131"/>
        <v>69</v>
      </c>
      <c r="AH72" s="8">
        <f t="shared" si="132"/>
        <v>1.879217273954116</v>
      </c>
      <c r="AI72" s="8">
        <f t="shared" si="133"/>
        <v>0.5635347249872273</v>
      </c>
      <c r="AJ72" s="8">
        <f t="shared" si="134"/>
        <v>0.03467905999921399</v>
      </c>
      <c r="AK72" s="8">
        <f t="shared" si="135"/>
        <v>1.8167581425715602</v>
      </c>
      <c r="AL72" s="8">
        <f t="shared" si="136"/>
        <v>0.5574249936855312</v>
      </c>
      <c r="AM72" s="8">
        <f t="shared" si="137"/>
        <v>0.5875775349170852</v>
      </c>
      <c r="AN72" s="8">
        <f t="shared" si="138"/>
        <v>1.82</v>
      </c>
      <c r="AO72" s="8">
        <f t="shared" si="139"/>
        <v>1.875</v>
      </c>
      <c r="AP72" s="8">
        <f t="shared" si="140"/>
        <v>10.3125</v>
      </c>
      <c r="AQ72" s="8">
        <f t="shared" si="141"/>
        <v>546</v>
      </c>
      <c r="AR72" s="8">
        <f t="shared" si="142"/>
        <v>41492.01361952955</v>
      </c>
    </row>
    <row r="73" spans="1:44" ht="12.75">
      <c r="A73" s="6" t="s">
        <v>90</v>
      </c>
      <c r="B73">
        <v>25</v>
      </c>
      <c r="C73">
        <v>7.38</v>
      </c>
      <c r="D73" s="1">
        <f t="shared" si="116"/>
        <v>811.8</v>
      </c>
      <c r="E73" s="1">
        <v>0</v>
      </c>
      <c r="F73" s="1">
        <f>C73*60</f>
        <v>442.8</v>
      </c>
      <c r="G73" s="1">
        <v>0</v>
      </c>
      <c r="H73" s="1">
        <f>(1.2*D73)+(1.6*F73)</f>
        <v>1682.6399999999999</v>
      </c>
      <c r="I73" s="1">
        <f>0.1*MAX(G73:H73)</f>
        <v>168.264</v>
      </c>
      <c r="J73" s="1">
        <f>0.2*MAX(G73:H73)</f>
        <v>336.528</v>
      </c>
      <c r="K73" s="1">
        <f>ROUND(((0.08*B73)*12),0)</f>
        <v>24</v>
      </c>
      <c r="L73" s="1">
        <f>ROUND(((0.1*B73)*12),0)</f>
        <v>30</v>
      </c>
      <c r="M73" s="1">
        <f>ROUND((0.5*K73),0)</f>
        <v>12</v>
      </c>
      <c r="N73" s="1">
        <f>ROUND((0.5*L73),0)</f>
        <v>15</v>
      </c>
      <c r="O73" s="8">
        <f>(M73/12)*(K73/12)*150</f>
        <v>300</v>
      </c>
      <c r="P73" s="8">
        <f>(N73/12)*(L73/12)*150</f>
        <v>468.75</v>
      </c>
      <c r="Q73">
        <v>300</v>
      </c>
      <c r="R73" s="8">
        <v>0</v>
      </c>
      <c r="S73" s="8">
        <f>(1.2*Q73)+H73</f>
        <v>2042.6399999999999</v>
      </c>
      <c r="T73" s="8">
        <v>18.1</v>
      </c>
      <c r="U73" s="8">
        <v>40.29</v>
      </c>
      <c r="V73" s="8">
        <v>20.89</v>
      </c>
      <c r="W73" s="8">
        <v>97.47</v>
      </c>
      <c r="X73" s="8">
        <f t="shared" si="122"/>
        <v>18.75</v>
      </c>
      <c r="Y73" s="8">
        <f t="shared" si="123"/>
        <v>16.25</v>
      </c>
      <c r="Z73" s="8">
        <f t="shared" si="124"/>
        <v>0.15</v>
      </c>
      <c r="AA73" s="8">
        <f t="shared" si="125"/>
        <v>546.9</v>
      </c>
      <c r="AB73" s="8">
        <f t="shared" si="126"/>
        <v>2138.6725178277566</v>
      </c>
      <c r="AC73" s="8">
        <f t="shared" si="127"/>
        <v>8.099114860412806</v>
      </c>
      <c r="AD73" s="8">
        <f t="shared" si="128"/>
        <v>62.42839685116407</v>
      </c>
      <c r="AE73" s="8">
        <f t="shared" si="129"/>
        <v>75</v>
      </c>
      <c r="AF73" s="8">
        <f>((8*6)*2)+AC73</f>
        <v>104.09911486041281</v>
      </c>
      <c r="AG73" s="8">
        <f t="shared" si="131"/>
        <v>88.56</v>
      </c>
      <c r="AH73" s="8">
        <f t="shared" si="132"/>
        <v>1.403076923076923</v>
      </c>
      <c r="AI73" s="8">
        <f t="shared" si="133"/>
        <v>0.3301357466063349</v>
      </c>
      <c r="AJ73" s="8">
        <f t="shared" si="134"/>
        <v>0.020316045945005225</v>
      </c>
      <c r="AK73" s="8">
        <f t="shared" si="135"/>
        <v>1.34660188985504</v>
      </c>
      <c r="AL73" s="8">
        <f t="shared" si="136"/>
        <v>0.4161893123410938</v>
      </c>
      <c r="AM73" s="8">
        <f t="shared" si="137"/>
        <v>0.438702054939027</v>
      </c>
      <c r="AN73" s="8">
        <f t="shared" si="138"/>
        <v>1.35</v>
      </c>
      <c r="AO73" s="8">
        <f t="shared" si="139"/>
        <v>1.875</v>
      </c>
      <c r="AP73" s="8">
        <f t="shared" si="140"/>
        <v>10.3125</v>
      </c>
      <c r="AQ73" s="8">
        <f t="shared" si="141"/>
        <v>405</v>
      </c>
      <c r="AR73" s="8">
        <f t="shared" si="142"/>
        <v>30979.114341078985</v>
      </c>
    </row>
    <row r="74" spans="1:44" ht="12.75">
      <c r="A74" s="6" t="s">
        <v>91</v>
      </c>
      <c r="B74">
        <v>25</v>
      </c>
      <c r="C74">
        <v>2.88</v>
      </c>
      <c r="D74" s="1">
        <f t="shared" si="116"/>
        <v>316.8</v>
      </c>
      <c r="E74" s="1">
        <v>0</v>
      </c>
      <c r="F74" s="1">
        <f>C74*60</f>
        <v>172.79999999999998</v>
      </c>
      <c r="G74" s="1">
        <v>0</v>
      </c>
      <c r="H74" s="1">
        <f>(1.2*D74)+(1.6*F74)</f>
        <v>656.64</v>
      </c>
      <c r="I74" s="1">
        <f>0.1*MAX(G74:H74)</f>
        <v>65.664</v>
      </c>
      <c r="J74" s="1">
        <f>0.2*MAX(G74:H74)</f>
        <v>131.328</v>
      </c>
      <c r="K74" s="1">
        <f>ROUND(((0.08*B74)*12),0)</f>
        <v>24</v>
      </c>
      <c r="L74" s="1">
        <f>ROUND(((0.1*B74)*12),0)</f>
        <v>30</v>
      </c>
      <c r="M74" s="1">
        <f>ROUND((0.5*K74),0)</f>
        <v>12</v>
      </c>
      <c r="N74" s="1">
        <f>ROUND((0.5*L74),0)</f>
        <v>15</v>
      </c>
      <c r="O74" s="8">
        <f>(M74/12)*(K74/12)*150</f>
        <v>300</v>
      </c>
      <c r="P74" s="8">
        <f>(N74/12)*(L74/12)*150</f>
        <v>468.75</v>
      </c>
      <c r="Q74">
        <v>300</v>
      </c>
      <c r="R74" s="8">
        <v>0</v>
      </c>
      <c r="S74" s="8">
        <f>(1.2*Q74)+H74</f>
        <v>1016.64</v>
      </c>
      <c r="T74" s="8">
        <v>18.1</v>
      </c>
      <c r="U74" s="8">
        <v>40.29</v>
      </c>
      <c r="V74" s="8">
        <v>20.89</v>
      </c>
      <c r="W74" s="8">
        <v>32.47</v>
      </c>
      <c r="X74" s="8">
        <f t="shared" si="122"/>
        <v>18.75</v>
      </c>
      <c r="Y74" s="8">
        <f t="shared" si="123"/>
        <v>16.25</v>
      </c>
      <c r="Z74" s="8">
        <f t="shared" si="124"/>
        <v>0.15</v>
      </c>
      <c r="AA74" s="8">
        <f t="shared" si="125"/>
        <v>546.9</v>
      </c>
      <c r="AB74" s="8">
        <f t="shared" si="126"/>
        <v>712.4520021941854</v>
      </c>
      <c r="AC74" s="8">
        <f t="shared" si="127"/>
        <v>2.698043085232418</v>
      </c>
      <c r="AD74" s="8">
        <f t="shared" si="128"/>
        <v>20.796655850592977</v>
      </c>
      <c r="AE74" s="8">
        <f t="shared" si="129"/>
        <v>75</v>
      </c>
      <c r="AF74" s="8">
        <f>((8*6)*2)+AC74</f>
        <v>98.69804308523241</v>
      </c>
      <c r="AG74" s="8">
        <f t="shared" si="131"/>
        <v>34.56</v>
      </c>
      <c r="AH74" s="8">
        <f t="shared" si="132"/>
        <v>0.46740440845704</v>
      </c>
      <c r="AI74" s="8">
        <f t="shared" si="133"/>
        <v>0.23866646673664216</v>
      </c>
      <c r="AJ74" s="8">
        <f t="shared" si="134"/>
        <v>0.014687167183793363</v>
      </c>
      <c r="AK74" s="8">
        <f t="shared" si="135"/>
        <v>0.4473191133352183</v>
      </c>
      <c r="AL74" s="8">
        <f t="shared" si="136"/>
        <v>0.1386443723372865</v>
      </c>
      <c r="AM74" s="8">
        <f t="shared" si="137"/>
        <v>0.14614400045008932</v>
      </c>
      <c r="AN74" s="8">
        <f t="shared" si="138"/>
        <v>0.45</v>
      </c>
      <c r="AO74" s="8">
        <f t="shared" si="139"/>
        <v>1.875</v>
      </c>
      <c r="AP74" s="8">
        <f t="shared" si="140"/>
        <v>10.3125</v>
      </c>
      <c r="AQ74" s="8">
        <f t="shared" si="141"/>
        <v>135</v>
      </c>
      <c r="AR74" s="8">
        <f t="shared" si="142"/>
        <v>10320.014801013998</v>
      </c>
    </row>
    <row r="75" spans="1:44" ht="12.75">
      <c r="A75">
        <v>58</v>
      </c>
      <c r="B75">
        <v>23.21</v>
      </c>
      <c r="C75">
        <v>8.88</v>
      </c>
      <c r="D75" s="1">
        <f t="shared" si="116"/>
        <v>976.8000000000001</v>
      </c>
      <c r="E75" s="1">
        <v>0</v>
      </c>
      <c r="F75" s="1">
        <f t="shared" si="117"/>
        <v>532.8000000000001</v>
      </c>
      <c r="G75" s="1">
        <v>0</v>
      </c>
      <c r="H75" s="1">
        <f t="shared" si="118"/>
        <v>2024.6400000000003</v>
      </c>
      <c r="I75" s="1">
        <f t="shared" si="119"/>
        <v>202.46400000000006</v>
      </c>
      <c r="J75" s="1">
        <f t="shared" si="120"/>
        <v>404.9280000000001</v>
      </c>
      <c r="K75" s="1">
        <f t="shared" si="80"/>
        <v>22</v>
      </c>
      <c r="L75" s="1">
        <f t="shared" si="81"/>
        <v>28</v>
      </c>
      <c r="M75" s="1">
        <f t="shared" si="82"/>
        <v>11</v>
      </c>
      <c r="N75" s="1">
        <f t="shared" si="83"/>
        <v>14</v>
      </c>
      <c r="O75" s="8">
        <f t="shared" si="84"/>
        <v>252.08333333333331</v>
      </c>
      <c r="P75" s="8">
        <f t="shared" si="85"/>
        <v>408.3333333333334</v>
      </c>
      <c r="Q75">
        <v>300</v>
      </c>
      <c r="R75" s="8">
        <v>0</v>
      </c>
      <c r="S75" s="8">
        <f t="shared" si="121"/>
        <v>2384.6400000000003</v>
      </c>
      <c r="T75" s="8"/>
      <c r="U75" s="8"/>
      <c r="V75" s="8">
        <f t="shared" si="78"/>
        <v>27.673747200000005</v>
      </c>
      <c r="W75" s="8">
        <f t="shared" si="79"/>
        <v>160.57691812800005</v>
      </c>
      <c r="X75" s="8">
        <f t="shared" si="122"/>
        <v>17.4075</v>
      </c>
      <c r="Y75" s="8">
        <f t="shared" si="123"/>
        <v>14.907499999999999</v>
      </c>
      <c r="Z75" s="8">
        <f t="shared" si="124"/>
        <v>0.15</v>
      </c>
      <c r="AA75" s="8">
        <f t="shared" si="125"/>
        <v>546.9</v>
      </c>
      <c r="AB75" s="8">
        <f aca="true" t="shared" si="143" ref="AB75:AB88">(12000*W75)/AA75</f>
        <v>3523.355307251784</v>
      </c>
      <c r="AC75" s="8">
        <f aca="true" t="shared" si="144" ref="AC75:AC88">AB75/(Y75^2)</f>
        <v>15.854290264284895</v>
      </c>
      <c r="AD75" s="8">
        <f t="shared" si="128"/>
        <v>112.10962042889162</v>
      </c>
      <c r="AE75" s="8">
        <f t="shared" si="129"/>
        <v>69.63</v>
      </c>
      <c r="AF75" s="8">
        <f t="shared" si="130"/>
        <v>111.8542902642849</v>
      </c>
      <c r="AG75" s="8">
        <f t="shared" si="131"/>
        <v>106.56</v>
      </c>
      <c r="AH75" s="8">
        <f t="shared" si="132"/>
        <v>2.5196613914931563</v>
      </c>
      <c r="AI75" s="8">
        <f t="shared" si="133"/>
        <v>0.6385841274027819</v>
      </c>
      <c r="AJ75" s="8">
        <f t="shared" si="134"/>
        <v>0.04283643316470112</v>
      </c>
      <c r="AK75" s="8">
        <f t="shared" si="135"/>
        <v>2.4460687522290607</v>
      </c>
      <c r="AL75" s="8">
        <f t="shared" si="136"/>
        <v>0.7473974695259441</v>
      </c>
      <c r="AM75" s="8">
        <f t="shared" si="137"/>
        <v>0.7878261070494236</v>
      </c>
      <c r="AN75" s="8">
        <f t="shared" si="138"/>
        <v>2.45</v>
      </c>
      <c r="AO75" s="8">
        <f t="shared" si="139"/>
        <v>1.875</v>
      </c>
      <c r="AP75" s="8">
        <f t="shared" si="140"/>
        <v>10.3125</v>
      </c>
      <c r="AQ75" s="8">
        <f t="shared" si="141"/>
        <v>682.374</v>
      </c>
      <c r="AR75" s="8">
        <f t="shared" si="142"/>
        <v>50372.518965191426</v>
      </c>
    </row>
    <row r="76" spans="1:44" ht="12.75">
      <c r="A76">
        <v>59</v>
      </c>
      <c r="B76">
        <v>23.21</v>
      </c>
      <c r="C76">
        <v>9.5</v>
      </c>
      <c r="D76" s="1">
        <f t="shared" si="116"/>
        <v>1045</v>
      </c>
      <c r="E76" s="1">
        <v>0</v>
      </c>
      <c r="F76" s="1">
        <f t="shared" si="117"/>
        <v>570</v>
      </c>
      <c r="G76" s="1">
        <v>0</v>
      </c>
      <c r="H76" s="1">
        <f t="shared" si="118"/>
        <v>2166</v>
      </c>
      <c r="I76" s="1">
        <f t="shared" si="119"/>
        <v>216.60000000000002</v>
      </c>
      <c r="J76" s="1">
        <f t="shared" si="120"/>
        <v>433.20000000000005</v>
      </c>
      <c r="K76" s="1">
        <f t="shared" si="80"/>
        <v>22</v>
      </c>
      <c r="L76" s="1">
        <f t="shared" si="81"/>
        <v>28</v>
      </c>
      <c r="M76" s="1">
        <f t="shared" si="82"/>
        <v>11</v>
      </c>
      <c r="N76" s="1">
        <f t="shared" si="83"/>
        <v>14</v>
      </c>
      <c r="O76" s="8">
        <f t="shared" si="84"/>
        <v>252.08333333333331</v>
      </c>
      <c r="P76" s="8">
        <f t="shared" si="85"/>
        <v>408.3333333333334</v>
      </c>
      <c r="Q76">
        <v>300</v>
      </c>
      <c r="R76" s="8">
        <v>0</v>
      </c>
      <c r="S76" s="8">
        <f t="shared" si="121"/>
        <v>2526</v>
      </c>
      <c r="T76" s="8"/>
      <c r="U76" s="8"/>
      <c r="V76" s="8">
        <f t="shared" si="78"/>
        <v>29.31423</v>
      </c>
      <c r="W76" s="8">
        <f t="shared" si="79"/>
        <v>170.095819575</v>
      </c>
      <c r="X76" s="8">
        <f t="shared" si="122"/>
        <v>17.4075</v>
      </c>
      <c r="Y76" s="8">
        <f t="shared" si="123"/>
        <v>14.907499999999999</v>
      </c>
      <c r="Z76" s="8">
        <f t="shared" si="124"/>
        <v>0.15</v>
      </c>
      <c r="AA76" s="8">
        <f t="shared" si="125"/>
        <v>546.9</v>
      </c>
      <c r="AB76" s="8">
        <f t="shared" si="143"/>
        <v>3732.217653867252</v>
      </c>
      <c r="AC76" s="8">
        <f t="shared" si="144"/>
        <v>16.79412288965363</v>
      </c>
      <c r="AD76" s="8">
        <f t="shared" si="128"/>
        <v>118.75541012621619</v>
      </c>
      <c r="AE76" s="8">
        <f t="shared" si="129"/>
        <v>69.63</v>
      </c>
      <c r="AF76" s="8">
        <f t="shared" si="130"/>
        <v>112.79412288965364</v>
      </c>
      <c r="AG76" s="8">
        <f t="shared" si="131"/>
        <v>114</v>
      </c>
      <c r="AH76" s="8">
        <f t="shared" si="132"/>
        <v>2.6690253769590844</v>
      </c>
      <c r="AI76" s="8">
        <f t="shared" si="133"/>
        <v>0.676439003715205</v>
      </c>
      <c r="AJ76" s="8">
        <f t="shared" si="134"/>
        <v>0.04537575071039444</v>
      </c>
      <c r="AK76" s="8">
        <f t="shared" si="135"/>
        <v>2.5944363567909963</v>
      </c>
      <c r="AL76" s="8">
        <f t="shared" si="136"/>
        <v>0.7917027341747745</v>
      </c>
      <c r="AM76" s="8">
        <f t="shared" si="137"/>
        <v>0.8345279565917049</v>
      </c>
      <c r="AN76" s="8">
        <f t="shared" si="138"/>
        <v>2.59</v>
      </c>
      <c r="AO76" s="8">
        <f t="shared" si="139"/>
        <v>1.875</v>
      </c>
      <c r="AP76" s="8">
        <f t="shared" si="140"/>
        <v>10.3125</v>
      </c>
      <c r="AQ76" s="8">
        <f>AN76*B76</f>
        <v>60.1139</v>
      </c>
      <c r="AR76" s="8">
        <f t="shared" si="142"/>
        <v>53358.57106568434</v>
      </c>
    </row>
    <row r="77" spans="1:44" ht="12.75">
      <c r="A77">
        <v>60</v>
      </c>
      <c r="B77">
        <v>23.21</v>
      </c>
      <c r="C77">
        <v>8.88</v>
      </c>
      <c r="D77" s="1">
        <f t="shared" si="116"/>
        <v>976.8000000000001</v>
      </c>
      <c r="E77" s="1">
        <v>0</v>
      </c>
      <c r="F77" s="1">
        <f t="shared" si="117"/>
        <v>532.8000000000001</v>
      </c>
      <c r="G77" s="1">
        <v>0</v>
      </c>
      <c r="H77" s="1">
        <f t="shared" si="118"/>
        <v>2024.6400000000003</v>
      </c>
      <c r="I77" s="1">
        <f t="shared" si="119"/>
        <v>202.46400000000006</v>
      </c>
      <c r="J77" s="1">
        <f t="shared" si="120"/>
        <v>404.9280000000001</v>
      </c>
      <c r="K77" s="1">
        <f t="shared" si="80"/>
        <v>22</v>
      </c>
      <c r="L77" s="1">
        <f t="shared" si="81"/>
        <v>28</v>
      </c>
      <c r="M77" s="1">
        <f t="shared" si="82"/>
        <v>11</v>
      </c>
      <c r="N77" s="1">
        <f t="shared" si="83"/>
        <v>14</v>
      </c>
      <c r="O77" s="8">
        <f t="shared" si="84"/>
        <v>252.08333333333331</v>
      </c>
      <c r="P77" s="8">
        <f t="shared" si="85"/>
        <v>408.3333333333334</v>
      </c>
      <c r="Q77">
        <v>300</v>
      </c>
      <c r="R77" s="8">
        <v>0</v>
      </c>
      <c r="S77" s="8">
        <f t="shared" si="121"/>
        <v>2384.6400000000003</v>
      </c>
      <c r="T77" s="8"/>
      <c r="U77" s="8"/>
      <c r="V77" s="8">
        <f t="shared" si="78"/>
        <v>27.673747200000005</v>
      </c>
      <c r="W77" s="8">
        <f t="shared" si="79"/>
        <v>160.57691812800005</v>
      </c>
      <c r="X77" s="8">
        <f t="shared" si="122"/>
        <v>17.4075</v>
      </c>
      <c r="Y77" s="8">
        <f t="shared" si="123"/>
        <v>14.907499999999999</v>
      </c>
      <c r="Z77" s="8">
        <f t="shared" si="124"/>
        <v>0.15</v>
      </c>
      <c r="AA77" s="8">
        <f t="shared" si="125"/>
        <v>546.9</v>
      </c>
      <c r="AB77" s="8">
        <f t="shared" si="143"/>
        <v>3523.355307251784</v>
      </c>
      <c r="AC77" s="8">
        <f t="shared" si="144"/>
        <v>15.854290264284895</v>
      </c>
      <c r="AD77" s="8">
        <f t="shared" si="128"/>
        <v>112.10962042889162</v>
      </c>
      <c r="AE77" s="8">
        <f t="shared" si="129"/>
        <v>69.63</v>
      </c>
      <c r="AF77" s="8">
        <f t="shared" si="130"/>
        <v>111.8542902642849</v>
      </c>
      <c r="AG77" s="8">
        <f t="shared" si="131"/>
        <v>106.56</v>
      </c>
      <c r="AH77" s="8">
        <f t="shared" si="132"/>
        <v>2.5196613914931563</v>
      </c>
      <c r="AI77" s="8">
        <f t="shared" si="133"/>
        <v>0.6385841274027819</v>
      </c>
      <c r="AJ77" s="8">
        <f t="shared" si="134"/>
        <v>0.04283643316470112</v>
      </c>
      <c r="AK77" s="8">
        <f t="shared" si="135"/>
        <v>2.4460687522290607</v>
      </c>
      <c r="AL77" s="8">
        <f t="shared" si="136"/>
        <v>0.7473974695259441</v>
      </c>
      <c r="AM77" s="8">
        <f t="shared" si="137"/>
        <v>0.7878261070494236</v>
      </c>
      <c r="AN77" s="8">
        <f t="shared" si="138"/>
        <v>2.45</v>
      </c>
      <c r="AO77" s="8">
        <f t="shared" si="139"/>
        <v>1.875</v>
      </c>
      <c r="AP77" s="8">
        <f t="shared" si="140"/>
        <v>10.3125</v>
      </c>
      <c r="AQ77" s="8">
        <f>AN77*B77</f>
        <v>56.86450000000001</v>
      </c>
      <c r="AR77" s="8">
        <f t="shared" si="142"/>
        <v>50372.518965191426</v>
      </c>
    </row>
    <row r="78" spans="1:44" ht="12.75">
      <c r="A78" s="6" t="s">
        <v>92</v>
      </c>
      <c r="B78">
        <v>25</v>
      </c>
      <c r="C78">
        <v>7.38</v>
      </c>
      <c r="D78" s="1">
        <f t="shared" si="116"/>
        <v>811.8</v>
      </c>
      <c r="E78" s="1">
        <v>0</v>
      </c>
      <c r="F78" s="1">
        <f t="shared" si="117"/>
        <v>442.8</v>
      </c>
      <c r="G78" s="1">
        <v>0</v>
      </c>
      <c r="H78" s="1">
        <f t="shared" si="118"/>
        <v>1682.6399999999999</v>
      </c>
      <c r="I78" s="1">
        <f t="shared" si="119"/>
        <v>168.264</v>
      </c>
      <c r="J78" s="1">
        <f t="shared" si="120"/>
        <v>336.528</v>
      </c>
      <c r="K78" s="1">
        <f t="shared" si="80"/>
        <v>24</v>
      </c>
      <c r="L78" s="1">
        <f t="shared" si="81"/>
        <v>30</v>
      </c>
      <c r="M78" s="1">
        <f t="shared" si="82"/>
        <v>12</v>
      </c>
      <c r="N78" s="1">
        <f t="shared" si="83"/>
        <v>15</v>
      </c>
      <c r="O78" s="8">
        <f t="shared" si="84"/>
        <v>300</v>
      </c>
      <c r="P78" s="8">
        <f t="shared" si="85"/>
        <v>468.75</v>
      </c>
      <c r="Q78">
        <v>300</v>
      </c>
      <c r="R78" s="8">
        <v>0</v>
      </c>
      <c r="S78" s="8">
        <f t="shared" si="121"/>
        <v>2042.6399999999999</v>
      </c>
      <c r="T78" s="8">
        <v>18.1</v>
      </c>
      <c r="U78" s="8">
        <v>40.29</v>
      </c>
      <c r="V78" s="8">
        <v>20.89</v>
      </c>
      <c r="W78" s="8">
        <v>97.47</v>
      </c>
      <c r="X78" s="8">
        <f>(B78/16)*12</f>
        <v>18.75</v>
      </c>
      <c r="Y78" s="8">
        <f t="shared" si="123"/>
        <v>16.25</v>
      </c>
      <c r="Z78" s="8">
        <f t="shared" si="124"/>
        <v>0.15</v>
      </c>
      <c r="AA78" s="8">
        <f t="shared" si="125"/>
        <v>546.9</v>
      </c>
      <c r="AB78" s="8">
        <f t="shared" si="143"/>
        <v>2138.6725178277566</v>
      </c>
      <c r="AC78" s="8">
        <f t="shared" si="144"/>
        <v>8.099114860412806</v>
      </c>
      <c r="AD78" s="8">
        <f>0.75*((((2*(4000^0.5)*AC78*Y78)+(8*(4000^0.5)*AC78*Y78)))/1000)</f>
        <v>62.42839685116407</v>
      </c>
      <c r="AE78" s="8">
        <f>(B78/4)*12</f>
        <v>75</v>
      </c>
      <c r="AF78" s="8">
        <f t="shared" si="130"/>
        <v>104.09911486041281</v>
      </c>
      <c r="AG78" s="8">
        <f>C78*12</f>
        <v>88.56</v>
      </c>
      <c r="AH78" s="8">
        <f>(W78*12000)/(0.9*60000*0.95*Y78)</f>
        <v>1.403076923076923</v>
      </c>
      <c r="AI78" s="8">
        <f>(AH78*60000)/(0.85*4000*(MIN(AE78:AG78)))</f>
        <v>0.3301357466063349</v>
      </c>
      <c r="AJ78" s="8">
        <f>AI78/Y78</f>
        <v>0.020316045945005225</v>
      </c>
      <c r="AK78" s="8">
        <f>(W78*12000)/(0.9*60000*(Y78-(AI78/2)))</f>
        <v>1.34660188985504</v>
      </c>
      <c r="AL78" s="8">
        <f>(3*(4000^0.5)*AC78*Y78)/60000</f>
        <v>0.4161893123410938</v>
      </c>
      <c r="AM78" s="8">
        <f>(200*AC78*Y78)/60000</f>
        <v>0.438702054939027</v>
      </c>
      <c r="AN78" s="8">
        <f>ROUND(MAX(AK78:AM78),2)</f>
        <v>1.35</v>
      </c>
      <c r="AO78" s="8">
        <f t="shared" si="139"/>
        <v>1.875</v>
      </c>
      <c r="AP78" s="8">
        <f t="shared" si="140"/>
        <v>10.3125</v>
      </c>
      <c r="AQ78" s="8">
        <f>AN78*(B78*12)</f>
        <v>405</v>
      </c>
      <c r="AR78" s="8">
        <f>(X78-6)*AC78*(12*B78)</f>
        <v>30979.114341078985</v>
      </c>
    </row>
    <row r="79" spans="1:44" ht="12.75">
      <c r="A79" s="6" t="s">
        <v>93</v>
      </c>
      <c r="B79">
        <v>25</v>
      </c>
      <c r="C79">
        <v>2.88</v>
      </c>
      <c r="D79" s="1">
        <f t="shared" si="116"/>
        <v>316.8</v>
      </c>
      <c r="E79" s="1">
        <v>0</v>
      </c>
      <c r="F79" s="1">
        <f t="shared" si="117"/>
        <v>172.79999999999998</v>
      </c>
      <c r="G79" s="1">
        <v>0</v>
      </c>
      <c r="H79" s="1">
        <f t="shared" si="118"/>
        <v>656.64</v>
      </c>
      <c r="I79" s="1">
        <f t="shared" si="119"/>
        <v>65.664</v>
      </c>
      <c r="J79" s="1">
        <f t="shared" si="120"/>
        <v>131.328</v>
      </c>
      <c r="K79" s="1">
        <f t="shared" si="80"/>
        <v>24</v>
      </c>
      <c r="L79" s="1">
        <f t="shared" si="81"/>
        <v>30</v>
      </c>
      <c r="M79" s="1">
        <f t="shared" si="82"/>
        <v>12</v>
      </c>
      <c r="N79" s="1">
        <f t="shared" si="83"/>
        <v>15</v>
      </c>
      <c r="O79" s="8">
        <f t="shared" si="84"/>
        <v>300</v>
      </c>
      <c r="P79" s="8">
        <f t="shared" si="85"/>
        <v>468.75</v>
      </c>
      <c r="Q79">
        <v>300</v>
      </c>
      <c r="R79" s="8">
        <v>0</v>
      </c>
      <c r="S79" s="8">
        <f t="shared" si="121"/>
        <v>1016.64</v>
      </c>
      <c r="T79" s="8">
        <v>18.1</v>
      </c>
      <c r="U79" s="8">
        <v>40.29</v>
      </c>
      <c r="V79" s="8">
        <v>20.89</v>
      </c>
      <c r="W79" s="8">
        <v>32.47</v>
      </c>
      <c r="X79" s="8">
        <f>(B79/16)*12</f>
        <v>18.75</v>
      </c>
      <c r="Y79" s="8">
        <f t="shared" si="123"/>
        <v>16.25</v>
      </c>
      <c r="Z79" s="8">
        <f t="shared" si="124"/>
        <v>0.15</v>
      </c>
      <c r="AA79" s="8">
        <f t="shared" si="125"/>
        <v>546.9</v>
      </c>
      <c r="AB79" s="8">
        <f t="shared" si="143"/>
        <v>712.4520021941854</v>
      </c>
      <c r="AC79" s="8">
        <f t="shared" si="144"/>
        <v>2.698043085232418</v>
      </c>
      <c r="AD79" s="8">
        <f>0.75*((((2*(4000^0.5)*AC79*Y79)+(8*(4000^0.5)*AC79*Y79)))/1000)</f>
        <v>20.796655850592977</v>
      </c>
      <c r="AE79" s="8">
        <f>(B79/4)*12</f>
        <v>75</v>
      </c>
      <c r="AF79" s="8">
        <f t="shared" si="130"/>
        <v>98.69804308523241</v>
      </c>
      <c r="AG79" s="8">
        <f>C79*12</f>
        <v>34.56</v>
      </c>
      <c r="AH79" s="8">
        <f>(W79*12000)/(0.9*60000*0.95*Y79)</f>
        <v>0.46740440845704</v>
      </c>
      <c r="AI79" s="8">
        <f>(AH79*60000)/(0.85*4000*(MIN(AE79:AG79)))</f>
        <v>0.23866646673664216</v>
      </c>
      <c r="AJ79" s="8">
        <f>AI79/Y79</f>
        <v>0.014687167183793363</v>
      </c>
      <c r="AK79" s="8">
        <f>(W79*12000)/(0.9*60000*(Y79-(AI79/2)))</f>
        <v>0.4473191133352183</v>
      </c>
      <c r="AL79" s="8">
        <f>(3*(4000^0.5)*AC79*Y79)/60000</f>
        <v>0.1386443723372865</v>
      </c>
      <c r="AM79" s="8">
        <f>(200*AC79*Y79)/60000</f>
        <v>0.14614400045008932</v>
      </c>
      <c r="AN79" s="8">
        <f>ROUND(MAX(AK79:AM79),2)</f>
        <v>0.45</v>
      </c>
      <c r="AO79" s="8">
        <f t="shared" si="139"/>
        <v>1.875</v>
      </c>
      <c r="AP79" s="8">
        <f t="shared" si="140"/>
        <v>10.3125</v>
      </c>
      <c r="AQ79" s="8">
        <f>AN79*(B79*12)</f>
        <v>135</v>
      </c>
      <c r="AR79" s="8">
        <f>(X79-6)*AC79*(12*B79)</f>
        <v>10320.014801013998</v>
      </c>
    </row>
    <row r="80" spans="1:44" ht="12.75">
      <c r="A80">
        <v>62</v>
      </c>
      <c r="B80">
        <v>25</v>
      </c>
      <c r="C80">
        <v>5.75</v>
      </c>
      <c r="D80" s="1">
        <f t="shared" si="116"/>
        <v>632.5</v>
      </c>
      <c r="E80" s="1">
        <v>0</v>
      </c>
      <c r="F80" s="1">
        <f t="shared" si="117"/>
        <v>345</v>
      </c>
      <c r="G80" s="1">
        <v>0</v>
      </c>
      <c r="H80" s="1">
        <f t="shared" si="118"/>
        <v>1311</v>
      </c>
      <c r="I80" s="1">
        <f t="shared" si="119"/>
        <v>131.1</v>
      </c>
      <c r="J80" s="1">
        <f t="shared" si="120"/>
        <v>262.2</v>
      </c>
      <c r="K80" s="1">
        <f t="shared" si="80"/>
        <v>24</v>
      </c>
      <c r="L80" s="1">
        <f t="shared" si="81"/>
        <v>30</v>
      </c>
      <c r="M80" s="1">
        <f t="shared" si="82"/>
        <v>12</v>
      </c>
      <c r="N80" s="1">
        <f t="shared" si="83"/>
        <v>15</v>
      </c>
      <c r="O80" s="8">
        <f t="shared" si="84"/>
        <v>300</v>
      </c>
      <c r="P80" s="8">
        <f t="shared" si="85"/>
        <v>468.75</v>
      </c>
      <c r="Q80">
        <v>300</v>
      </c>
      <c r="R80" s="8">
        <v>0</v>
      </c>
      <c r="S80" s="8">
        <f t="shared" si="121"/>
        <v>1671</v>
      </c>
      <c r="T80" s="8"/>
      <c r="U80" s="8"/>
      <c r="V80" s="8">
        <f t="shared" si="78"/>
        <v>20.8875</v>
      </c>
      <c r="W80" s="8">
        <f t="shared" si="79"/>
        <v>130.546875</v>
      </c>
      <c r="X80" s="8">
        <f t="shared" si="122"/>
        <v>18.75</v>
      </c>
      <c r="Y80" s="8">
        <f t="shared" si="123"/>
        <v>16.25</v>
      </c>
      <c r="Z80" s="8">
        <f t="shared" si="124"/>
        <v>0.15</v>
      </c>
      <c r="AA80" s="8">
        <f t="shared" si="125"/>
        <v>546.9</v>
      </c>
      <c r="AB80" s="8">
        <f t="shared" si="143"/>
        <v>2864.44048272079</v>
      </c>
      <c r="AC80" s="8">
        <f t="shared" si="144"/>
        <v>10.847585260007726</v>
      </c>
      <c r="AD80" s="8">
        <f t="shared" si="128"/>
        <v>83.61374905282968</v>
      </c>
      <c r="AE80" s="8">
        <f t="shared" si="129"/>
        <v>75</v>
      </c>
      <c r="AF80" s="8">
        <f t="shared" si="130"/>
        <v>106.84758526000772</v>
      </c>
      <c r="AG80" s="8">
        <f t="shared" si="131"/>
        <v>69</v>
      </c>
      <c r="AH80" s="8">
        <f t="shared" si="132"/>
        <v>1.879217273954116</v>
      </c>
      <c r="AI80" s="8">
        <f t="shared" si="133"/>
        <v>0.48061822863276626</v>
      </c>
      <c r="AJ80" s="8">
        <f t="shared" si="134"/>
        <v>0.029576506377401002</v>
      </c>
      <c r="AK80" s="8">
        <f t="shared" si="135"/>
        <v>1.812053516449135</v>
      </c>
      <c r="AL80" s="8">
        <f t="shared" si="136"/>
        <v>0.5574249936855312</v>
      </c>
      <c r="AM80" s="8">
        <f t="shared" si="137"/>
        <v>0.5875775349170852</v>
      </c>
      <c r="AN80" s="8">
        <f t="shared" si="138"/>
        <v>1.81</v>
      </c>
      <c r="AO80" s="8">
        <f t="shared" si="139"/>
        <v>1.875</v>
      </c>
      <c r="AP80" s="8">
        <f t="shared" si="140"/>
        <v>10.3125</v>
      </c>
      <c r="AQ80" s="8">
        <f>AN80*B80</f>
        <v>45.25</v>
      </c>
      <c r="AR80" s="8">
        <f t="shared" si="142"/>
        <v>41492.01361952955</v>
      </c>
    </row>
    <row r="81" spans="1:44" ht="12.75">
      <c r="A81" s="6" t="s">
        <v>94</v>
      </c>
      <c r="B81">
        <v>25</v>
      </c>
      <c r="C81">
        <v>7.38</v>
      </c>
      <c r="D81" s="1">
        <f t="shared" si="116"/>
        <v>811.8</v>
      </c>
      <c r="E81" s="1">
        <v>0</v>
      </c>
      <c r="F81" s="1">
        <f t="shared" si="117"/>
        <v>442.8</v>
      </c>
      <c r="G81" s="1">
        <v>0</v>
      </c>
      <c r="H81" s="1">
        <f t="shared" si="118"/>
        <v>1682.6399999999999</v>
      </c>
      <c r="I81" s="1">
        <f t="shared" si="119"/>
        <v>168.264</v>
      </c>
      <c r="J81" s="1">
        <f t="shared" si="120"/>
        <v>336.528</v>
      </c>
      <c r="K81" s="1">
        <f t="shared" si="80"/>
        <v>24</v>
      </c>
      <c r="L81" s="1">
        <f t="shared" si="81"/>
        <v>30</v>
      </c>
      <c r="M81" s="1">
        <f t="shared" si="82"/>
        <v>12</v>
      </c>
      <c r="N81" s="1">
        <f t="shared" si="83"/>
        <v>15</v>
      </c>
      <c r="O81" s="8">
        <f t="shared" si="84"/>
        <v>300</v>
      </c>
      <c r="P81" s="8">
        <f t="shared" si="85"/>
        <v>468.75</v>
      </c>
      <c r="Q81">
        <v>300</v>
      </c>
      <c r="R81" s="8">
        <v>0</v>
      </c>
      <c r="S81" s="8">
        <f t="shared" si="121"/>
        <v>2042.6399999999999</v>
      </c>
      <c r="T81" s="8">
        <v>18.1</v>
      </c>
      <c r="U81" s="8">
        <v>40.29</v>
      </c>
      <c r="V81" s="8">
        <v>20.89</v>
      </c>
      <c r="W81" s="8">
        <v>97.47</v>
      </c>
      <c r="X81" s="8">
        <f aca="true" t="shared" si="145" ref="X81:X86">(B81/16)*12</f>
        <v>18.75</v>
      </c>
      <c r="Y81" s="8">
        <f t="shared" si="123"/>
        <v>16.25</v>
      </c>
      <c r="Z81" s="8">
        <f t="shared" si="124"/>
        <v>0.15</v>
      </c>
      <c r="AA81" s="8">
        <f t="shared" si="125"/>
        <v>546.9</v>
      </c>
      <c r="AB81" s="8">
        <f t="shared" si="143"/>
        <v>2138.6725178277566</v>
      </c>
      <c r="AC81" s="8">
        <f t="shared" si="144"/>
        <v>8.099114860412806</v>
      </c>
      <c r="AD81" s="8">
        <f aca="true" t="shared" si="146" ref="AD81:AD86">0.75*((((2*(4000^0.5)*AC81*Y81)+(8*(4000^0.5)*AC81*Y81)))/1000)</f>
        <v>62.42839685116407</v>
      </c>
      <c r="AE81" s="8">
        <f aca="true" t="shared" si="147" ref="AE81:AE86">(B81/4)*12</f>
        <v>75</v>
      </c>
      <c r="AF81" s="8">
        <f t="shared" si="130"/>
        <v>104.09911486041281</v>
      </c>
      <c r="AG81" s="8">
        <f aca="true" t="shared" si="148" ref="AG81:AG86">C81*12</f>
        <v>88.56</v>
      </c>
      <c r="AH81" s="8">
        <f aca="true" t="shared" si="149" ref="AH81:AH86">(W81*12000)/(0.9*60000*0.95*Y81)</f>
        <v>1.403076923076923</v>
      </c>
      <c r="AI81" s="8">
        <f aca="true" t="shared" si="150" ref="AI81:AI86">(AH81*60000)/(0.85*4000*(MIN(AE81:AG81)))</f>
        <v>0.3301357466063349</v>
      </c>
      <c r="AJ81" s="8">
        <f aca="true" t="shared" si="151" ref="AJ81:AJ86">AI81/Y81</f>
        <v>0.020316045945005225</v>
      </c>
      <c r="AK81" s="8">
        <f aca="true" t="shared" si="152" ref="AK81:AK86">(W81*12000)/(0.9*60000*(Y81-(AI81/2)))</f>
        <v>1.34660188985504</v>
      </c>
      <c r="AL81" s="8">
        <f aca="true" t="shared" si="153" ref="AL81:AL86">(3*(4000^0.5)*AC81*Y81)/60000</f>
        <v>0.4161893123410938</v>
      </c>
      <c r="AM81" s="8">
        <f aca="true" t="shared" si="154" ref="AM81:AM86">(200*AC81*Y81)/60000</f>
        <v>0.438702054939027</v>
      </c>
      <c r="AN81" s="8">
        <f aca="true" t="shared" si="155" ref="AN81:AN86">ROUND(MAX(AK81:AM81),2)</f>
        <v>1.35</v>
      </c>
      <c r="AO81" s="8">
        <f t="shared" si="139"/>
        <v>1.875</v>
      </c>
      <c r="AP81" s="8">
        <f t="shared" si="140"/>
        <v>10.3125</v>
      </c>
      <c r="AQ81" s="8">
        <f aca="true" t="shared" si="156" ref="AQ81:AQ86">AN81*(B81*12)</f>
        <v>405</v>
      </c>
      <c r="AR81" s="8">
        <f aca="true" t="shared" si="157" ref="AR81:AR86">(X81-6)*AC81*(12*B81)</f>
        <v>30979.114341078985</v>
      </c>
    </row>
    <row r="82" spans="1:44" ht="12.75">
      <c r="A82" s="6" t="s">
        <v>95</v>
      </c>
      <c r="B82">
        <v>25</v>
      </c>
      <c r="C82">
        <v>2.88</v>
      </c>
      <c r="D82" s="1">
        <f t="shared" si="116"/>
        <v>316.8</v>
      </c>
      <c r="E82" s="1">
        <v>0</v>
      </c>
      <c r="F82" s="1">
        <f t="shared" si="117"/>
        <v>172.79999999999998</v>
      </c>
      <c r="G82" s="1">
        <v>0</v>
      </c>
      <c r="H82" s="1">
        <f t="shared" si="118"/>
        <v>656.64</v>
      </c>
      <c r="I82" s="1">
        <f t="shared" si="119"/>
        <v>65.664</v>
      </c>
      <c r="J82" s="1">
        <f t="shared" si="120"/>
        <v>131.328</v>
      </c>
      <c r="K82" s="1">
        <f t="shared" si="80"/>
        <v>24</v>
      </c>
      <c r="L82" s="1">
        <f t="shared" si="81"/>
        <v>30</v>
      </c>
      <c r="M82" s="1">
        <f t="shared" si="82"/>
        <v>12</v>
      </c>
      <c r="N82" s="1">
        <f t="shared" si="83"/>
        <v>15</v>
      </c>
      <c r="O82" s="8">
        <f t="shared" si="84"/>
        <v>300</v>
      </c>
      <c r="P82" s="8">
        <f t="shared" si="85"/>
        <v>468.75</v>
      </c>
      <c r="Q82">
        <v>300</v>
      </c>
      <c r="R82" s="8">
        <v>0</v>
      </c>
      <c r="S82" s="8">
        <f t="shared" si="121"/>
        <v>1016.64</v>
      </c>
      <c r="T82" s="8">
        <v>18.1</v>
      </c>
      <c r="U82" s="8">
        <v>40.29</v>
      </c>
      <c r="V82" s="8">
        <v>20.89</v>
      </c>
      <c r="W82" s="8">
        <v>32.47</v>
      </c>
      <c r="X82" s="8">
        <f t="shared" si="145"/>
        <v>18.75</v>
      </c>
      <c r="Y82" s="8">
        <f t="shared" si="123"/>
        <v>16.25</v>
      </c>
      <c r="Z82" s="8">
        <f t="shared" si="124"/>
        <v>0.15</v>
      </c>
      <c r="AA82" s="8">
        <f t="shared" si="125"/>
        <v>546.9</v>
      </c>
      <c r="AB82" s="8">
        <f t="shared" si="143"/>
        <v>712.4520021941854</v>
      </c>
      <c r="AC82" s="8">
        <f t="shared" si="144"/>
        <v>2.698043085232418</v>
      </c>
      <c r="AD82" s="8">
        <f t="shared" si="146"/>
        <v>20.796655850592977</v>
      </c>
      <c r="AE82" s="8">
        <f t="shared" si="147"/>
        <v>75</v>
      </c>
      <c r="AF82" s="8">
        <f t="shared" si="130"/>
        <v>98.69804308523241</v>
      </c>
      <c r="AG82" s="8">
        <f t="shared" si="148"/>
        <v>34.56</v>
      </c>
      <c r="AH82" s="8">
        <f t="shared" si="149"/>
        <v>0.46740440845704</v>
      </c>
      <c r="AI82" s="8">
        <f t="shared" si="150"/>
        <v>0.23866646673664216</v>
      </c>
      <c r="AJ82" s="8">
        <f t="shared" si="151"/>
        <v>0.014687167183793363</v>
      </c>
      <c r="AK82" s="8">
        <f t="shared" si="152"/>
        <v>0.4473191133352183</v>
      </c>
      <c r="AL82" s="8">
        <f t="shared" si="153"/>
        <v>0.1386443723372865</v>
      </c>
      <c r="AM82" s="8">
        <f t="shared" si="154"/>
        <v>0.14614400045008932</v>
      </c>
      <c r="AN82" s="8">
        <f t="shared" si="155"/>
        <v>0.45</v>
      </c>
      <c r="AO82" s="8">
        <f t="shared" si="139"/>
        <v>1.875</v>
      </c>
      <c r="AP82" s="8">
        <f t="shared" si="140"/>
        <v>10.3125</v>
      </c>
      <c r="AQ82" s="8">
        <f t="shared" si="156"/>
        <v>135</v>
      </c>
      <c r="AR82" s="8">
        <f t="shared" si="157"/>
        <v>10320.014801013998</v>
      </c>
    </row>
    <row r="83" spans="1:44" ht="12.75">
      <c r="A83">
        <v>64</v>
      </c>
      <c r="B83">
        <v>23.21</v>
      </c>
      <c r="C83">
        <v>9</v>
      </c>
      <c r="D83" s="1">
        <f t="shared" si="116"/>
        <v>990</v>
      </c>
      <c r="E83" s="1">
        <v>0</v>
      </c>
      <c r="F83" s="1">
        <f>C83*60</f>
        <v>540</v>
      </c>
      <c r="G83" s="1">
        <v>0</v>
      </c>
      <c r="H83" s="1">
        <f>(1.2*D83)+(1.6*F83)</f>
        <v>2052</v>
      </c>
      <c r="I83" s="1">
        <f>0.1*MAX(G83:H83)</f>
        <v>205.20000000000002</v>
      </c>
      <c r="J83" s="1">
        <f>0.2*MAX(G83:H83)</f>
        <v>410.40000000000003</v>
      </c>
      <c r="K83" s="1">
        <f>ROUND(((0.08*B83)*12),0)</f>
        <v>22</v>
      </c>
      <c r="L83" s="1">
        <f>ROUND(((0.1*B83)*12),0)</f>
        <v>28</v>
      </c>
      <c r="M83" s="1">
        <f aca="true" t="shared" si="158" ref="M83:N86">ROUND((0.5*K83),0)</f>
        <v>11</v>
      </c>
      <c r="N83" s="1">
        <f t="shared" si="158"/>
        <v>14</v>
      </c>
      <c r="O83" s="8">
        <f aca="true" t="shared" si="159" ref="O83:P86">(M83/12)*(K83/12)*150</f>
        <v>252.08333333333331</v>
      </c>
      <c r="P83" s="8">
        <f t="shared" si="159"/>
        <v>408.3333333333334</v>
      </c>
      <c r="Q83">
        <v>300</v>
      </c>
      <c r="R83" s="8">
        <v>0</v>
      </c>
      <c r="S83" s="8">
        <f>(1.2*Q83)+H83</f>
        <v>2412</v>
      </c>
      <c r="T83" s="8"/>
      <c r="U83" s="8"/>
      <c r="V83" s="8">
        <f>(S83*B83)/2000</f>
        <v>27.99126</v>
      </c>
      <c r="W83" s="8">
        <f>(0.5*B83)*V83*0.5</f>
        <v>162.41928615</v>
      </c>
      <c r="X83" s="8">
        <f t="shared" si="145"/>
        <v>17.4075</v>
      </c>
      <c r="Y83" s="8">
        <f t="shared" si="123"/>
        <v>14.907499999999999</v>
      </c>
      <c r="Z83" s="8">
        <f t="shared" si="124"/>
        <v>0.15</v>
      </c>
      <c r="AA83" s="8">
        <f t="shared" si="125"/>
        <v>546.9</v>
      </c>
      <c r="AB83" s="8">
        <f>(12000*W83)/AA83</f>
        <v>3563.7802775644545</v>
      </c>
      <c r="AC83" s="8">
        <f>AB83/(Y83^2)</f>
        <v>16.036193353065936</v>
      </c>
      <c r="AD83" s="8">
        <f t="shared" si="146"/>
        <v>113.39590230579316</v>
      </c>
      <c r="AE83" s="8">
        <f t="shared" si="147"/>
        <v>69.63</v>
      </c>
      <c r="AF83" s="8">
        <f t="shared" si="130"/>
        <v>112.03619335306594</v>
      </c>
      <c r="AG83" s="8">
        <f t="shared" si="148"/>
        <v>108</v>
      </c>
      <c r="AH83" s="8">
        <f t="shared" si="149"/>
        <v>2.548570549970432</v>
      </c>
      <c r="AI83" s="8">
        <f t="shared" si="150"/>
        <v>0.6459108776567991</v>
      </c>
      <c r="AJ83" s="8">
        <f t="shared" si="151"/>
        <v>0.043327913979996587</v>
      </c>
      <c r="AK83" s="8">
        <f t="shared" si="152"/>
        <v>2.4747550085376533</v>
      </c>
      <c r="AL83" s="8">
        <f t="shared" si="153"/>
        <v>0.7559726820386209</v>
      </c>
      <c r="AM83" s="8">
        <f t="shared" si="154"/>
        <v>0.7968651747027681</v>
      </c>
      <c r="AN83" s="8">
        <f t="shared" si="155"/>
        <v>2.47</v>
      </c>
      <c r="AO83" s="8">
        <f t="shared" si="139"/>
        <v>1.875</v>
      </c>
      <c r="AP83" s="8">
        <f t="shared" si="140"/>
        <v>10.3125</v>
      </c>
      <c r="AQ83" s="8">
        <f t="shared" si="156"/>
        <v>687.9444</v>
      </c>
      <c r="AR83" s="8">
        <f t="shared" si="157"/>
        <v>50950.464533028746</v>
      </c>
    </row>
    <row r="84" spans="1:44" ht="12.75">
      <c r="A84" s="6" t="s">
        <v>129</v>
      </c>
      <c r="B84">
        <v>23.21</v>
      </c>
      <c r="C84">
        <v>4.5</v>
      </c>
      <c r="D84" s="1">
        <f t="shared" si="116"/>
        <v>495</v>
      </c>
      <c r="E84" s="1">
        <v>0</v>
      </c>
      <c r="F84" s="1">
        <f>C84*60</f>
        <v>270</v>
      </c>
      <c r="G84" s="1">
        <v>0</v>
      </c>
      <c r="H84" s="1">
        <f>(1.2*D84)+(1.6*F84)</f>
        <v>1026</v>
      </c>
      <c r="I84" s="1">
        <f>0.1*MAX(G84:H84)</f>
        <v>102.60000000000001</v>
      </c>
      <c r="J84" s="1">
        <f>0.2*MAX(G84:H84)</f>
        <v>205.20000000000002</v>
      </c>
      <c r="K84" s="1">
        <f>ROUND(((0.08*B84)*12),0)</f>
        <v>22</v>
      </c>
      <c r="L84" s="1">
        <f>ROUND(((0.1*B84)*12),0)</f>
        <v>28</v>
      </c>
      <c r="M84" s="1">
        <f t="shared" si="158"/>
        <v>11</v>
      </c>
      <c r="N84" s="1">
        <f t="shared" si="158"/>
        <v>14</v>
      </c>
      <c r="O84" s="8">
        <f t="shared" si="159"/>
        <v>252.08333333333331</v>
      </c>
      <c r="P84" s="8">
        <f t="shared" si="159"/>
        <v>408.3333333333334</v>
      </c>
      <c r="Q84">
        <v>300</v>
      </c>
      <c r="R84" s="8">
        <v>0</v>
      </c>
      <c r="S84" s="8">
        <f>(1.2*(Q84+0.64))+H84</f>
        <v>1386.768</v>
      </c>
      <c r="T84" s="8">
        <v>28.93</v>
      </c>
      <c r="U84" s="8">
        <v>25.02</v>
      </c>
      <c r="V84" s="8">
        <f>MAX(T84:U84)</f>
        <v>28.93</v>
      </c>
      <c r="W84" s="8">
        <v>181.76</v>
      </c>
      <c r="X84" s="8">
        <f t="shared" si="145"/>
        <v>17.4075</v>
      </c>
      <c r="Y84" s="8">
        <f t="shared" si="123"/>
        <v>14.907499999999999</v>
      </c>
      <c r="Z84" s="8">
        <f t="shared" si="124"/>
        <v>0.15</v>
      </c>
      <c r="AA84" s="8">
        <f t="shared" si="125"/>
        <v>546.9</v>
      </c>
      <c r="AB84" s="8">
        <f>(12000*W84)/AA84</f>
        <v>3988.151398793198</v>
      </c>
      <c r="AC84" s="8">
        <f>AB84/(Y84^2)</f>
        <v>17.94576600442265</v>
      </c>
      <c r="AD84" s="8">
        <f t="shared" si="146"/>
        <v>126.8989643512293</v>
      </c>
      <c r="AE84" s="8">
        <f t="shared" si="147"/>
        <v>69.63</v>
      </c>
      <c r="AF84" s="8">
        <f t="shared" si="130"/>
        <v>113.94576600442265</v>
      </c>
      <c r="AG84" s="8">
        <f t="shared" si="148"/>
        <v>54</v>
      </c>
      <c r="AH84" s="8">
        <f t="shared" si="149"/>
        <v>2.852051589087875</v>
      </c>
      <c r="AI84" s="8">
        <f t="shared" si="150"/>
        <v>0.9320430029698937</v>
      </c>
      <c r="AJ84" s="8">
        <f t="shared" si="151"/>
        <v>0.06252175099580036</v>
      </c>
      <c r="AK84" s="8">
        <f t="shared" si="152"/>
        <v>2.7968819892827685</v>
      </c>
      <c r="AL84" s="8">
        <f t="shared" si="153"/>
        <v>0.845993095674862</v>
      </c>
      <c r="AM84" s="8">
        <f t="shared" si="154"/>
        <v>0.8917550223697689</v>
      </c>
      <c r="AN84" s="8">
        <f t="shared" si="155"/>
        <v>2.8</v>
      </c>
      <c r="AO84" s="8">
        <f t="shared" si="139"/>
        <v>1.875</v>
      </c>
      <c r="AP84" s="8">
        <f t="shared" si="140"/>
        <v>10.3125</v>
      </c>
      <c r="AQ84" s="8">
        <f t="shared" si="156"/>
        <v>779.8559999999999</v>
      </c>
      <c r="AR84" s="8">
        <f t="shared" si="157"/>
        <v>57017.59103269711</v>
      </c>
    </row>
    <row r="85" spans="1:44" ht="12.75">
      <c r="A85" s="6" t="s">
        <v>130</v>
      </c>
      <c r="B85">
        <v>23.21</v>
      </c>
      <c r="C85">
        <v>4.5</v>
      </c>
      <c r="D85" s="1">
        <f t="shared" si="116"/>
        <v>495</v>
      </c>
      <c r="E85" s="1">
        <v>0</v>
      </c>
      <c r="F85" s="1">
        <f>C85*60</f>
        <v>270</v>
      </c>
      <c r="G85" s="1">
        <v>0</v>
      </c>
      <c r="H85" s="1">
        <f>(1.2*D85)+(1.6*F85)</f>
        <v>1026</v>
      </c>
      <c r="I85" s="1">
        <f>0.1*MAX(G85:H85)</f>
        <v>102.60000000000001</v>
      </c>
      <c r="J85" s="1">
        <f>0.2*MAX(G85:H85)</f>
        <v>205.20000000000002</v>
      </c>
      <c r="K85" s="1">
        <f>ROUND(((0.08*B85)*12),0)</f>
        <v>22</v>
      </c>
      <c r="L85" s="1">
        <f>ROUND(((0.1*B85)*12),0)</f>
        <v>28</v>
      </c>
      <c r="M85" s="1">
        <f>ROUND((0.5*K85),0)</f>
        <v>11</v>
      </c>
      <c r="N85" s="1">
        <f>ROUND((0.5*L85),0)</f>
        <v>14</v>
      </c>
      <c r="O85" s="8">
        <f>(M85/12)*(K85/12)*150</f>
        <v>252.08333333333331</v>
      </c>
      <c r="P85" s="8">
        <f>(N85/12)*(L85/12)*150</f>
        <v>408.3333333333334</v>
      </c>
      <c r="Q85">
        <v>300</v>
      </c>
      <c r="R85" s="8">
        <v>0</v>
      </c>
      <c r="S85" s="8">
        <f>(1.2*(Q85+0.64))+H85</f>
        <v>1386.768</v>
      </c>
      <c r="T85" s="8">
        <v>28.93</v>
      </c>
      <c r="U85" s="8">
        <v>25.02</v>
      </c>
      <c r="V85" s="8">
        <f>MAX(T85:U85)</f>
        <v>28.93</v>
      </c>
      <c r="W85" s="8">
        <v>611</v>
      </c>
      <c r="X85" s="8">
        <f t="shared" si="145"/>
        <v>17.4075</v>
      </c>
      <c r="Y85" s="8">
        <f t="shared" si="123"/>
        <v>14.907499999999999</v>
      </c>
      <c r="Z85" s="8">
        <f t="shared" si="124"/>
        <v>0.15</v>
      </c>
      <c r="AA85" s="8">
        <f t="shared" si="125"/>
        <v>546.9</v>
      </c>
      <c r="AB85" s="8">
        <f>(12000*W85)/AA85</f>
        <v>13406.472846955568</v>
      </c>
      <c r="AC85" s="8">
        <f>AB85/(Y85^2)</f>
        <v>60.326050994180456</v>
      </c>
      <c r="AD85" s="8">
        <f t="shared" si="146"/>
        <v>426.5804754544514</v>
      </c>
      <c r="AE85" s="8">
        <f t="shared" si="147"/>
        <v>69.63</v>
      </c>
      <c r="AF85" s="8">
        <f>((8*6)*2)+AC85</f>
        <v>156.32605099418046</v>
      </c>
      <c r="AG85" s="8">
        <f t="shared" si="148"/>
        <v>54</v>
      </c>
      <c r="AH85" s="8">
        <f t="shared" si="149"/>
        <v>9.587387329075106</v>
      </c>
      <c r="AI85" s="8">
        <f t="shared" si="150"/>
        <v>3.1331331140768324</v>
      </c>
      <c r="AJ85" s="8">
        <f t="shared" si="151"/>
        <v>0.21017159913310968</v>
      </c>
      <c r="AK85" s="8">
        <f t="shared" si="152"/>
        <v>10.17753205638032</v>
      </c>
      <c r="AL85" s="8">
        <f t="shared" si="153"/>
        <v>2.8438698363630097</v>
      </c>
      <c r="AM85" s="8">
        <f t="shared" si="154"/>
        <v>2.9977020173191504</v>
      </c>
      <c r="AN85" s="8">
        <f t="shared" si="155"/>
        <v>10.18</v>
      </c>
      <c r="AO85" s="8">
        <f t="shared" si="139"/>
        <v>1.875</v>
      </c>
      <c r="AP85" s="8">
        <f t="shared" si="140"/>
        <v>10.3125</v>
      </c>
      <c r="AQ85" s="8">
        <f t="shared" si="156"/>
        <v>2835.3336</v>
      </c>
      <c r="AR85" s="8">
        <f t="shared" si="157"/>
        <v>191668.9487289719</v>
      </c>
    </row>
    <row r="86" spans="1:44" ht="12.75">
      <c r="A86">
        <v>66</v>
      </c>
      <c r="B86">
        <v>13</v>
      </c>
      <c r="C86">
        <v>2.61</v>
      </c>
      <c r="D86" s="1">
        <f t="shared" si="116"/>
        <v>287.09999999999997</v>
      </c>
      <c r="E86" s="1">
        <v>0</v>
      </c>
      <c r="F86" s="1">
        <f>C86*60</f>
        <v>156.6</v>
      </c>
      <c r="G86" s="1">
        <v>0</v>
      </c>
      <c r="H86" s="1">
        <f>(1.2*D86)+(1.6*F86)</f>
        <v>595.0799999999999</v>
      </c>
      <c r="I86" s="1">
        <f>0.1*MAX(G86:H86)</f>
        <v>59.507999999999996</v>
      </c>
      <c r="J86" s="1">
        <f>0.2*MAX(G86:H86)</f>
        <v>119.01599999999999</v>
      </c>
      <c r="K86" s="1">
        <f>ROUND(((0.08*B86)*12),0)</f>
        <v>12</v>
      </c>
      <c r="L86" s="1">
        <f>ROUND(((0.1*B86)*12),0)</f>
        <v>16</v>
      </c>
      <c r="M86" s="1">
        <f t="shared" si="158"/>
        <v>6</v>
      </c>
      <c r="N86" s="1">
        <f t="shared" si="158"/>
        <v>8</v>
      </c>
      <c r="O86" s="8">
        <f t="shared" si="159"/>
        <v>75</v>
      </c>
      <c r="P86" s="8">
        <f t="shared" si="159"/>
        <v>133.33333333333331</v>
      </c>
      <c r="Q86">
        <v>100</v>
      </c>
      <c r="R86" s="8">
        <v>0</v>
      </c>
      <c r="S86" s="8">
        <f>(1.2*(Q86+0.64))+H86</f>
        <v>715.848</v>
      </c>
      <c r="T86" s="8"/>
      <c r="U86" s="8"/>
      <c r="V86" s="8">
        <f>(S86*B86)/2000</f>
        <v>4.6530119999999995</v>
      </c>
      <c r="W86" s="8">
        <f>(0.5*B86)*V86*0.5</f>
        <v>15.122288999999999</v>
      </c>
      <c r="X86" s="8">
        <f t="shared" si="145"/>
        <v>9.75</v>
      </c>
      <c r="Y86" s="8">
        <f t="shared" si="123"/>
        <v>7.25</v>
      </c>
      <c r="Z86" s="8">
        <f t="shared" si="124"/>
        <v>0.15</v>
      </c>
      <c r="AA86" s="8">
        <f t="shared" si="125"/>
        <v>546.9</v>
      </c>
      <c r="AB86" s="8">
        <f>(12000*W86)/AA86</f>
        <v>331.8110586944597</v>
      </c>
      <c r="AC86" s="8">
        <f>AB86/(Y86^2)</f>
        <v>6.312695528075333</v>
      </c>
      <c r="AD86" s="8">
        <f t="shared" si="146"/>
        <v>21.709214447716732</v>
      </c>
      <c r="AE86" s="8">
        <f t="shared" si="147"/>
        <v>39</v>
      </c>
      <c r="AF86" s="8">
        <f>((8*6)*2)+AC86</f>
        <v>102.31269552807534</v>
      </c>
      <c r="AG86" s="8">
        <f t="shared" si="148"/>
        <v>31.32</v>
      </c>
      <c r="AH86" s="8">
        <f t="shared" si="149"/>
        <v>0.48791414398064126</v>
      </c>
      <c r="AI86" s="8">
        <f t="shared" si="150"/>
        <v>0.27491218389713845</v>
      </c>
      <c r="AJ86" s="8">
        <f t="shared" si="151"/>
        <v>0.03791892191684668</v>
      </c>
      <c r="AK86" s="8">
        <f t="shared" si="152"/>
        <v>0.4724763333780697</v>
      </c>
      <c r="AL86" s="8">
        <f t="shared" si="153"/>
        <v>0.14472809631811157</v>
      </c>
      <c r="AM86" s="8">
        <f t="shared" si="154"/>
        <v>0.15255680859515391</v>
      </c>
      <c r="AN86" s="8">
        <f t="shared" si="155"/>
        <v>0.47</v>
      </c>
      <c r="AO86" s="8">
        <f t="shared" si="139"/>
        <v>1.875</v>
      </c>
      <c r="AP86" s="8">
        <f t="shared" si="140"/>
        <v>10.3125</v>
      </c>
      <c r="AQ86" s="8">
        <f t="shared" si="156"/>
        <v>73.32</v>
      </c>
      <c r="AR86" s="8">
        <f t="shared" si="157"/>
        <v>3692.92688392407</v>
      </c>
    </row>
    <row r="87" spans="1:44" ht="12.75">
      <c r="A87">
        <v>67</v>
      </c>
      <c r="B87">
        <v>13</v>
      </c>
      <c r="C87">
        <v>5.22</v>
      </c>
      <c r="D87" s="1">
        <f t="shared" si="116"/>
        <v>574.1999999999999</v>
      </c>
      <c r="E87" s="1">
        <v>0</v>
      </c>
      <c r="F87" s="1">
        <f t="shared" si="117"/>
        <v>313.2</v>
      </c>
      <c r="G87" s="1">
        <v>0</v>
      </c>
      <c r="H87" s="1">
        <f t="shared" si="118"/>
        <v>1190.1599999999999</v>
      </c>
      <c r="I87" s="1">
        <f t="shared" si="119"/>
        <v>119.01599999999999</v>
      </c>
      <c r="J87" s="1">
        <f t="shared" si="120"/>
        <v>238.03199999999998</v>
      </c>
      <c r="K87" s="1">
        <f t="shared" si="80"/>
        <v>12</v>
      </c>
      <c r="L87" s="1">
        <f t="shared" si="81"/>
        <v>16</v>
      </c>
      <c r="M87" s="1">
        <f t="shared" si="82"/>
        <v>6</v>
      </c>
      <c r="N87" s="1">
        <f t="shared" si="83"/>
        <v>8</v>
      </c>
      <c r="O87" s="8">
        <f t="shared" si="84"/>
        <v>75</v>
      </c>
      <c r="P87" s="8">
        <f t="shared" si="85"/>
        <v>133.33333333333331</v>
      </c>
      <c r="Q87">
        <v>100</v>
      </c>
      <c r="R87" s="8">
        <v>0</v>
      </c>
      <c r="S87" s="8">
        <f t="shared" si="121"/>
        <v>1310.1599999999999</v>
      </c>
      <c r="T87" s="8"/>
      <c r="U87" s="8"/>
      <c r="V87" s="8">
        <f t="shared" si="78"/>
        <v>8.516039999999998</v>
      </c>
      <c r="W87" s="8">
        <f t="shared" si="79"/>
        <v>27.677129999999995</v>
      </c>
      <c r="X87" s="8">
        <f t="shared" si="122"/>
        <v>9.75</v>
      </c>
      <c r="Y87" s="8">
        <f t="shared" si="123"/>
        <v>7.25</v>
      </c>
      <c r="Z87" s="8">
        <f t="shared" si="124"/>
        <v>0.15</v>
      </c>
      <c r="AA87" s="8">
        <f t="shared" si="125"/>
        <v>546.9</v>
      </c>
      <c r="AB87" s="8">
        <f t="shared" si="143"/>
        <v>607.2875479978057</v>
      </c>
      <c r="AC87" s="8">
        <f t="shared" si="144"/>
        <v>11.55362754811521</v>
      </c>
      <c r="AD87" s="8">
        <f t="shared" si="128"/>
        <v>39.73265888962538</v>
      </c>
      <c r="AE87" s="8">
        <f t="shared" si="129"/>
        <v>39</v>
      </c>
      <c r="AF87" s="8">
        <f t="shared" si="130"/>
        <v>107.55362754811522</v>
      </c>
      <c r="AG87" s="8">
        <f t="shared" si="131"/>
        <v>62.64</v>
      </c>
      <c r="AH87" s="8">
        <f t="shared" si="132"/>
        <v>0.8929906836055654</v>
      </c>
      <c r="AI87" s="8">
        <f t="shared" si="133"/>
        <v>0.4040681826269527</v>
      </c>
      <c r="AJ87" s="8">
        <f t="shared" si="134"/>
        <v>0.05573354243130382</v>
      </c>
      <c r="AK87" s="8">
        <f t="shared" si="135"/>
        <v>0.8726593478201925</v>
      </c>
      <c r="AL87" s="8">
        <f t="shared" si="136"/>
        <v>0.26488439259750257</v>
      </c>
      <c r="AM87" s="8">
        <f t="shared" si="137"/>
        <v>0.2792126657461176</v>
      </c>
      <c r="AN87" s="8">
        <f t="shared" si="138"/>
        <v>0.87</v>
      </c>
      <c r="AO87" s="8">
        <f t="shared" si="139"/>
        <v>1.875</v>
      </c>
      <c r="AP87" s="8">
        <f t="shared" si="140"/>
        <v>10.3125</v>
      </c>
      <c r="AQ87" s="8">
        <f>AN87*B87</f>
        <v>11.31</v>
      </c>
      <c r="AR87" s="8">
        <f t="shared" si="142"/>
        <v>6758.8721156473985</v>
      </c>
    </row>
    <row r="88" spans="1:44" ht="12.75">
      <c r="A88">
        <v>68</v>
      </c>
      <c r="B88">
        <v>13</v>
      </c>
      <c r="C88">
        <v>5.22</v>
      </c>
      <c r="D88" s="1">
        <f t="shared" si="116"/>
        <v>574.1999999999999</v>
      </c>
      <c r="E88" s="1">
        <v>0</v>
      </c>
      <c r="F88" s="1">
        <f t="shared" si="117"/>
        <v>313.2</v>
      </c>
      <c r="G88" s="1">
        <v>0</v>
      </c>
      <c r="H88" s="1">
        <f t="shared" si="118"/>
        <v>1190.1599999999999</v>
      </c>
      <c r="I88" s="1">
        <f t="shared" si="119"/>
        <v>119.01599999999999</v>
      </c>
      <c r="J88" s="1">
        <f t="shared" si="120"/>
        <v>238.03199999999998</v>
      </c>
      <c r="K88" s="1">
        <f t="shared" si="80"/>
        <v>12</v>
      </c>
      <c r="L88" s="1">
        <f t="shared" si="81"/>
        <v>16</v>
      </c>
      <c r="M88" s="1">
        <f t="shared" si="82"/>
        <v>6</v>
      </c>
      <c r="N88" s="1">
        <f t="shared" si="83"/>
        <v>8</v>
      </c>
      <c r="O88" s="8">
        <f t="shared" si="84"/>
        <v>75</v>
      </c>
      <c r="P88" s="8">
        <f t="shared" si="85"/>
        <v>133.33333333333331</v>
      </c>
      <c r="Q88">
        <v>100</v>
      </c>
      <c r="R88" s="8">
        <v>0</v>
      </c>
      <c r="S88" s="8">
        <f t="shared" si="121"/>
        <v>1310.1599999999999</v>
      </c>
      <c r="T88" s="8"/>
      <c r="U88" s="8"/>
      <c r="V88" s="8">
        <f t="shared" si="78"/>
        <v>8.516039999999998</v>
      </c>
      <c r="W88" s="8">
        <f t="shared" si="79"/>
        <v>27.677129999999995</v>
      </c>
      <c r="X88" s="8">
        <f t="shared" si="122"/>
        <v>9.75</v>
      </c>
      <c r="Y88" s="8">
        <f t="shared" si="123"/>
        <v>7.25</v>
      </c>
      <c r="Z88" s="8">
        <f t="shared" si="124"/>
        <v>0.15</v>
      </c>
      <c r="AA88" s="8">
        <f t="shared" si="125"/>
        <v>546.9</v>
      </c>
      <c r="AB88" s="8">
        <f t="shared" si="143"/>
        <v>607.2875479978057</v>
      </c>
      <c r="AC88" s="8">
        <f t="shared" si="144"/>
        <v>11.55362754811521</v>
      </c>
      <c r="AD88" s="8">
        <f t="shared" si="128"/>
        <v>39.73265888962538</v>
      </c>
      <c r="AE88" s="8">
        <f t="shared" si="129"/>
        <v>39</v>
      </c>
      <c r="AF88" s="8">
        <f t="shared" si="130"/>
        <v>107.55362754811522</v>
      </c>
      <c r="AG88" s="8">
        <f t="shared" si="131"/>
        <v>62.64</v>
      </c>
      <c r="AH88" s="8">
        <f t="shared" si="132"/>
        <v>0.8929906836055654</v>
      </c>
      <c r="AI88" s="8">
        <f t="shared" si="133"/>
        <v>0.4040681826269527</v>
      </c>
      <c r="AJ88" s="8">
        <f t="shared" si="134"/>
        <v>0.05573354243130382</v>
      </c>
      <c r="AK88" s="8">
        <f t="shared" si="135"/>
        <v>0.8726593478201925</v>
      </c>
      <c r="AL88" s="8">
        <f t="shared" si="136"/>
        <v>0.26488439259750257</v>
      </c>
      <c r="AM88" s="8">
        <f t="shared" si="137"/>
        <v>0.2792126657461176</v>
      </c>
      <c r="AN88" s="8">
        <f t="shared" si="138"/>
        <v>0.87</v>
      </c>
      <c r="AO88" s="8">
        <f t="shared" si="139"/>
        <v>1.875</v>
      </c>
      <c r="AP88" s="8">
        <f t="shared" si="140"/>
        <v>10.3125</v>
      </c>
      <c r="AQ88" s="8">
        <f>AN88*B88</f>
        <v>11.31</v>
      </c>
      <c r="AR88" s="8">
        <f t="shared" si="142"/>
        <v>6758.8721156473985</v>
      </c>
    </row>
    <row r="89" spans="4:10" ht="12.75">
      <c r="D89" s="1"/>
      <c r="E89" s="1"/>
      <c r="F89" s="1"/>
      <c r="G89" s="1"/>
      <c r="H89" s="1"/>
      <c r="I89" s="1"/>
      <c r="J89" s="1"/>
    </row>
    <row r="90" spans="4:10" ht="12.75">
      <c r="D90" s="1"/>
      <c r="E90" s="1"/>
      <c r="F90" s="1"/>
      <c r="G90" s="1"/>
      <c r="H90" s="1"/>
      <c r="I90" s="1"/>
      <c r="J90" s="1"/>
    </row>
  </sheetData>
  <sheetProtection/>
  <dataValidations count="1">
    <dataValidation allowBlank="1" showInputMessage="1" showErrorMessage="1" sqref="D23:H30 R16:U16 K23:P30 R23:R88 S23:S44 I23:J90 R2:S15 T2:U13 D2:P22 T19:U44 R17:S22"/>
  </dataValidation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92"/>
  <sheetViews>
    <sheetView zoomScalePageLayoutView="0" workbookViewId="0" topLeftCell="M1">
      <selection activeCell="R2" sqref="R2:AQ90"/>
    </sheetView>
  </sheetViews>
  <sheetFormatPr defaultColWidth="11.00390625" defaultRowHeight="12.75"/>
  <cols>
    <col min="1" max="3" width="11.00390625" style="0" customWidth="1"/>
    <col min="4" max="4" width="5.00390625" style="0" customWidth="1"/>
    <col min="5" max="6" width="6.00390625" style="0" customWidth="1"/>
    <col min="7" max="7" width="7.75390625" style="0" customWidth="1"/>
    <col min="8" max="9" width="9.00390625" style="0" customWidth="1"/>
    <col min="10" max="10" width="5.125" style="0" customWidth="1"/>
    <col min="11" max="12" width="6.125" style="0" customWidth="1"/>
    <col min="13" max="13" width="7.125" style="0" customWidth="1"/>
    <col min="14" max="21" width="11.00390625" style="0" customWidth="1"/>
    <col min="22" max="22" width="12.375" style="0" customWidth="1"/>
    <col min="23" max="28" width="11.00390625" style="0" customWidth="1"/>
    <col min="29" max="29" width="12.00390625" style="0" customWidth="1"/>
    <col min="30" max="41" width="11.00390625" style="0" customWidth="1"/>
    <col min="42" max="42" width="13.75390625" style="0" customWidth="1"/>
    <col min="43" max="43" width="16.75390625" style="0" customWidth="1"/>
  </cols>
  <sheetData>
    <row r="1" spans="1:43" s="2" customFormat="1" ht="12.75">
      <c r="A1" s="2" t="s">
        <v>1</v>
      </c>
      <c r="B1" s="2" t="s">
        <v>4</v>
      </c>
      <c r="C1" s="2" t="s">
        <v>0</v>
      </c>
      <c r="D1" s="2" t="s">
        <v>3</v>
      </c>
      <c r="E1" s="2" t="s">
        <v>2</v>
      </c>
      <c r="F1" s="2" t="s">
        <v>101</v>
      </c>
      <c r="G1" s="2" t="s">
        <v>45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1" t="s">
        <v>21</v>
      </c>
      <c r="R1" s="11" t="s">
        <v>17</v>
      </c>
      <c r="S1" s="11" t="s">
        <v>19</v>
      </c>
      <c r="T1" s="11" t="s">
        <v>20</v>
      </c>
      <c r="U1" s="11" t="s">
        <v>18</v>
      </c>
      <c r="V1" s="11" t="s">
        <v>22</v>
      </c>
      <c r="W1" s="11" t="s">
        <v>23</v>
      </c>
      <c r="X1" s="11" t="s">
        <v>24</v>
      </c>
      <c r="Y1" s="11" t="s">
        <v>28</v>
      </c>
      <c r="Z1" s="11" t="s">
        <v>26</v>
      </c>
      <c r="AA1" s="11" t="s">
        <v>25</v>
      </c>
      <c r="AB1" s="11" t="s">
        <v>27</v>
      </c>
      <c r="AC1" s="11" t="s">
        <v>29</v>
      </c>
      <c r="AD1" s="11" t="s">
        <v>30</v>
      </c>
      <c r="AE1" s="11" t="s">
        <v>31</v>
      </c>
      <c r="AF1" s="11" t="s">
        <v>32</v>
      </c>
      <c r="AG1" s="11" t="s">
        <v>33</v>
      </c>
      <c r="AH1" s="11" t="s">
        <v>35</v>
      </c>
      <c r="AI1" s="11" t="s">
        <v>36</v>
      </c>
      <c r="AJ1" s="11" t="s">
        <v>37</v>
      </c>
      <c r="AK1" s="11" t="s">
        <v>34</v>
      </c>
      <c r="AL1" s="11" t="s">
        <v>38</v>
      </c>
      <c r="AM1" s="11" t="s">
        <v>39</v>
      </c>
      <c r="AN1" s="11" t="s">
        <v>41</v>
      </c>
      <c r="AO1" s="11" t="s">
        <v>40</v>
      </c>
      <c r="AP1" s="11" t="s">
        <v>42</v>
      </c>
      <c r="AQ1" s="11" t="s">
        <v>43</v>
      </c>
    </row>
    <row r="2" spans="1:43" ht="12.75">
      <c r="A2">
        <v>35</v>
      </c>
      <c r="B2">
        <v>21.63</v>
      </c>
      <c r="C2">
        <v>6.5</v>
      </c>
      <c r="D2" s="1">
        <f aca="true" t="shared" si="0" ref="D2:D24">C2*((0.5*150)+5+10+20+40)</f>
        <v>975</v>
      </c>
      <c r="E2" s="1">
        <f>C2*100</f>
        <v>650</v>
      </c>
      <c r="F2" s="1">
        <f aca="true" t="shared" si="1" ref="F2:F36">C2*35</f>
        <v>227.5</v>
      </c>
      <c r="G2" s="1">
        <f aca="true" t="shared" si="2" ref="G2:G36">(1.2*D2)+(1.6*E2)+(0.5*F2)</f>
        <v>2323.75</v>
      </c>
      <c r="H2" s="1">
        <f aca="true" t="shared" si="3" ref="H2:H22">0.1*MAX(G2:G2)</f>
        <v>232.375</v>
      </c>
      <c r="I2" s="1">
        <f aca="true" t="shared" si="4" ref="I2:I22">0.2*MAX(G2:G2)</f>
        <v>464.75</v>
      </c>
      <c r="J2" s="1">
        <f aca="true" t="shared" si="5" ref="J2:J22">ROUND(((0.08*B2)*12),0)</f>
        <v>21</v>
      </c>
      <c r="K2" s="1">
        <f aca="true" t="shared" si="6" ref="K2:K22">ROUND(((0.1*B2)*12),0)</f>
        <v>26</v>
      </c>
      <c r="L2" s="1">
        <f aca="true" t="shared" si="7" ref="L2:L22">ROUND((0.5*J2),0)</f>
        <v>11</v>
      </c>
      <c r="M2" s="1">
        <f aca="true" t="shared" si="8" ref="M2:M22">ROUND((0.5*K2),0)</f>
        <v>13</v>
      </c>
      <c r="N2" s="8">
        <f aca="true" t="shared" si="9" ref="N2:N22">(L2/12)*(J2/12)*150</f>
        <v>240.62499999999997</v>
      </c>
      <c r="O2" s="8">
        <f aca="true" t="shared" si="10" ref="O2:O22">(M2/12)*(K2/12)*150</f>
        <v>352.08333333333326</v>
      </c>
      <c r="P2" s="2">
        <v>300</v>
      </c>
      <c r="Q2" s="1">
        <v>0</v>
      </c>
      <c r="R2" s="8">
        <f aca="true" t="shared" si="11" ref="R2:R36">(1.2*P2)+G2</f>
        <v>2683.75</v>
      </c>
      <c r="S2" s="8"/>
      <c r="T2" s="8"/>
      <c r="U2" s="8">
        <f>(R2*B2)/2000</f>
        <v>29.02475625</v>
      </c>
      <c r="V2" s="8">
        <f>(0.5*B2)*U2*0.5</f>
        <v>156.951369421875</v>
      </c>
      <c r="W2" s="8">
        <f aca="true" t="shared" si="12" ref="W2:W36">(B2/16)*12</f>
        <v>16.2225</v>
      </c>
      <c r="X2" s="8">
        <f aca="true" t="shared" si="13" ref="X2:X36">W2-2.5</f>
        <v>13.7225</v>
      </c>
      <c r="Y2" s="8">
        <f aca="true" t="shared" si="14" ref="Y2:Y36">(60000/4000)*0.01</f>
        <v>0.15</v>
      </c>
      <c r="Z2" s="8">
        <f aca="true" t="shared" si="15" ref="Z2:Z36">4000*Y2*(1-(0.59*Y2))</f>
        <v>546.9</v>
      </c>
      <c r="AA2" s="8">
        <f aca="true" t="shared" si="16" ref="AA2:AA36">(12000*V2)/Z2</f>
        <v>3443.804046557872</v>
      </c>
      <c r="AB2" s="8">
        <f aca="true" t="shared" si="17" ref="AB2:AB36">AA2/(X2^2)</f>
        <v>18.28824171303436</v>
      </c>
      <c r="AC2" s="8">
        <f aca="true" t="shared" si="18" ref="AC2:AC36">0.75*((((2*(4000^0.5)*AB2*X2)+(8*(4000^0.5)*AB2*X2)))/1000)</f>
        <v>119.04096850895344</v>
      </c>
      <c r="AD2" s="8">
        <f aca="true" t="shared" si="19" ref="AD2:AD36">(B2/4)*12</f>
        <v>64.89</v>
      </c>
      <c r="AE2" s="8">
        <f>((8*6)*2)+AB2</f>
        <v>114.28824171303435</v>
      </c>
      <c r="AF2" s="8">
        <f aca="true" t="shared" si="20" ref="AF2:AF36">C2*12</f>
        <v>78</v>
      </c>
      <c r="AG2" s="8">
        <f aca="true" t="shared" si="21" ref="AG2:AG36">(V2*12000)/(0.9*60000*0.95*X2)</f>
        <v>2.675443295682274</v>
      </c>
      <c r="AH2" s="8">
        <f aca="true" t="shared" si="22" ref="AH2:AH36">(AG2*60000)/(0.85*4000*(MIN(AD2:AF2)))</f>
        <v>0.727596011988326</v>
      </c>
      <c r="AI2" s="8">
        <f aca="true" t="shared" si="23" ref="AI2:AI36">AH2/X2</f>
        <v>0.05302211783482062</v>
      </c>
      <c r="AJ2" s="8">
        <f aca="true" t="shared" si="24" ref="AJ2:AJ36">(V2*12000)/(0.9*60000*(X2-(AH2/2)))</f>
        <v>2.6108885511032502</v>
      </c>
      <c r="AK2" s="8">
        <f aca="true" t="shared" si="25" ref="AK2:AK36">(3*(4000^0.5)*AB2*X2)/60000</f>
        <v>0.7936064567263562</v>
      </c>
      <c r="AL2" s="8">
        <f aca="true" t="shared" si="26" ref="AL2:AL36">(200*AB2*X2)/60000</f>
        <v>0.8365346563570467</v>
      </c>
      <c r="AM2" s="8">
        <f aca="true" t="shared" si="27" ref="AM2:AM36">ROUND(MAX(AJ2:AL2),2)</f>
        <v>2.61</v>
      </c>
      <c r="AN2" s="8">
        <f aca="true" t="shared" si="28" ref="AN2:AN36">1.875</f>
        <v>1.875</v>
      </c>
      <c r="AO2" s="8">
        <f aca="true" t="shared" si="29" ref="AO2:AO36">(540/(0.6*60))-(2.5*AN2)</f>
        <v>10.3125</v>
      </c>
      <c r="AP2" s="8">
        <f aca="true" t="shared" si="30" ref="AP2:AP36">AM2*(B2*12)</f>
        <v>677.4516</v>
      </c>
      <c r="AQ2" s="8">
        <f aca="true" t="shared" si="31" ref="AQ2:AQ36">(W2-6)*AB2*(12*B2)</f>
        <v>48525.144554587314</v>
      </c>
    </row>
    <row r="3" spans="1:43" ht="12.75">
      <c r="A3" s="6" t="s">
        <v>133</v>
      </c>
      <c r="B3">
        <v>29.17</v>
      </c>
      <c r="C3">
        <v>4.5</v>
      </c>
      <c r="D3" s="1">
        <f t="shared" si="0"/>
        <v>675</v>
      </c>
      <c r="E3" s="1">
        <f aca="true" t="shared" si="32" ref="E3:E22">C3*60</f>
        <v>270</v>
      </c>
      <c r="F3" s="1">
        <f t="shared" si="1"/>
        <v>157.5</v>
      </c>
      <c r="G3" s="1">
        <f t="shared" si="2"/>
        <v>1320.75</v>
      </c>
      <c r="H3" s="1">
        <f t="shared" si="3"/>
        <v>132.07500000000002</v>
      </c>
      <c r="I3" s="1">
        <f t="shared" si="4"/>
        <v>264.15000000000003</v>
      </c>
      <c r="J3" s="1">
        <f t="shared" si="5"/>
        <v>28</v>
      </c>
      <c r="K3" s="1">
        <f t="shared" si="6"/>
        <v>35</v>
      </c>
      <c r="L3" s="1">
        <f t="shared" si="7"/>
        <v>14</v>
      </c>
      <c r="M3" s="1">
        <f t="shared" si="8"/>
        <v>18</v>
      </c>
      <c r="N3" s="8">
        <f t="shared" si="9"/>
        <v>408.3333333333334</v>
      </c>
      <c r="O3" s="8">
        <f t="shared" si="10"/>
        <v>656.25</v>
      </c>
      <c r="P3" s="2">
        <v>300</v>
      </c>
      <c r="Q3" s="1">
        <v>0</v>
      </c>
      <c r="R3" s="8">
        <f t="shared" si="11"/>
        <v>1680.75</v>
      </c>
      <c r="S3" s="8"/>
      <c r="T3" s="8"/>
      <c r="U3" s="8">
        <f>(R3*B3)/2000</f>
        <v>24.51373875</v>
      </c>
      <c r="V3" s="8">
        <f>(0.5*B3)*U3*0.5</f>
        <v>178.76643983437503</v>
      </c>
      <c r="W3" s="8">
        <f t="shared" si="12"/>
        <v>21.8775</v>
      </c>
      <c r="X3" s="8">
        <f t="shared" si="13"/>
        <v>19.3775</v>
      </c>
      <c r="Y3" s="8">
        <f t="shared" si="14"/>
        <v>0.15</v>
      </c>
      <c r="Z3" s="8">
        <f t="shared" si="15"/>
        <v>546.9</v>
      </c>
      <c r="AA3" s="8">
        <f t="shared" si="16"/>
        <v>3922.467138439387</v>
      </c>
      <c r="AB3" s="8">
        <f t="shared" si="17"/>
        <v>10.446331963513597</v>
      </c>
      <c r="AC3" s="8">
        <f t="shared" si="18"/>
        <v>96.01803796644145</v>
      </c>
      <c r="AD3" s="8">
        <f t="shared" si="19"/>
        <v>87.51</v>
      </c>
      <c r="AE3" s="8">
        <f>((8*6))+AB3</f>
        <v>58.4463319635136</v>
      </c>
      <c r="AF3" s="8">
        <f t="shared" si="20"/>
        <v>54</v>
      </c>
      <c r="AG3" s="8">
        <f t="shared" si="21"/>
        <v>2.15800340974679</v>
      </c>
      <c r="AH3" s="8">
        <f t="shared" si="22"/>
        <v>0.7052298724662712</v>
      </c>
      <c r="AI3" s="8">
        <f t="shared" si="23"/>
        <v>0.03639426512533976</v>
      </c>
      <c r="AJ3" s="8">
        <f t="shared" si="24"/>
        <v>2.0881006842143</v>
      </c>
      <c r="AK3" s="8">
        <f t="shared" si="25"/>
        <v>0.6401202531096097</v>
      </c>
      <c r="AL3" s="8">
        <f t="shared" si="26"/>
        <v>0.6747459920766157</v>
      </c>
      <c r="AM3" s="8">
        <f t="shared" si="27"/>
        <v>2.09</v>
      </c>
      <c r="AN3" s="8">
        <f t="shared" si="28"/>
        <v>1.875</v>
      </c>
      <c r="AO3" s="8">
        <f t="shared" si="29"/>
        <v>10.3125</v>
      </c>
      <c r="AP3" s="8">
        <f t="shared" si="30"/>
        <v>731.5836</v>
      </c>
      <c r="AQ3" s="8">
        <f t="shared" si="31"/>
        <v>58058.206978170536</v>
      </c>
    </row>
    <row r="4" spans="1:43" ht="12.75">
      <c r="A4" s="6" t="s">
        <v>134</v>
      </c>
      <c r="B4">
        <v>29.17</v>
      </c>
      <c r="C4">
        <v>4.5</v>
      </c>
      <c r="D4" s="1">
        <f t="shared" si="0"/>
        <v>675</v>
      </c>
      <c r="E4" s="1">
        <f>C4*60</f>
        <v>270</v>
      </c>
      <c r="F4" s="1">
        <f>C4*35</f>
        <v>157.5</v>
      </c>
      <c r="G4" s="1">
        <f>(1.2*D4)+(1.6*E4)+(0.5*F4)</f>
        <v>1320.75</v>
      </c>
      <c r="H4" s="1">
        <f t="shared" si="3"/>
        <v>132.07500000000002</v>
      </c>
      <c r="I4" s="1">
        <f>0.2*MAX(G4:G4)</f>
        <v>264.15000000000003</v>
      </c>
      <c r="J4" s="1">
        <f>ROUND(((0.08*B4)*12),0)</f>
        <v>28</v>
      </c>
      <c r="K4" s="1">
        <f>ROUND(((0.1*B4)*12),0)</f>
        <v>35</v>
      </c>
      <c r="L4" s="1">
        <f>ROUND((0.5*J4),0)</f>
        <v>14</v>
      </c>
      <c r="M4" s="1">
        <f>ROUND((0.5*K4),0)</f>
        <v>18</v>
      </c>
      <c r="N4" s="8">
        <f>(L4/12)*(J4/12)*150</f>
        <v>408.3333333333334</v>
      </c>
      <c r="O4" s="8">
        <f>(M4/12)*(K4/12)*150</f>
        <v>656.25</v>
      </c>
      <c r="P4" s="2">
        <v>300</v>
      </c>
      <c r="Q4" s="1">
        <v>0</v>
      </c>
      <c r="R4" s="8">
        <f>(1.2*P4)+G4</f>
        <v>1680.75</v>
      </c>
      <c r="S4" s="8"/>
      <c r="T4" s="8"/>
      <c r="U4" s="8">
        <f>(R4*B4)/2000</f>
        <v>24.51373875</v>
      </c>
      <c r="V4" s="8">
        <v>611</v>
      </c>
      <c r="W4" s="8">
        <f>(B4/16)*12</f>
        <v>21.8775</v>
      </c>
      <c r="X4" s="8">
        <f t="shared" si="13"/>
        <v>19.3775</v>
      </c>
      <c r="Y4" s="8">
        <f t="shared" si="14"/>
        <v>0.15</v>
      </c>
      <c r="Z4" s="8">
        <f t="shared" si="15"/>
        <v>546.9</v>
      </c>
      <c r="AA4" s="8">
        <f>(12000*V4)/Z4</f>
        <v>13406.472846955568</v>
      </c>
      <c r="AB4" s="8">
        <f>AA4/(X4^2)</f>
        <v>35.704178231777234</v>
      </c>
      <c r="AC4" s="8">
        <f>0.75*((((2*(4000^0.5)*AB4*X4)+(8*(4000^0.5)*AB4*X4)))/1000)</f>
        <v>328.17692880078624</v>
      </c>
      <c r="AD4" s="8">
        <f>(B4/4)*12</f>
        <v>87.51</v>
      </c>
      <c r="AE4" s="8">
        <f>((8*6))+AB4</f>
        <v>83.70417823177723</v>
      </c>
      <c r="AF4" s="8">
        <f>C4*12</f>
        <v>54</v>
      </c>
      <c r="AG4" s="8">
        <f>(V4*12000)/(0.9*60000*0.95*X4)</f>
        <v>7.37576966111145</v>
      </c>
      <c r="AH4" s="8">
        <f>(AG4*60000)/(0.85*4000*(MIN(AD4:AF4)))</f>
        <v>2.4103822421932843</v>
      </c>
      <c r="AI4" s="8">
        <f>AH4/X4</f>
        <v>0.12439077498094615</v>
      </c>
      <c r="AJ4" s="8">
        <f>(V4*12000)/(0.9*60000*(X4-(AH4/2)))</f>
        <v>7.471685556446008</v>
      </c>
      <c r="AK4" s="8">
        <f>(3*(4000^0.5)*AB4*X4)/60000</f>
        <v>2.1878461920052414</v>
      </c>
      <c r="AL4" s="8">
        <f>(200*AB4*X4)/60000</f>
        <v>2.306192378954211</v>
      </c>
      <c r="AM4" s="8">
        <f>ROUND(MAX(AJ4:AL4),2)</f>
        <v>7.47</v>
      </c>
      <c r="AN4" s="8">
        <f t="shared" si="28"/>
        <v>1.875</v>
      </c>
      <c r="AO4" s="8">
        <f t="shared" si="29"/>
        <v>10.3125</v>
      </c>
      <c r="AP4" s="8">
        <f>AM4*(B4*12)</f>
        <v>2614.7988</v>
      </c>
      <c r="AQ4" s="8">
        <f>(W4-6)*AB4*(12*B4)</f>
        <v>198435.25717986008</v>
      </c>
    </row>
    <row r="5" spans="1:43" ht="12.75">
      <c r="A5">
        <v>37</v>
      </c>
      <c r="B5">
        <v>29.17</v>
      </c>
      <c r="C5">
        <v>9</v>
      </c>
      <c r="D5" s="1">
        <f t="shared" si="0"/>
        <v>1350</v>
      </c>
      <c r="E5" s="1">
        <f t="shared" si="32"/>
        <v>540</v>
      </c>
      <c r="F5" s="1">
        <f t="shared" si="1"/>
        <v>315</v>
      </c>
      <c r="G5" s="1">
        <f t="shared" si="2"/>
        <v>2641.5</v>
      </c>
      <c r="H5" s="1">
        <f t="shared" si="3"/>
        <v>264.15000000000003</v>
      </c>
      <c r="I5" s="1">
        <f t="shared" si="4"/>
        <v>528.3000000000001</v>
      </c>
      <c r="J5" s="1">
        <f t="shared" si="5"/>
        <v>28</v>
      </c>
      <c r="K5" s="1">
        <f t="shared" si="6"/>
        <v>35</v>
      </c>
      <c r="L5" s="1">
        <f t="shared" si="7"/>
        <v>14</v>
      </c>
      <c r="M5" s="1">
        <f t="shared" si="8"/>
        <v>18</v>
      </c>
      <c r="N5" s="8">
        <f t="shared" si="9"/>
        <v>408.3333333333334</v>
      </c>
      <c r="O5" s="8">
        <f t="shared" si="10"/>
        <v>656.25</v>
      </c>
      <c r="P5" s="2">
        <v>500</v>
      </c>
      <c r="Q5" s="1">
        <v>0</v>
      </c>
      <c r="R5" s="8">
        <f t="shared" si="11"/>
        <v>3241.5</v>
      </c>
      <c r="S5" s="8"/>
      <c r="T5" s="8"/>
      <c r="U5" s="8">
        <f>(R5*B5)/2000</f>
        <v>47.277277500000004</v>
      </c>
      <c r="V5" s="8">
        <f>(0.5*B5)*U5*0.5</f>
        <v>344.76954616875</v>
      </c>
      <c r="W5" s="8">
        <f t="shared" si="12"/>
        <v>21.8775</v>
      </c>
      <c r="X5" s="8">
        <f t="shared" si="13"/>
        <v>19.3775</v>
      </c>
      <c r="Y5" s="8">
        <f t="shared" si="14"/>
        <v>0.15</v>
      </c>
      <c r="Z5" s="8">
        <f t="shared" si="15"/>
        <v>546.9</v>
      </c>
      <c r="AA5" s="8">
        <f t="shared" si="16"/>
        <v>7564.883075562261</v>
      </c>
      <c r="AB5" s="8">
        <f t="shared" si="17"/>
        <v>20.146830319636663</v>
      </c>
      <c r="AC5" s="8">
        <f t="shared" si="18"/>
        <v>185.1807050829808</v>
      </c>
      <c r="AD5" s="8">
        <f t="shared" si="19"/>
        <v>87.51</v>
      </c>
      <c r="AE5" s="8">
        <f>((8*6)*2)+AB5</f>
        <v>116.14683031963666</v>
      </c>
      <c r="AF5" s="8">
        <f t="shared" si="20"/>
        <v>108</v>
      </c>
      <c r="AG5" s="8">
        <f t="shared" si="21"/>
        <v>4.161932501974844</v>
      </c>
      <c r="AH5" s="8">
        <f t="shared" si="22"/>
        <v>0.8392854266016342</v>
      </c>
      <c r="AI5" s="8">
        <f t="shared" si="23"/>
        <v>0.043312368809270245</v>
      </c>
      <c r="AJ5" s="8">
        <f t="shared" si="24"/>
        <v>4.0413562326961925</v>
      </c>
      <c r="AK5" s="8">
        <f t="shared" si="25"/>
        <v>1.2345380338865386</v>
      </c>
      <c r="AL5" s="8">
        <f t="shared" si="26"/>
        <v>1.3013173483958649</v>
      </c>
      <c r="AM5" s="8">
        <f t="shared" si="27"/>
        <v>4.04</v>
      </c>
      <c r="AN5" s="8">
        <f t="shared" si="28"/>
        <v>1.875</v>
      </c>
      <c r="AO5" s="8">
        <f t="shared" si="29"/>
        <v>10.3125</v>
      </c>
      <c r="AP5" s="8">
        <f t="shared" si="30"/>
        <v>1414.1616000000001</v>
      </c>
      <c r="AQ5" s="8">
        <f t="shared" si="31"/>
        <v>111971.24969194691</v>
      </c>
    </row>
    <row r="6" spans="1:43" ht="12.75">
      <c r="A6" s="6" t="s">
        <v>80</v>
      </c>
      <c r="B6">
        <v>30.96</v>
      </c>
      <c r="C6">
        <v>7.38</v>
      </c>
      <c r="D6" s="1">
        <f t="shared" si="0"/>
        <v>1107</v>
      </c>
      <c r="E6" s="1">
        <f t="shared" si="32"/>
        <v>442.8</v>
      </c>
      <c r="F6" s="1">
        <f t="shared" si="1"/>
        <v>258.3</v>
      </c>
      <c r="G6" s="1">
        <f t="shared" si="2"/>
        <v>2166.0299999999997</v>
      </c>
      <c r="H6" s="1">
        <f t="shared" si="3"/>
        <v>216.60299999999998</v>
      </c>
      <c r="I6" s="1">
        <f t="shared" si="4"/>
        <v>433.20599999999996</v>
      </c>
      <c r="J6" s="1">
        <f t="shared" si="5"/>
        <v>30</v>
      </c>
      <c r="K6" s="1">
        <f t="shared" si="6"/>
        <v>37</v>
      </c>
      <c r="L6" s="1">
        <f t="shared" si="7"/>
        <v>15</v>
      </c>
      <c r="M6" s="1">
        <f t="shared" si="8"/>
        <v>19</v>
      </c>
      <c r="N6" s="8">
        <f t="shared" si="9"/>
        <v>468.75</v>
      </c>
      <c r="O6" s="8">
        <f t="shared" si="10"/>
        <v>732.2916666666667</v>
      </c>
      <c r="P6" s="2">
        <v>500</v>
      </c>
      <c r="Q6" s="1">
        <v>0</v>
      </c>
      <c r="R6" s="8">
        <f t="shared" si="11"/>
        <v>2766.0299999999997</v>
      </c>
      <c r="S6" s="8">
        <v>39.23</v>
      </c>
      <c r="T6" s="8">
        <v>61.84</v>
      </c>
      <c r="U6" s="8">
        <v>41.57</v>
      </c>
      <c r="V6" s="8">
        <v>277.75</v>
      </c>
      <c r="W6" s="8">
        <f t="shared" si="12"/>
        <v>23.22</v>
      </c>
      <c r="X6" s="8">
        <f t="shared" si="13"/>
        <v>20.72</v>
      </c>
      <c r="Y6" s="8">
        <f t="shared" si="14"/>
        <v>0.15</v>
      </c>
      <c r="Z6" s="8">
        <f t="shared" si="15"/>
        <v>546.9</v>
      </c>
      <c r="AA6" s="8">
        <f t="shared" si="16"/>
        <v>6094.349972572682</v>
      </c>
      <c r="AB6" s="8">
        <f t="shared" si="17"/>
        <v>14.195408285721468</v>
      </c>
      <c r="AC6" s="8">
        <f t="shared" si="18"/>
        <v>139.51756832660016</v>
      </c>
      <c r="AD6" s="8">
        <f t="shared" si="19"/>
        <v>92.88</v>
      </c>
      <c r="AE6" s="8">
        <f>((8*6))+AB6</f>
        <v>62.19540828572147</v>
      </c>
      <c r="AF6" s="8">
        <f t="shared" si="20"/>
        <v>88.56</v>
      </c>
      <c r="AG6" s="8">
        <f t="shared" si="21"/>
        <v>3.135654451443925</v>
      </c>
      <c r="AH6" s="8">
        <f t="shared" si="22"/>
        <v>0.8896971670430591</v>
      </c>
      <c r="AI6" s="8">
        <f t="shared" si="23"/>
        <v>0.04293905246346811</v>
      </c>
      <c r="AJ6" s="8">
        <f t="shared" si="24"/>
        <v>3.0442299026214905</v>
      </c>
      <c r="AK6" s="8">
        <f t="shared" si="25"/>
        <v>0.9301171221773343</v>
      </c>
      <c r="AL6" s="8">
        <f t="shared" si="26"/>
        <v>0.9804295322671627</v>
      </c>
      <c r="AM6" s="8">
        <f t="shared" si="27"/>
        <v>3.04</v>
      </c>
      <c r="AN6" s="8">
        <f t="shared" si="28"/>
        <v>1.875</v>
      </c>
      <c r="AO6" s="8">
        <f t="shared" si="29"/>
        <v>10.3125</v>
      </c>
      <c r="AP6" s="8">
        <f t="shared" si="30"/>
        <v>1129.4207999999999</v>
      </c>
      <c r="AQ6" s="8">
        <f t="shared" si="31"/>
        <v>90816.18064627954</v>
      </c>
    </row>
    <row r="7" spans="1:43" ht="12.75">
      <c r="A7" s="6" t="s">
        <v>81</v>
      </c>
      <c r="B7">
        <v>30.96</v>
      </c>
      <c r="C7">
        <v>2.88</v>
      </c>
      <c r="D7" s="1">
        <f t="shared" si="0"/>
        <v>432</v>
      </c>
      <c r="E7" s="1">
        <f t="shared" si="32"/>
        <v>172.79999999999998</v>
      </c>
      <c r="F7" s="1">
        <f t="shared" si="1"/>
        <v>100.8</v>
      </c>
      <c r="G7" s="1">
        <f t="shared" si="2"/>
        <v>845.2799999999999</v>
      </c>
      <c r="H7" s="1">
        <f t="shared" si="3"/>
        <v>84.52799999999999</v>
      </c>
      <c r="I7" s="1">
        <f t="shared" si="4"/>
        <v>169.05599999999998</v>
      </c>
      <c r="J7" s="1">
        <f t="shared" si="5"/>
        <v>30</v>
      </c>
      <c r="K7" s="1">
        <f t="shared" si="6"/>
        <v>37</v>
      </c>
      <c r="L7" s="1">
        <f t="shared" si="7"/>
        <v>15</v>
      </c>
      <c r="M7" s="1">
        <f t="shared" si="8"/>
        <v>19</v>
      </c>
      <c r="N7" s="8">
        <f t="shared" si="9"/>
        <v>468.75</v>
      </c>
      <c r="O7" s="8">
        <f t="shared" si="10"/>
        <v>732.2916666666667</v>
      </c>
      <c r="P7" s="2">
        <v>500</v>
      </c>
      <c r="Q7" s="1">
        <v>0</v>
      </c>
      <c r="R7" s="8">
        <f t="shared" si="11"/>
        <v>1445.2799999999997</v>
      </c>
      <c r="S7" s="8">
        <v>39.23</v>
      </c>
      <c r="T7" s="8">
        <v>61.84</v>
      </c>
      <c r="U7" s="8">
        <v>41.57</v>
      </c>
      <c r="V7" s="8">
        <v>34.23</v>
      </c>
      <c r="W7" s="8">
        <f t="shared" si="12"/>
        <v>23.22</v>
      </c>
      <c r="X7" s="8">
        <f t="shared" si="13"/>
        <v>20.72</v>
      </c>
      <c r="Y7" s="8">
        <f t="shared" si="14"/>
        <v>0.15</v>
      </c>
      <c r="Z7" s="8">
        <f t="shared" si="15"/>
        <v>546.9</v>
      </c>
      <c r="AA7" s="8">
        <f t="shared" si="16"/>
        <v>751.0696653867251</v>
      </c>
      <c r="AB7" s="8">
        <f t="shared" si="17"/>
        <v>1.7494467169045753</v>
      </c>
      <c r="AC7" s="8">
        <f t="shared" si="18"/>
        <v>17.19419032878316</v>
      </c>
      <c r="AD7" s="8">
        <f t="shared" si="19"/>
        <v>92.88</v>
      </c>
      <c r="AE7" s="8">
        <f>((8*6)*2)+AB7</f>
        <v>97.74944671690457</v>
      </c>
      <c r="AF7" s="8">
        <f t="shared" si="20"/>
        <v>34.56</v>
      </c>
      <c r="AG7" s="8">
        <f t="shared" si="21"/>
        <v>0.3864390706495969</v>
      </c>
      <c r="AH7" s="8">
        <f t="shared" si="22"/>
        <v>0.19732387185947553</v>
      </c>
      <c r="AI7" s="8">
        <f t="shared" si="23"/>
        <v>0.009523352888970828</v>
      </c>
      <c r="AJ7" s="8">
        <f t="shared" si="24"/>
        <v>0.36887357372411234</v>
      </c>
      <c r="AK7" s="8">
        <f t="shared" si="25"/>
        <v>0.11462793552522108</v>
      </c>
      <c r="AL7" s="8">
        <f t="shared" si="26"/>
        <v>0.12082845324754267</v>
      </c>
      <c r="AM7" s="8">
        <f t="shared" si="27"/>
        <v>0.37</v>
      </c>
      <c r="AN7" s="8">
        <f t="shared" si="28"/>
        <v>1.875</v>
      </c>
      <c r="AO7" s="8">
        <f t="shared" si="29"/>
        <v>10.3125</v>
      </c>
      <c r="AP7" s="8">
        <f t="shared" si="30"/>
        <v>137.4624</v>
      </c>
      <c r="AQ7" s="8">
        <f t="shared" si="31"/>
        <v>11192.215530232757</v>
      </c>
    </row>
    <row r="8" spans="1:43" ht="12.75">
      <c r="A8">
        <v>39</v>
      </c>
      <c r="B8">
        <v>30.96</v>
      </c>
      <c r="C8">
        <v>5.75</v>
      </c>
      <c r="D8" s="1">
        <f t="shared" si="0"/>
        <v>862.5</v>
      </c>
      <c r="E8" s="1">
        <f t="shared" si="32"/>
        <v>345</v>
      </c>
      <c r="F8" s="1">
        <f t="shared" si="1"/>
        <v>201.25</v>
      </c>
      <c r="G8" s="1">
        <f t="shared" si="2"/>
        <v>1687.625</v>
      </c>
      <c r="H8" s="1">
        <f t="shared" si="3"/>
        <v>168.76250000000002</v>
      </c>
      <c r="I8" s="1">
        <f t="shared" si="4"/>
        <v>337.52500000000003</v>
      </c>
      <c r="J8" s="1">
        <f t="shared" si="5"/>
        <v>30</v>
      </c>
      <c r="K8" s="1">
        <f t="shared" si="6"/>
        <v>37</v>
      </c>
      <c r="L8" s="1">
        <f t="shared" si="7"/>
        <v>15</v>
      </c>
      <c r="M8" s="1">
        <f t="shared" si="8"/>
        <v>19</v>
      </c>
      <c r="N8" s="8">
        <f t="shared" si="9"/>
        <v>468.75</v>
      </c>
      <c r="O8" s="8">
        <f t="shared" si="10"/>
        <v>732.2916666666667</v>
      </c>
      <c r="P8" s="2">
        <v>500</v>
      </c>
      <c r="Q8" s="1">
        <v>0</v>
      </c>
      <c r="R8" s="8">
        <f t="shared" si="11"/>
        <v>2287.625</v>
      </c>
      <c r="S8" s="8"/>
      <c r="T8" s="8"/>
      <c r="U8" s="8">
        <f>(R8*B8)/2000</f>
        <v>35.412434999999995</v>
      </c>
      <c r="V8" s="8">
        <f>(0.5*B8)*U8*0.5</f>
        <v>274.09224689999996</v>
      </c>
      <c r="W8" s="8">
        <f t="shared" si="12"/>
        <v>23.22</v>
      </c>
      <c r="X8" s="8">
        <f t="shared" si="13"/>
        <v>20.72</v>
      </c>
      <c r="Y8" s="8">
        <f t="shared" si="14"/>
        <v>0.15</v>
      </c>
      <c r="Z8" s="8">
        <f t="shared" si="15"/>
        <v>546.9</v>
      </c>
      <c r="AA8" s="8">
        <f t="shared" si="16"/>
        <v>6014.092087767415</v>
      </c>
      <c r="AB8" s="8">
        <f t="shared" si="17"/>
        <v>14.008465716278213</v>
      </c>
      <c r="AC8" s="8">
        <f t="shared" si="18"/>
        <v>137.68022964774835</v>
      </c>
      <c r="AD8" s="8">
        <f t="shared" si="19"/>
        <v>92.88</v>
      </c>
      <c r="AE8" s="8">
        <f>((8*6))+AB8</f>
        <v>62.00846571627821</v>
      </c>
      <c r="AF8" s="8">
        <f t="shared" si="20"/>
        <v>69</v>
      </c>
      <c r="AG8" s="8">
        <f t="shared" si="21"/>
        <v>3.0943603027839863</v>
      </c>
      <c r="AH8" s="8">
        <f t="shared" si="22"/>
        <v>0.8806274700341158</v>
      </c>
      <c r="AI8" s="8">
        <f t="shared" si="23"/>
        <v>0.04250132577384729</v>
      </c>
      <c r="AJ8" s="8">
        <f t="shared" si="24"/>
        <v>3.003467973031348</v>
      </c>
      <c r="AK8" s="8">
        <f t="shared" si="25"/>
        <v>0.9178681976516556</v>
      </c>
      <c r="AL8" s="8">
        <f t="shared" si="26"/>
        <v>0.9675180321376152</v>
      </c>
      <c r="AM8" s="8">
        <f t="shared" si="27"/>
        <v>3</v>
      </c>
      <c r="AN8" s="8">
        <f t="shared" si="28"/>
        <v>1.875</v>
      </c>
      <c r="AO8" s="8">
        <f t="shared" si="29"/>
        <v>10.3125</v>
      </c>
      <c r="AP8" s="8">
        <f t="shared" si="30"/>
        <v>1114.56</v>
      </c>
      <c r="AQ8" s="8">
        <f t="shared" si="31"/>
        <v>89620.20164973915</v>
      </c>
    </row>
    <row r="9" spans="1:43" ht="12.75">
      <c r="A9" s="6" t="s">
        <v>82</v>
      </c>
      <c r="B9">
        <v>30.96</v>
      </c>
      <c r="C9">
        <v>7.38</v>
      </c>
      <c r="D9" s="1">
        <f t="shared" si="0"/>
        <v>1107</v>
      </c>
      <c r="E9" s="1">
        <f t="shared" si="32"/>
        <v>442.8</v>
      </c>
      <c r="F9" s="1">
        <f t="shared" si="1"/>
        <v>258.3</v>
      </c>
      <c r="G9" s="1">
        <f t="shared" si="2"/>
        <v>2166.0299999999997</v>
      </c>
      <c r="H9" s="1">
        <f t="shared" si="3"/>
        <v>216.60299999999998</v>
      </c>
      <c r="I9" s="1">
        <f t="shared" si="4"/>
        <v>433.20599999999996</v>
      </c>
      <c r="J9" s="1">
        <f t="shared" si="5"/>
        <v>30</v>
      </c>
      <c r="K9" s="1">
        <f t="shared" si="6"/>
        <v>37</v>
      </c>
      <c r="L9" s="1">
        <f t="shared" si="7"/>
        <v>15</v>
      </c>
      <c r="M9" s="1">
        <f t="shared" si="8"/>
        <v>19</v>
      </c>
      <c r="N9" s="8">
        <f t="shared" si="9"/>
        <v>468.75</v>
      </c>
      <c r="O9" s="8">
        <f t="shared" si="10"/>
        <v>732.2916666666667</v>
      </c>
      <c r="P9" s="2">
        <v>500</v>
      </c>
      <c r="Q9" s="1">
        <v>0</v>
      </c>
      <c r="R9" s="8">
        <f t="shared" si="11"/>
        <v>2766.0299999999997</v>
      </c>
      <c r="S9" s="8">
        <v>39.23</v>
      </c>
      <c r="T9" s="8">
        <v>61.84</v>
      </c>
      <c r="U9" s="8">
        <v>41.57</v>
      </c>
      <c r="V9" s="8">
        <v>277.75</v>
      </c>
      <c r="W9" s="8">
        <f t="shared" si="12"/>
        <v>23.22</v>
      </c>
      <c r="X9" s="8">
        <f t="shared" si="13"/>
        <v>20.72</v>
      </c>
      <c r="Y9" s="8">
        <f t="shared" si="14"/>
        <v>0.15</v>
      </c>
      <c r="Z9" s="8">
        <f t="shared" si="15"/>
        <v>546.9</v>
      </c>
      <c r="AA9" s="8">
        <f t="shared" si="16"/>
        <v>6094.349972572682</v>
      </c>
      <c r="AB9" s="8">
        <f t="shared" si="17"/>
        <v>14.195408285721468</v>
      </c>
      <c r="AC9" s="8">
        <f t="shared" si="18"/>
        <v>139.51756832660016</v>
      </c>
      <c r="AD9" s="8">
        <f t="shared" si="19"/>
        <v>92.88</v>
      </c>
      <c r="AE9" s="8">
        <f>((8*6)*2)+AB9</f>
        <v>110.19540828572147</v>
      </c>
      <c r="AF9" s="8">
        <f t="shared" si="20"/>
        <v>88.56</v>
      </c>
      <c r="AG9" s="8">
        <f t="shared" si="21"/>
        <v>3.135654451443925</v>
      </c>
      <c r="AH9" s="8">
        <f t="shared" si="22"/>
        <v>0.6248315103307678</v>
      </c>
      <c r="AI9" s="8">
        <f t="shared" si="23"/>
        <v>0.030155960923299606</v>
      </c>
      <c r="AJ9" s="8">
        <f t="shared" si="24"/>
        <v>3.0244746992944447</v>
      </c>
      <c r="AK9" s="8">
        <f t="shared" si="25"/>
        <v>0.9301171221773343</v>
      </c>
      <c r="AL9" s="8">
        <f t="shared" si="26"/>
        <v>0.9804295322671627</v>
      </c>
      <c r="AM9" s="8">
        <f t="shared" si="27"/>
        <v>3.02</v>
      </c>
      <c r="AN9" s="8">
        <f t="shared" si="28"/>
        <v>1.875</v>
      </c>
      <c r="AO9" s="8">
        <f t="shared" si="29"/>
        <v>10.3125</v>
      </c>
      <c r="AP9" s="8">
        <f t="shared" si="30"/>
        <v>1121.9904</v>
      </c>
      <c r="AQ9" s="8">
        <f t="shared" si="31"/>
        <v>90816.18064627954</v>
      </c>
    </row>
    <row r="10" spans="1:43" ht="12.75">
      <c r="A10" s="6" t="s">
        <v>83</v>
      </c>
      <c r="B10">
        <v>30.96</v>
      </c>
      <c r="C10">
        <v>2.88</v>
      </c>
      <c r="D10" s="1">
        <f t="shared" si="0"/>
        <v>432</v>
      </c>
      <c r="E10" s="1">
        <f t="shared" si="32"/>
        <v>172.79999999999998</v>
      </c>
      <c r="F10" s="1">
        <f t="shared" si="1"/>
        <v>100.8</v>
      </c>
      <c r="G10" s="1">
        <f t="shared" si="2"/>
        <v>845.2799999999999</v>
      </c>
      <c r="H10" s="1">
        <f t="shared" si="3"/>
        <v>84.52799999999999</v>
      </c>
      <c r="I10" s="1">
        <f t="shared" si="4"/>
        <v>169.05599999999998</v>
      </c>
      <c r="J10" s="1">
        <f t="shared" si="5"/>
        <v>30</v>
      </c>
      <c r="K10" s="1">
        <f t="shared" si="6"/>
        <v>37</v>
      </c>
      <c r="L10" s="1">
        <f t="shared" si="7"/>
        <v>15</v>
      </c>
      <c r="M10" s="1">
        <f t="shared" si="8"/>
        <v>19</v>
      </c>
      <c r="N10" s="8">
        <f t="shared" si="9"/>
        <v>468.75</v>
      </c>
      <c r="O10" s="8">
        <f t="shared" si="10"/>
        <v>732.2916666666667</v>
      </c>
      <c r="P10" s="2">
        <v>500</v>
      </c>
      <c r="Q10" s="1">
        <v>0</v>
      </c>
      <c r="R10" s="8">
        <f t="shared" si="11"/>
        <v>1445.2799999999997</v>
      </c>
      <c r="S10" s="8">
        <v>39.23</v>
      </c>
      <c r="T10" s="8">
        <v>61.84</v>
      </c>
      <c r="U10" s="8">
        <v>41.57</v>
      </c>
      <c r="V10" s="8">
        <v>34.23</v>
      </c>
      <c r="W10" s="8">
        <f t="shared" si="12"/>
        <v>23.22</v>
      </c>
      <c r="X10" s="8">
        <f t="shared" si="13"/>
        <v>20.72</v>
      </c>
      <c r="Y10" s="8">
        <f t="shared" si="14"/>
        <v>0.15</v>
      </c>
      <c r="Z10" s="8">
        <f t="shared" si="15"/>
        <v>546.9</v>
      </c>
      <c r="AA10" s="8">
        <f t="shared" si="16"/>
        <v>751.0696653867251</v>
      </c>
      <c r="AB10" s="8">
        <f t="shared" si="17"/>
        <v>1.7494467169045753</v>
      </c>
      <c r="AC10" s="8">
        <f t="shared" si="18"/>
        <v>17.19419032878316</v>
      </c>
      <c r="AD10" s="8">
        <f t="shared" si="19"/>
        <v>92.88</v>
      </c>
      <c r="AE10" s="8">
        <f>((8*6))+AB10</f>
        <v>49.74944671690457</v>
      </c>
      <c r="AF10" s="8">
        <f t="shared" si="20"/>
        <v>34.56</v>
      </c>
      <c r="AG10" s="8">
        <f t="shared" si="21"/>
        <v>0.3864390706495969</v>
      </c>
      <c r="AH10" s="8">
        <f t="shared" si="22"/>
        <v>0.19732387185947553</v>
      </c>
      <c r="AI10" s="8">
        <f t="shared" si="23"/>
        <v>0.009523352888970828</v>
      </c>
      <c r="AJ10" s="8">
        <f t="shared" si="24"/>
        <v>0.36887357372411234</v>
      </c>
      <c r="AK10" s="8">
        <f t="shared" si="25"/>
        <v>0.11462793552522108</v>
      </c>
      <c r="AL10" s="8">
        <f t="shared" si="26"/>
        <v>0.12082845324754267</v>
      </c>
      <c r="AM10" s="8">
        <f t="shared" si="27"/>
        <v>0.37</v>
      </c>
      <c r="AN10" s="8">
        <f t="shared" si="28"/>
        <v>1.875</v>
      </c>
      <c r="AO10" s="8">
        <f t="shared" si="29"/>
        <v>10.3125</v>
      </c>
      <c r="AP10" s="8">
        <f t="shared" si="30"/>
        <v>137.4624</v>
      </c>
      <c r="AQ10" s="8">
        <f t="shared" si="31"/>
        <v>11192.215530232757</v>
      </c>
    </row>
    <row r="11" spans="1:43" ht="12.75">
      <c r="A11">
        <v>41</v>
      </c>
      <c r="B11">
        <v>29.17</v>
      </c>
      <c r="C11">
        <v>8.88</v>
      </c>
      <c r="D11" s="1">
        <f t="shared" si="0"/>
        <v>1332.0000000000002</v>
      </c>
      <c r="E11" s="1">
        <f t="shared" si="32"/>
        <v>532.8000000000001</v>
      </c>
      <c r="F11" s="1">
        <f t="shared" si="1"/>
        <v>310.8</v>
      </c>
      <c r="G11" s="1">
        <f t="shared" si="2"/>
        <v>2606.2800000000007</v>
      </c>
      <c r="H11" s="1">
        <f t="shared" si="3"/>
        <v>260.6280000000001</v>
      </c>
      <c r="I11" s="1">
        <f t="shared" si="4"/>
        <v>521.2560000000002</v>
      </c>
      <c r="J11" s="1">
        <f t="shared" si="5"/>
        <v>28</v>
      </c>
      <c r="K11" s="1">
        <f t="shared" si="6"/>
        <v>35</v>
      </c>
      <c r="L11" s="1">
        <f t="shared" si="7"/>
        <v>14</v>
      </c>
      <c r="M11" s="1">
        <f t="shared" si="8"/>
        <v>18</v>
      </c>
      <c r="N11" s="8">
        <f t="shared" si="9"/>
        <v>408.3333333333334</v>
      </c>
      <c r="O11" s="8">
        <f t="shared" si="10"/>
        <v>656.25</v>
      </c>
      <c r="P11" s="2">
        <v>500</v>
      </c>
      <c r="Q11" s="1">
        <v>0</v>
      </c>
      <c r="R11" s="8">
        <f t="shared" si="11"/>
        <v>3206.2800000000007</v>
      </c>
      <c r="S11" s="8"/>
      <c r="T11" s="8"/>
      <c r="U11" s="8">
        <f>(R11*B11)/2000</f>
        <v>46.76359380000001</v>
      </c>
      <c r="V11" s="8">
        <f>(0.5*B11)*U11*0.5</f>
        <v>341.0235077865001</v>
      </c>
      <c r="W11" s="8">
        <f t="shared" si="12"/>
        <v>21.8775</v>
      </c>
      <c r="X11" s="8">
        <f t="shared" si="13"/>
        <v>19.3775</v>
      </c>
      <c r="Y11" s="8">
        <f t="shared" si="14"/>
        <v>0.15</v>
      </c>
      <c r="Z11" s="8">
        <f t="shared" si="15"/>
        <v>546.9</v>
      </c>
      <c r="AA11" s="8">
        <f t="shared" si="16"/>
        <v>7482.688047975866</v>
      </c>
      <c r="AB11" s="8">
        <f t="shared" si="17"/>
        <v>19.927928155867544</v>
      </c>
      <c r="AC11" s="8">
        <f t="shared" si="18"/>
        <v>183.16865373853454</v>
      </c>
      <c r="AD11" s="8">
        <f t="shared" si="19"/>
        <v>87.51</v>
      </c>
      <c r="AE11" s="8">
        <f>((8*6)*2)+AB11</f>
        <v>115.92792815586755</v>
      </c>
      <c r="AF11" s="8">
        <f t="shared" si="20"/>
        <v>106.56</v>
      </c>
      <c r="AG11" s="8">
        <f t="shared" si="21"/>
        <v>4.116711689783096</v>
      </c>
      <c r="AH11" s="8">
        <f t="shared" si="22"/>
        <v>0.8301663049835842</v>
      </c>
      <c r="AI11" s="8">
        <f t="shared" si="23"/>
        <v>0.042841765190741024</v>
      </c>
      <c r="AJ11" s="8">
        <f t="shared" si="24"/>
        <v>3.996484326853713</v>
      </c>
      <c r="AK11" s="8">
        <f t="shared" si="25"/>
        <v>1.221124358256897</v>
      </c>
      <c r="AL11" s="8">
        <f t="shared" si="26"/>
        <v>1.2871780928010779</v>
      </c>
      <c r="AM11" s="8">
        <f t="shared" si="27"/>
        <v>4</v>
      </c>
      <c r="AN11" s="8">
        <f t="shared" si="28"/>
        <v>1.875</v>
      </c>
      <c r="AO11" s="8">
        <f t="shared" si="29"/>
        <v>10.3125</v>
      </c>
      <c r="AP11" s="8">
        <f t="shared" si="30"/>
        <v>1400.16</v>
      </c>
      <c r="AQ11" s="8">
        <f t="shared" si="31"/>
        <v>110754.64398034725</v>
      </c>
    </row>
    <row r="12" spans="1:43" ht="12.75">
      <c r="A12">
        <v>42</v>
      </c>
      <c r="B12">
        <v>29.17</v>
      </c>
      <c r="C12">
        <v>9.5</v>
      </c>
      <c r="D12" s="1">
        <f t="shared" si="0"/>
        <v>1425</v>
      </c>
      <c r="E12" s="1">
        <f t="shared" si="32"/>
        <v>570</v>
      </c>
      <c r="F12" s="1">
        <f t="shared" si="1"/>
        <v>332.5</v>
      </c>
      <c r="G12" s="1">
        <f t="shared" si="2"/>
        <v>2788.25</v>
      </c>
      <c r="H12" s="1">
        <f t="shared" si="3"/>
        <v>278.825</v>
      </c>
      <c r="I12" s="1">
        <f t="shared" si="4"/>
        <v>557.65</v>
      </c>
      <c r="J12" s="1">
        <f t="shared" si="5"/>
        <v>28</v>
      </c>
      <c r="K12" s="1">
        <f t="shared" si="6"/>
        <v>35</v>
      </c>
      <c r="L12" s="1">
        <f t="shared" si="7"/>
        <v>14</v>
      </c>
      <c r="M12" s="1">
        <f t="shared" si="8"/>
        <v>18</v>
      </c>
      <c r="N12" s="8">
        <f t="shared" si="9"/>
        <v>408.3333333333334</v>
      </c>
      <c r="O12" s="8">
        <f t="shared" si="10"/>
        <v>656.25</v>
      </c>
      <c r="P12" s="2">
        <v>500</v>
      </c>
      <c r="Q12" s="1">
        <v>0</v>
      </c>
      <c r="R12" s="8">
        <f t="shared" si="11"/>
        <v>3388.25</v>
      </c>
      <c r="S12" s="8"/>
      <c r="T12" s="8"/>
      <c r="U12" s="8">
        <f>(R12*B12)/2000</f>
        <v>49.41762625</v>
      </c>
      <c r="V12" s="8">
        <f>(0.5*B12)*U12*0.5</f>
        <v>360.378039428125</v>
      </c>
      <c r="W12" s="8">
        <f t="shared" si="12"/>
        <v>21.8775</v>
      </c>
      <c r="X12" s="8">
        <f t="shared" si="13"/>
        <v>19.3775</v>
      </c>
      <c r="Y12" s="8">
        <f t="shared" si="14"/>
        <v>0.15</v>
      </c>
      <c r="Z12" s="8">
        <f t="shared" si="15"/>
        <v>546.9</v>
      </c>
      <c r="AA12" s="8">
        <f t="shared" si="16"/>
        <v>7907.3623571722455</v>
      </c>
      <c r="AB12" s="8">
        <f t="shared" si="17"/>
        <v>21.058922668674665</v>
      </c>
      <c r="AC12" s="8">
        <f t="shared" si="18"/>
        <v>193.56425235150692</v>
      </c>
      <c r="AD12" s="8">
        <f t="shared" si="19"/>
        <v>87.51</v>
      </c>
      <c r="AE12" s="8">
        <f>((8*6))+AB12</f>
        <v>69.05892266867467</v>
      </c>
      <c r="AF12" s="8">
        <f t="shared" si="20"/>
        <v>114</v>
      </c>
      <c r="AG12" s="8">
        <f t="shared" si="21"/>
        <v>4.350352552773798</v>
      </c>
      <c r="AH12" s="8">
        <f t="shared" si="22"/>
        <v>1.1116728213415075</v>
      </c>
      <c r="AI12" s="8">
        <f t="shared" si="23"/>
        <v>0.057369259261592434</v>
      </c>
      <c r="AJ12" s="8">
        <f t="shared" si="24"/>
        <v>4.254884717374738</v>
      </c>
      <c r="AK12" s="8">
        <f t="shared" si="25"/>
        <v>1.290428349010046</v>
      </c>
      <c r="AL12" s="8">
        <f t="shared" si="26"/>
        <v>1.3602309133741444</v>
      </c>
      <c r="AM12" s="8">
        <f t="shared" si="27"/>
        <v>4.25</v>
      </c>
      <c r="AN12" s="8">
        <f t="shared" si="28"/>
        <v>1.875</v>
      </c>
      <c r="AO12" s="8">
        <f t="shared" si="29"/>
        <v>10.3125</v>
      </c>
      <c r="AP12" s="8">
        <f t="shared" si="30"/>
        <v>1487.67</v>
      </c>
      <c r="AQ12" s="8">
        <f t="shared" si="31"/>
        <v>117040.44015694558</v>
      </c>
    </row>
    <row r="13" spans="1:43" ht="12.75">
      <c r="A13">
        <v>43</v>
      </c>
      <c r="B13">
        <v>29.17</v>
      </c>
      <c r="C13">
        <v>8.88</v>
      </c>
      <c r="D13" s="1">
        <f t="shared" si="0"/>
        <v>1332.0000000000002</v>
      </c>
      <c r="E13" s="1">
        <f t="shared" si="32"/>
        <v>532.8000000000001</v>
      </c>
      <c r="F13" s="1">
        <f t="shared" si="1"/>
        <v>310.8</v>
      </c>
      <c r="G13" s="1">
        <f t="shared" si="2"/>
        <v>2606.2800000000007</v>
      </c>
      <c r="H13" s="1">
        <f t="shared" si="3"/>
        <v>260.6280000000001</v>
      </c>
      <c r="I13" s="1">
        <f t="shared" si="4"/>
        <v>521.2560000000002</v>
      </c>
      <c r="J13" s="1">
        <f t="shared" si="5"/>
        <v>28</v>
      </c>
      <c r="K13" s="1">
        <f t="shared" si="6"/>
        <v>35</v>
      </c>
      <c r="L13" s="1">
        <f t="shared" si="7"/>
        <v>14</v>
      </c>
      <c r="M13" s="1">
        <f t="shared" si="8"/>
        <v>18</v>
      </c>
      <c r="N13" s="8">
        <f t="shared" si="9"/>
        <v>408.3333333333334</v>
      </c>
      <c r="O13" s="8">
        <f t="shared" si="10"/>
        <v>656.25</v>
      </c>
      <c r="P13" s="2">
        <v>500</v>
      </c>
      <c r="Q13" s="1">
        <v>0</v>
      </c>
      <c r="R13" s="8">
        <f t="shared" si="11"/>
        <v>3206.2800000000007</v>
      </c>
      <c r="S13" s="8"/>
      <c r="T13" s="8"/>
      <c r="U13" s="8">
        <f>(R13*B13)/2000</f>
        <v>46.76359380000001</v>
      </c>
      <c r="V13" s="8">
        <f>(0.5*B13)*U13*0.5</f>
        <v>341.0235077865001</v>
      </c>
      <c r="W13" s="8">
        <f t="shared" si="12"/>
        <v>21.8775</v>
      </c>
      <c r="X13" s="8">
        <f t="shared" si="13"/>
        <v>19.3775</v>
      </c>
      <c r="Y13" s="8">
        <f t="shared" si="14"/>
        <v>0.15</v>
      </c>
      <c r="Z13" s="8">
        <f t="shared" si="15"/>
        <v>546.9</v>
      </c>
      <c r="AA13" s="8">
        <f t="shared" si="16"/>
        <v>7482.688047975866</v>
      </c>
      <c r="AB13" s="8">
        <f t="shared" si="17"/>
        <v>19.927928155867544</v>
      </c>
      <c r="AC13" s="8">
        <f t="shared" si="18"/>
        <v>183.16865373853454</v>
      </c>
      <c r="AD13" s="8">
        <f t="shared" si="19"/>
        <v>87.51</v>
      </c>
      <c r="AE13" s="8">
        <f>((8*6)*2)+AB13</f>
        <v>115.92792815586755</v>
      </c>
      <c r="AF13" s="8">
        <f t="shared" si="20"/>
        <v>106.56</v>
      </c>
      <c r="AG13" s="8">
        <f t="shared" si="21"/>
        <v>4.116711689783096</v>
      </c>
      <c r="AH13" s="8">
        <f t="shared" si="22"/>
        <v>0.8301663049835842</v>
      </c>
      <c r="AI13" s="8">
        <f t="shared" si="23"/>
        <v>0.042841765190741024</v>
      </c>
      <c r="AJ13" s="8">
        <f t="shared" si="24"/>
        <v>3.996484326853713</v>
      </c>
      <c r="AK13" s="8">
        <f t="shared" si="25"/>
        <v>1.221124358256897</v>
      </c>
      <c r="AL13" s="8">
        <f t="shared" si="26"/>
        <v>1.2871780928010779</v>
      </c>
      <c r="AM13" s="8">
        <f t="shared" si="27"/>
        <v>4</v>
      </c>
      <c r="AN13" s="8">
        <f t="shared" si="28"/>
        <v>1.875</v>
      </c>
      <c r="AO13" s="8">
        <f t="shared" si="29"/>
        <v>10.3125</v>
      </c>
      <c r="AP13" s="8">
        <f t="shared" si="30"/>
        <v>1400.16</v>
      </c>
      <c r="AQ13" s="8">
        <f t="shared" si="31"/>
        <v>110754.64398034725</v>
      </c>
    </row>
    <row r="14" spans="1:43" ht="12.75">
      <c r="A14" s="6" t="s">
        <v>84</v>
      </c>
      <c r="B14">
        <v>30.96</v>
      </c>
      <c r="C14">
        <v>7.38</v>
      </c>
      <c r="D14" s="1">
        <f t="shared" si="0"/>
        <v>1107</v>
      </c>
      <c r="E14" s="1">
        <f t="shared" si="32"/>
        <v>442.8</v>
      </c>
      <c r="F14" s="1">
        <f t="shared" si="1"/>
        <v>258.3</v>
      </c>
      <c r="G14" s="1">
        <f t="shared" si="2"/>
        <v>2166.0299999999997</v>
      </c>
      <c r="H14" s="1">
        <f t="shared" si="3"/>
        <v>216.60299999999998</v>
      </c>
      <c r="I14" s="1">
        <f t="shared" si="4"/>
        <v>433.20599999999996</v>
      </c>
      <c r="J14" s="1">
        <f t="shared" si="5"/>
        <v>30</v>
      </c>
      <c r="K14" s="1">
        <f t="shared" si="6"/>
        <v>37</v>
      </c>
      <c r="L14" s="1">
        <f t="shared" si="7"/>
        <v>15</v>
      </c>
      <c r="M14" s="1">
        <f t="shared" si="8"/>
        <v>19</v>
      </c>
      <c r="N14" s="8">
        <f t="shared" si="9"/>
        <v>468.75</v>
      </c>
      <c r="O14" s="8">
        <f t="shared" si="10"/>
        <v>732.2916666666667</v>
      </c>
      <c r="P14" s="2">
        <v>500</v>
      </c>
      <c r="Q14" s="1">
        <v>0</v>
      </c>
      <c r="R14" s="8">
        <f t="shared" si="11"/>
        <v>2766.0299999999997</v>
      </c>
      <c r="S14" s="8">
        <v>39.23</v>
      </c>
      <c r="T14" s="8">
        <v>61.84</v>
      </c>
      <c r="U14" s="8">
        <v>41.57</v>
      </c>
      <c r="V14" s="8">
        <v>277.75</v>
      </c>
      <c r="W14" s="8">
        <f t="shared" si="12"/>
        <v>23.22</v>
      </c>
      <c r="X14" s="8">
        <f t="shared" si="13"/>
        <v>20.72</v>
      </c>
      <c r="Y14" s="8">
        <f t="shared" si="14"/>
        <v>0.15</v>
      </c>
      <c r="Z14" s="8">
        <f t="shared" si="15"/>
        <v>546.9</v>
      </c>
      <c r="AA14" s="8">
        <f t="shared" si="16"/>
        <v>6094.349972572682</v>
      </c>
      <c r="AB14" s="8">
        <f t="shared" si="17"/>
        <v>14.195408285721468</v>
      </c>
      <c r="AC14" s="8">
        <f t="shared" si="18"/>
        <v>139.51756832660016</v>
      </c>
      <c r="AD14" s="8">
        <f t="shared" si="19"/>
        <v>92.88</v>
      </c>
      <c r="AE14" s="8">
        <f>((8*6))+AB14</f>
        <v>62.19540828572147</v>
      </c>
      <c r="AF14" s="8">
        <f t="shared" si="20"/>
        <v>88.56</v>
      </c>
      <c r="AG14" s="8">
        <f t="shared" si="21"/>
        <v>3.135654451443925</v>
      </c>
      <c r="AH14" s="8">
        <f t="shared" si="22"/>
        <v>0.8896971670430591</v>
      </c>
      <c r="AI14" s="8">
        <f t="shared" si="23"/>
        <v>0.04293905246346811</v>
      </c>
      <c r="AJ14" s="8">
        <f t="shared" si="24"/>
        <v>3.0442299026214905</v>
      </c>
      <c r="AK14" s="8">
        <f t="shared" si="25"/>
        <v>0.9301171221773343</v>
      </c>
      <c r="AL14" s="8">
        <f t="shared" si="26"/>
        <v>0.9804295322671627</v>
      </c>
      <c r="AM14" s="8">
        <f t="shared" si="27"/>
        <v>3.04</v>
      </c>
      <c r="AN14" s="8">
        <f t="shared" si="28"/>
        <v>1.875</v>
      </c>
      <c r="AO14" s="8">
        <f t="shared" si="29"/>
        <v>10.3125</v>
      </c>
      <c r="AP14" s="8">
        <f t="shared" si="30"/>
        <v>1129.4207999999999</v>
      </c>
      <c r="AQ14" s="8">
        <f t="shared" si="31"/>
        <v>90816.18064627954</v>
      </c>
    </row>
    <row r="15" spans="1:43" ht="12.75">
      <c r="A15" s="6" t="s">
        <v>85</v>
      </c>
      <c r="B15">
        <v>30.96</v>
      </c>
      <c r="C15">
        <v>2.88</v>
      </c>
      <c r="D15" s="1">
        <f t="shared" si="0"/>
        <v>432</v>
      </c>
      <c r="E15" s="1">
        <f t="shared" si="32"/>
        <v>172.79999999999998</v>
      </c>
      <c r="F15" s="1">
        <f t="shared" si="1"/>
        <v>100.8</v>
      </c>
      <c r="G15" s="1">
        <f t="shared" si="2"/>
        <v>845.2799999999999</v>
      </c>
      <c r="H15" s="1">
        <f t="shared" si="3"/>
        <v>84.52799999999999</v>
      </c>
      <c r="I15" s="1">
        <f t="shared" si="4"/>
        <v>169.05599999999998</v>
      </c>
      <c r="J15" s="1">
        <f t="shared" si="5"/>
        <v>30</v>
      </c>
      <c r="K15" s="1">
        <f t="shared" si="6"/>
        <v>37</v>
      </c>
      <c r="L15" s="1">
        <f t="shared" si="7"/>
        <v>15</v>
      </c>
      <c r="M15" s="1">
        <f t="shared" si="8"/>
        <v>19</v>
      </c>
      <c r="N15" s="8">
        <f t="shared" si="9"/>
        <v>468.75</v>
      </c>
      <c r="O15" s="8">
        <f t="shared" si="10"/>
        <v>732.2916666666667</v>
      </c>
      <c r="P15" s="2">
        <v>500</v>
      </c>
      <c r="Q15" s="1">
        <v>0</v>
      </c>
      <c r="R15" s="8">
        <f t="shared" si="11"/>
        <v>1445.2799999999997</v>
      </c>
      <c r="S15" s="8">
        <v>39.23</v>
      </c>
      <c r="T15" s="8">
        <v>61.84</v>
      </c>
      <c r="U15" s="8">
        <v>41.57</v>
      </c>
      <c r="V15" s="8">
        <v>34.23</v>
      </c>
      <c r="W15" s="8">
        <f t="shared" si="12"/>
        <v>23.22</v>
      </c>
      <c r="X15" s="8">
        <f t="shared" si="13"/>
        <v>20.72</v>
      </c>
      <c r="Y15" s="8">
        <f t="shared" si="14"/>
        <v>0.15</v>
      </c>
      <c r="Z15" s="8">
        <f t="shared" si="15"/>
        <v>546.9</v>
      </c>
      <c r="AA15" s="8">
        <f t="shared" si="16"/>
        <v>751.0696653867251</v>
      </c>
      <c r="AB15" s="8">
        <f t="shared" si="17"/>
        <v>1.7494467169045753</v>
      </c>
      <c r="AC15" s="8">
        <f t="shared" si="18"/>
        <v>17.19419032878316</v>
      </c>
      <c r="AD15" s="8">
        <f t="shared" si="19"/>
        <v>92.88</v>
      </c>
      <c r="AE15" s="8">
        <f>((8*6)*2)+AB15</f>
        <v>97.74944671690457</v>
      </c>
      <c r="AF15" s="8">
        <f t="shared" si="20"/>
        <v>34.56</v>
      </c>
      <c r="AG15" s="8">
        <f t="shared" si="21"/>
        <v>0.3864390706495969</v>
      </c>
      <c r="AH15" s="8">
        <f t="shared" si="22"/>
        <v>0.19732387185947553</v>
      </c>
      <c r="AI15" s="8">
        <f t="shared" si="23"/>
        <v>0.009523352888970828</v>
      </c>
      <c r="AJ15" s="8">
        <f t="shared" si="24"/>
        <v>0.36887357372411234</v>
      </c>
      <c r="AK15" s="8">
        <f t="shared" si="25"/>
        <v>0.11462793552522108</v>
      </c>
      <c r="AL15" s="8">
        <f t="shared" si="26"/>
        <v>0.12082845324754267</v>
      </c>
      <c r="AM15" s="8">
        <f t="shared" si="27"/>
        <v>0.37</v>
      </c>
      <c r="AN15" s="8">
        <f t="shared" si="28"/>
        <v>1.875</v>
      </c>
      <c r="AO15" s="8">
        <f t="shared" si="29"/>
        <v>10.3125</v>
      </c>
      <c r="AP15" s="8">
        <f t="shared" si="30"/>
        <v>137.4624</v>
      </c>
      <c r="AQ15" s="8">
        <f t="shared" si="31"/>
        <v>11192.215530232757</v>
      </c>
    </row>
    <row r="16" spans="1:43" ht="12.75">
      <c r="A16">
        <v>45</v>
      </c>
      <c r="B16">
        <v>30.96</v>
      </c>
      <c r="C16">
        <v>5.75</v>
      </c>
      <c r="D16" s="1">
        <f t="shared" si="0"/>
        <v>862.5</v>
      </c>
      <c r="E16" s="1">
        <f t="shared" si="32"/>
        <v>345</v>
      </c>
      <c r="F16" s="1">
        <f t="shared" si="1"/>
        <v>201.25</v>
      </c>
      <c r="G16" s="1">
        <f t="shared" si="2"/>
        <v>1687.625</v>
      </c>
      <c r="H16" s="1">
        <f t="shared" si="3"/>
        <v>168.76250000000002</v>
      </c>
      <c r="I16" s="1">
        <f t="shared" si="4"/>
        <v>337.52500000000003</v>
      </c>
      <c r="J16" s="1">
        <f t="shared" si="5"/>
        <v>30</v>
      </c>
      <c r="K16" s="1">
        <f t="shared" si="6"/>
        <v>37</v>
      </c>
      <c r="L16" s="1">
        <f t="shared" si="7"/>
        <v>15</v>
      </c>
      <c r="M16" s="1">
        <f t="shared" si="8"/>
        <v>19</v>
      </c>
      <c r="N16" s="8">
        <f t="shared" si="9"/>
        <v>468.75</v>
      </c>
      <c r="O16" s="8">
        <f t="shared" si="10"/>
        <v>732.2916666666667</v>
      </c>
      <c r="P16" s="2">
        <v>500</v>
      </c>
      <c r="Q16" s="1">
        <v>0</v>
      </c>
      <c r="R16" s="8">
        <f t="shared" si="11"/>
        <v>2287.625</v>
      </c>
      <c r="S16" s="8"/>
      <c r="T16" s="8"/>
      <c r="U16" s="8">
        <f>(R16*B16)/2000</f>
        <v>35.412434999999995</v>
      </c>
      <c r="V16" s="8">
        <f>(0.5*B16)*U16*0.5</f>
        <v>274.09224689999996</v>
      </c>
      <c r="W16" s="8">
        <f t="shared" si="12"/>
        <v>23.22</v>
      </c>
      <c r="X16" s="8">
        <f t="shared" si="13"/>
        <v>20.72</v>
      </c>
      <c r="Y16" s="8">
        <f t="shared" si="14"/>
        <v>0.15</v>
      </c>
      <c r="Z16" s="8">
        <f t="shared" si="15"/>
        <v>546.9</v>
      </c>
      <c r="AA16" s="8">
        <f t="shared" si="16"/>
        <v>6014.092087767415</v>
      </c>
      <c r="AB16" s="8">
        <f t="shared" si="17"/>
        <v>14.008465716278213</v>
      </c>
      <c r="AC16" s="8">
        <f t="shared" si="18"/>
        <v>137.68022964774835</v>
      </c>
      <c r="AD16" s="8">
        <f t="shared" si="19"/>
        <v>92.88</v>
      </c>
      <c r="AE16" s="8">
        <f>((8*6))+AB16</f>
        <v>62.00846571627821</v>
      </c>
      <c r="AF16" s="8">
        <f t="shared" si="20"/>
        <v>69</v>
      </c>
      <c r="AG16" s="8">
        <f t="shared" si="21"/>
        <v>3.0943603027839863</v>
      </c>
      <c r="AH16" s="8">
        <f t="shared" si="22"/>
        <v>0.8806274700341158</v>
      </c>
      <c r="AI16" s="8">
        <f t="shared" si="23"/>
        <v>0.04250132577384729</v>
      </c>
      <c r="AJ16" s="8">
        <f t="shared" si="24"/>
        <v>3.003467973031348</v>
      </c>
      <c r="AK16" s="8">
        <f t="shared" si="25"/>
        <v>0.9178681976516556</v>
      </c>
      <c r="AL16" s="8">
        <f t="shared" si="26"/>
        <v>0.9675180321376152</v>
      </c>
      <c r="AM16" s="8">
        <f t="shared" si="27"/>
        <v>3</v>
      </c>
      <c r="AN16" s="8">
        <f t="shared" si="28"/>
        <v>1.875</v>
      </c>
      <c r="AO16" s="8">
        <f t="shared" si="29"/>
        <v>10.3125</v>
      </c>
      <c r="AP16" s="8">
        <f t="shared" si="30"/>
        <v>1114.56</v>
      </c>
      <c r="AQ16" s="8">
        <f t="shared" si="31"/>
        <v>89620.20164973915</v>
      </c>
    </row>
    <row r="17" spans="1:43" ht="12.75">
      <c r="A17" s="6" t="s">
        <v>86</v>
      </c>
      <c r="B17">
        <v>30.96</v>
      </c>
      <c r="C17">
        <v>7.38</v>
      </c>
      <c r="D17" s="1">
        <f t="shared" si="0"/>
        <v>1107</v>
      </c>
      <c r="E17" s="1">
        <f t="shared" si="32"/>
        <v>442.8</v>
      </c>
      <c r="F17" s="1">
        <f t="shared" si="1"/>
        <v>258.3</v>
      </c>
      <c r="G17" s="1">
        <f t="shared" si="2"/>
        <v>2166.0299999999997</v>
      </c>
      <c r="H17" s="1">
        <f t="shared" si="3"/>
        <v>216.60299999999998</v>
      </c>
      <c r="I17" s="1">
        <f t="shared" si="4"/>
        <v>433.20599999999996</v>
      </c>
      <c r="J17" s="1">
        <f t="shared" si="5"/>
        <v>30</v>
      </c>
      <c r="K17" s="1">
        <f t="shared" si="6"/>
        <v>37</v>
      </c>
      <c r="L17" s="1">
        <f t="shared" si="7"/>
        <v>15</v>
      </c>
      <c r="M17" s="1">
        <f t="shared" si="8"/>
        <v>19</v>
      </c>
      <c r="N17" s="8">
        <f t="shared" si="9"/>
        <v>468.75</v>
      </c>
      <c r="O17" s="8">
        <f t="shared" si="10"/>
        <v>732.2916666666667</v>
      </c>
      <c r="P17" s="2">
        <v>500</v>
      </c>
      <c r="Q17" s="1">
        <v>0</v>
      </c>
      <c r="R17" s="8">
        <f t="shared" si="11"/>
        <v>2766.0299999999997</v>
      </c>
      <c r="S17" s="8">
        <v>39.23</v>
      </c>
      <c r="T17" s="8">
        <v>61.84</v>
      </c>
      <c r="U17" s="8">
        <v>41.57</v>
      </c>
      <c r="V17" s="8">
        <v>277.75</v>
      </c>
      <c r="W17" s="8">
        <f t="shared" si="12"/>
        <v>23.22</v>
      </c>
      <c r="X17" s="8">
        <f t="shared" si="13"/>
        <v>20.72</v>
      </c>
      <c r="Y17" s="8">
        <f t="shared" si="14"/>
        <v>0.15</v>
      </c>
      <c r="Z17" s="8">
        <f t="shared" si="15"/>
        <v>546.9</v>
      </c>
      <c r="AA17" s="8">
        <f t="shared" si="16"/>
        <v>6094.349972572682</v>
      </c>
      <c r="AB17" s="8">
        <f t="shared" si="17"/>
        <v>14.195408285721468</v>
      </c>
      <c r="AC17" s="8">
        <f t="shared" si="18"/>
        <v>139.51756832660016</v>
      </c>
      <c r="AD17" s="8">
        <f t="shared" si="19"/>
        <v>92.88</v>
      </c>
      <c r="AE17" s="8">
        <f>((8*6)*2)+AB17</f>
        <v>110.19540828572147</v>
      </c>
      <c r="AF17" s="8">
        <f t="shared" si="20"/>
        <v>88.56</v>
      </c>
      <c r="AG17" s="8">
        <f t="shared" si="21"/>
        <v>3.135654451443925</v>
      </c>
      <c r="AH17" s="8">
        <f t="shared" si="22"/>
        <v>0.6248315103307678</v>
      </c>
      <c r="AI17" s="8">
        <f t="shared" si="23"/>
        <v>0.030155960923299606</v>
      </c>
      <c r="AJ17" s="8">
        <f t="shared" si="24"/>
        <v>3.0244746992944447</v>
      </c>
      <c r="AK17" s="8">
        <f t="shared" si="25"/>
        <v>0.9301171221773343</v>
      </c>
      <c r="AL17" s="8">
        <f t="shared" si="26"/>
        <v>0.9804295322671627</v>
      </c>
      <c r="AM17" s="8">
        <f t="shared" si="27"/>
        <v>3.02</v>
      </c>
      <c r="AN17" s="8">
        <f t="shared" si="28"/>
        <v>1.875</v>
      </c>
      <c r="AO17" s="8">
        <f t="shared" si="29"/>
        <v>10.3125</v>
      </c>
      <c r="AP17" s="8">
        <f t="shared" si="30"/>
        <v>1121.9904</v>
      </c>
      <c r="AQ17" s="8">
        <f t="shared" si="31"/>
        <v>90816.18064627954</v>
      </c>
    </row>
    <row r="18" spans="1:43" ht="12.75">
      <c r="A18" s="6" t="s">
        <v>87</v>
      </c>
      <c r="B18">
        <v>30.96</v>
      </c>
      <c r="C18">
        <v>2.88</v>
      </c>
      <c r="D18" s="1">
        <f t="shared" si="0"/>
        <v>432</v>
      </c>
      <c r="E18" s="1">
        <f t="shared" si="32"/>
        <v>172.79999999999998</v>
      </c>
      <c r="F18" s="1">
        <f t="shared" si="1"/>
        <v>100.8</v>
      </c>
      <c r="G18" s="1">
        <f t="shared" si="2"/>
        <v>845.2799999999999</v>
      </c>
      <c r="H18" s="1">
        <f t="shared" si="3"/>
        <v>84.52799999999999</v>
      </c>
      <c r="I18" s="1">
        <f t="shared" si="4"/>
        <v>169.05599999999998</v>
      </c>
      <c r="J18" s="1">
        <f t="shared" si="5"/>
        <v>30</v>
      </c>
      <c r="K18" s="1">
        <f t="shared" si="6"/>
        <v>37</v>
      </c>
      <c r="L18" s="1">
        <f t="shared" si="7"/>
        <v>15</v>
      </c>
      <c r="M18" s="1">
        <f t="shared" si="8"/>
        <v>19</v>
      </c>
      <c r="N18" s="8">
        <f t="shared" si="9"/>
        <v>468.75</v>
      </c>
      <c r="O18" s="8">
        <f t="shared" si="10"/>
        <v>732.2916666666667</v>
      </c>
      <c r="P18" s="2">
        <v>500</v>
      </c>
      <c r="Q18" s="1">
        <v>0</v>
      </c>
      <c r="R18" s="8">
        <f t="shared" si="11"/>
        <v>1445.2799999999997</v>
      </c>
      <c r="S18" s="8">
        <v>39.23</v>
      </c>
      <c r="T18" s="8">
        <v>61.84</v>
      </c>
      <c r="U18" s="8">
        <v>41.57</v>
      </c>
      <c r="V18" s="8">
        <v>34.23</v>
      </c>
      <c r="W18" s="8">
        <f t="shared" si="12"/>
        <v>23.22</v>
      </c>
      <c r="X18" s="8">
        <f t="shared" si="13"/>
        <v>20.72</v>
      </c>
      <c r="Y18" s="8">
        <f t="shared" si="14"/>
        <v>0.15</v>
      </c>
      <c r="Z18" s="8">
        <f t="shared" si="15"/>
        <v>546.9</v>
      </c>
      <c r="AA18" s="8">
        <f t="shared" si="16"/>
        <v>751.0696653867251</v>
      </c>
      <c r="AB18" s="8">
        <f t="shared" si="17"/>
        <v>1.7494467169045753</v>
      </c>
      <c r="AC18" s="8">
        <f t="shared" si="18"/>
        <v>17.19419032878316</v>
      </c>
      <c r="AD18" s="8">
        <f t="shared" si="19"/>
        <v>92.88</v>
      </c>
      <c r="AE18" s="8">
        <f>((8*6))+AB18</f>
        <v>49.74944671690457</v>
      </c>
      <c r="AF18" s="8">
        <f t="shared" si="20"/>
        <v>34.56</v>
      </c>
      <c r="AG18" s="8">
        <f t="shared" si="21"/>
        <v>0.3864390706495969</v>
      </c>
      <c r="AH18" s="8">
        <f t="shared" si="22"/>
        <v>0.19732387185947553</v>
      </c>
      <c r="AI18" s="8">
        <f t="shared" si="23"/>
        <v>0.009523352888970828</v>
      </c>
      <c r="AJ18" s="8">
        <f t="shared" si="24"/>
        <v>0.36887357372411234</v>
      </c>
      <c r="AK18" s="8">
        <f t="shared" si="25"/>
        <v>0.11462793552522108</v>
      </c>
      <c r="AL18" s="8">
        <f t="shared" si="26"/>
        <v>0.12082845324754267</v>
      </c>
      <c r="AM18" s="8">
        <f t="shared" si="27"/>
        <v>0.37</v>
      </c>
      <c r="AN18" s="8">
        <f t="shared" si="28"/>
        <v>1.875</v>
      </c>
      <c r="AO18" s="8">
        <f t="shared" si="29"/>
        <v>10.3125</v>
      </c>
      <c r="AP18" s="8">
        <f t="shared" si="30"/>
        <v>137.4624</v>
      </c>
      <c r="AQ18" s="8">
        <f t="shared" si="31"/>
        <v>11192.215530232757</v>
      </c>
    </row>
    <row r="19" spans="1:43" ht="12.75">
      <c r="A19">
        <v>47</v>
      </c>
      <c r="B19">
        <v>29.17</v>
      </c>
      <c r="C19">
        <v>9</v>
      </c>
      <c r="D19" s="1">
        <f t="shared" si="0"/>
        <v>1350</v>
      </c>
      <c r="E19" s="1">
        <f t="shared" si="32"/>
        <v>540</v>
      </c>
      <c r="F19" s="1">
        <f t="shared" si="1"/>
        <v>315</v>
      </c>
      <c r="G19" s="1">
        <f t="shared" si="2"/>
        <v>2641.5</v>
      </c>
      <c r="H19" s="1">
        <f t="shared" si="3"/>
        <v>264.15000000000003</v>
      </c>
      <c r="I19" s="1">
        <f t="shared" si="4"/>
        <v>528.3000000000001</v>
      </c>
      <c r="J19" s="1">
        <f t="shared" si="5"/>
        <v>28</v>
      </c>
      <c r="K19" s="1">
        <f t="shared" si="6"/>
        <v>35</v>
      </c>
      <c r="L19" s="1">
        <f t="shared" si="7"/>
        <v>14</v>
      </c>
      <c r="M19" s="1">
        <f t="shared" si="8"/>
        <v>18</v>
      </c>
      <c r="N19" s="8">
        <f t="shared" si="9"/>
        <v>408.3333333333334</v>
      </c>
      <c r="O19" s="8">
        <f t="shared" si="10"/>
        <v>656.25</v>
      </c>
      <c r="P19" s="2">
        <v>500</v>
      </c>
      <c r="Q19" s="1">
        <v>0</v>
      </c>
      <c r="R19" s="8">
        <f t="shared" si="11"/>
        <v>3241.5</v>
      </c>
      <c r="S19" s="8"/>
      <c r="T19" s="8"/>
      <c r="U19" s="8">
        <f aca="true" t="shared" si="33" ref="U19:U52">(R19*B19)/2000</f>
        <v>47.277277500000004</v>
      </c>
      <c r="V19" s="8">
        <f aca="true" t="shared" si="34" ref="V19:V52">(0.5*B19)*U19*0.5</f>
        <v>344.76954616875</v>
      </c>
      <c r="W19" s="8">
        <f t="shared" si="12"/>
        <v>21.8775</v>
      </c>
      <c r="X19" s="8">
        <f t="shared" si="13"/>
        <v>19.3775</v>
      </c>
      <c r="Y19" s="8">
        <f t="shared" si="14"/>
        <v>0.15</v>
      </c>
      <c r="Z19" s="8">
        <f t="shared" si="15"/>
        <v>546.9</v>
      </c>
      <c r="AA19" s="8">
        <f t="shared" si="16"/>
        <v>7564.883075562261</v>
      </c>
      <c r="AB19" s="8">
        <f t="shared" si="17"/>
        <v>20.146830319636663</v>
      </c>
      <c r="AC19" s="8">
        <f t="shared" si="18"/>
        <v>185.1807050829808</v>
      </c>
      <c r="AD19" s="8">
        <f t="shared" si="19"/>
        <v>87.51</v>
      </c>
      <c r="AE19" s="8">
        <f>((8*6)*2)+AB19</f>
        <v>116.14683031963666</v>
      </c>
      <c r="AF19" s="8">
        <f t="shared" si="20"/>
        <v>108</v>
      </c>
      <c r="AG19" s="8">
        <f t="shared" si="21"/>
        <v>4.161932501974844</v>
      </c>
      <c r="AH19" s="8">
        <f t="shared" si="22"/>
        <v>0.8392854266016342</v>
      </c>
      <c r="AI19" s="8">
        <f t="shared" si="23"/>
        <v>0.043312368809270245</v>
      </c>
      <c r="AJ19" s="8">
        <f t="shared" si="24"/>
        <v>4.0413562326961925</v>
      </c>
      <c r="AK19" s="8">
        <f t="shared" si="25"/>
        <v>1.2345380338865386</v>
      </c>
      <c r="AL19" s="8">
        <f t="shared" si="26"/>
        <v>1.3013173483958649</v>
      </c>
      <c r="AM19" s="8">
        <f t="shared" si="27"/>
        <v>4.04</v>
      </c>
      <c r="AN19" s="8">
        <f t="shared" si="28"/>
        <v>1.875</v>
      </c>
      <c r="AO19" s="8">
        <f t="shared" si="29"/>
        <v>10.3125</v>
      </c>
      <c r="AP19" s="8">
        <f t="shared" si="30"/>
        <v>1414.1616000000001</v>
      </c>
      <c r="AQ19" s="8">
        <f t="shared" si="31"/>
        <v>111971.24969194691</v>
      </c>
    </row>
    <row r="20" spans="1:43" ht="12.75">
      <c r="A20" s="6" t="s">
        <v>135</v>
      </c>
      <c r="B20">
        <v>29.17</v>
      </c>
      <c r="C20">
        <v>4.5</v>
      </c>
      <c r="D20" s="1">
        <f t="shared" si="0"/>
        <v>675</v>
      </c>
      <c r="E20" s="1">
        <f t="shared" si="32"/>
        <v>270</v>
      </c>
      <c r="F20" s="1">
        <f t="shared" si="1"/>
        <v>157.5</v>
      </c>
      <c r="G20" s="1">
        <f t="shared" si="2"/>
        <v>1320.75</v>
      </c>
      <c r="H20" s="1">
        <f t="shared" si="3"/>
        <v>132.07500000000002</v>
      </c>
      <c r="I20" s="1">
        <f t="shared" si="4"/>
        <v>264.15000000000003</v>
      </c>
      <c r="J20" s="1">
        <f t="shared" si="5"/>
        <v>28</v>
      </c>
      <c r="K20" s="1">
        <f t="shared" si="6"/>
        <v>35</v>
      </c>
      <c r="L20" s="1">
        <f t="shared" si="7"/>
        <v>14</v>
      </c>
      <c r="M20" s="1">
        <f t="shared" si="8"/>
        <v>18</v>
      </c>
      <c r="N20" s="8">
        <f t="shared" si="9"/>
        <v>408.3333333333334</v>
      </c>
      <c r="O20" s="8">
        <f t="shared" si="10"/>
        <v>656.25</v>
      </c>
      <c r="P20" s="2">
        <v>500</v>
      </c>
      <c r="Q20" s="1">
        <v>0</v>
      </c>
      <c r="R20" s="8">
        <f t="shared" si="11"/>
        <v>1920.75</v>
      </c>
      <c r="S20" s="8"/>
      <c r="T20" s="8"/>
      <c r="U20" s="8">
        <f t="shared" si="33"/>
        <v>28.01413875</v>
      </c>
      <c r="V20" s="8">
        <f t="shared" si="34"/>
        <v>204.293106834375</v>
      </c>
      <c r="W20" s="8">
        <f t="shared" si="12"/>
        <v>21.8775</v>
      </c>
      <c r="X20" s="8">
        <f t="shared" si="13"/>
        <v>19.3775</v>
      </c>
      <c r="Y20" s="8">
        <f t="shared" si="14"/>
        <v>0.15</v>
      </c>
      <c r="Z20" s="8">
        <f t="shared" si="15"/>
        <v>546.9</v>
      </c>
      <c r="AA20" s="8">
        <f t="shared" si="16"/>
        <v>4482.569541072409</v>
      </c>
      <c r="AB20" s="8">
        <f t="shared" si="17"/>
        <v>11.937999178294655</v>
      </c>
      <c r="AC20" s="8">
        <f t="shared" si="18"/>
        <v>109.72877966624569</v>
      </c>
      <c r="AD20" s="8">
        <f t="shared" si="19"/>
        <v>87.51</v>
      </c>
      <c r="AE20" s="8">
        <f>((8*6))+AB20</f>
        <v>59.93799917829465</v>
      </c>
      <c r="AF20" s="8">
        <f t="shared" si="20"/>
        <v>54</v>
      </c>
      <c r="AG20" s="8">
        <f t="shared" si="21"/>
        <v>2.466152044784261</v>
      </c>
      <c r="AH20" s="8">
        <f t="shared" si="22"/>
        <v>0.8059320407791701</v>
      </c>
      <c r="AI20" s="8">
        <f t="shared" si="23"/>
        <v>0.04159112583043066</v>
      </c>
      <c r="AJ20" s="8">
        <f t="shared" si="24"/>
        <v>2.39259990438768</v>
      </c>
      <c r="AK20" s="8">
        <f t="shared" si="25"/>
        <v>0.7315251977749713</v>
      </c>
      <c r="AL20" s="8">
        <f t="shared" si="26"/>
        <v>0.7710952635913491</v>
      </c>
      <c r="AM20" s="8">
        <f t="shared" si="27"/>
        <v>2.39</v>
      </c>
      <c r="AN20" s="8">
        <f t="shared" si="28"/>
        <v>1.875</v>
      </c>
      <c r="AO20" s="8">
        <f t="shared" si="29"/>
        <v>10.3125</v>
      </c>
      <c r="AP20" s="8">
        <f t="shared" si="30"/>
        <v>836.5956000000001</v>
      </c>
      <c r="AQ20" s="8">
        <f t="shared" si="31"/>
        <v>66348.53550695884</v>
      </c>
    </row>
    <row r="21" spans="1:43" ht="12.75">
      <c r="A21" s="6" t="s">
        <v>136</v>
      </c>
      <c r="B21">
        <v>29.17</v>
      </c>
      <c r="C21">
        <v>4.5</v>
      </c>
      <c r="D21" s="1">
        <f t="shared" si="0"/>
        <v>675</v>
      </c>
      <c r="E21" s="1">
        <f>C21*60</f>
        <v>270</v>
      </c>
      <c r="F21" s="1">
        <f>C21*35</f>
        <v>157.5</v>
      </c>
      <c r="G21" s="1">
        <f>(1.2*D21)+(1.6*E21)+(0.5*F21)</f>
        <v>1320.75</v>
      </c>
      <c r="H21" s="1">
        <f t="shared" si="3"/>
        <v>132.07500000000002</v>
      </c>
      <c r="I21" s="1">
        <f>0.2*MAX(G21:G21)</f>
        <v>264.15000000000003</v>
      </c>
      <c r="J21" s="1">
        <f>ROUND(((0.08*B21)*12),0)</f>
        <v>28</v>
      </c>
      <c r="K21" s="1">
        <f>ROUND(((0.1*B21)*12),0)</f>
        <v>35</v>
      </c>
      <c r="L21" s="1">
        <f>ROUND((0.5*J21),0)</f>
        <v>14</v>
      </c>
      <c r="M21" s="1">
        <f>ROUND((0.5*K21),0)</f>
        <v>18</v>
      </c>
      <c r="N21" s="8">
        <f>(L21/12)*(J21/12)*150</f>
        <v>408.3333333333334</v>
      </c>
      <c r="O21" s="8">
        <f>(M21/12)*(K21/12)*150</f>
        <v>656.25</v>
      </c>
      <c r="P21" s="2">
        <v>500</v>
      </c>
      <c r="Q21" s="1">
        <v>0</v>
      </c>
      <c r="R21" s="8">
        <f>(1.2*P21)+G21</f>
        <v>1920.75</v>
      </c>
      <c r="S21" s="8"/>
      <c r="T21" s="8"/>
      <c r="U21" s="8">
        <f>(R21*B21)/2000</f>
        <v>28.01413875</v>
      </c>
      <c r="V21" s="8">
        <v>611</v>
      </c>
      <c r="W21" s="8">
        <f>(B21/16)*12</f>
        <v>21.8775</v>
      </c>
      <c r="X21" s="8">
        <f t="shared" si="13"/>
        <v>19.3775</v>
      </c>
      <c r="Y21" s="8">
        <f t="shared" si="14"/>
        <v>0.15</v>
      </c>
      <c r="Z21" s="8">
        <f t="shared" si="15"/>
        <v>546.9</v>
      </c>
      <c r="AA21" s="8">
        <f>(12000*V21)/Z21</f>
        <v>13406.472846955568</v>
      </c>
      <c r="AB21" s="8">
        <f>AA21/(X21^2)</f>
        <v>35.704178231777234</v>
      </c>
      <c r="AC21" s="8">
        <f>0.75*((((2*(4000^0.5)*AB21*X21)+(8*(4000^0.5)*AB21*X21)))/1000)</f>
        <v>328.17692880078624</v>
      </c>
      <c r="AD21" s="8">
        <f>(B21/4)*12</f>
        <v>87.51</v>
      </c>
      <c r="AE21" s="8">
        <f>((8*6))+AB21</f>
        <v>83.70417823177723</v>
      </c>
      <c r="AF21" s="8">
        <f>C21*12</f>
        <v>54</v>
      </c>
      <c r="AG21" s="8">
        <f>(V21*12000)/(0.9*60000*0.95*X21)</f>
        <v>7.37576966111145</v>
      </c>
      <c r="AH21" s="8">
        <f>(AG21*60000)/(0.85*4000*(MIN(AD21:AF21)))</f>
        <v>2.4103822421932843</v>
      </c>
      <c r="AI21" s="8">
        <f>AH21/X21</f>
        <v>0.12439077498094615</v>
      </c>
      <c r="AJ21" s="8">
        <f>(V21*12000)/(0.9*60000*(X21-(AH21/2)))</f>
        <v>7.471685556446008</v>
      </c>
      <c r="AK21" s="8">
        <f>(3*(4000^0.5)*AB21*X21)/60000</f>
        <v>2.1878461920052414</v>
      </c>
      <c r="AL21" s="8">
        <f>(200*AB21*X21)/60000</f>
        <v>2.306192378954211</v>
      </c>
      <c r="AM21" s="8">
        <f>ROUND(MAX(AJ21:AL21),2)</f>
        <v>7.47</v>
      </c>
      <c r="AN21" s="8">
        <f t="shared" si="28"/>
        <v>1.875</v>
      </c>
      <c r="AO21" s="8">
        <f t="shared" si="29"/>
        <v>10.3125</v>
      </c>
      <c r="AP21" s="8">
        <f>AM21*(B21*12)</f>
        <v>2614.7988</v>
      </c>
      <c r="AQ21" s="8">
        <f>(W21-6)*AB21*(12*B21)</f>
        <v>198435.25717986008</v>
      </c>
    </row>
    <row r="22" spans="1:43" ht="12.75">
      <c r="A22">
        <v>49</v>
      </c>
      <c r="B22">
        <v>21.63</v>
      </c>
      <c r="C22">
        <v>6.5</v>
      </c>
      <c r="D22" s="1">
        <f t="shared" si="0"/>
        <v>975</v>
      </c>
      <c r="E22" s="1">
        <f t="shared" si="32"/>
        <v>390</v>
      </c>
      <c r="F22" s="1">
        <f t="shared" si="1"/>
        <v>227.5</v>
      </c>
      <c r="G22" s="1">
        <f t="shared" si="2"/>
        <v>1907.75</v>
      </c>
      <c r="H22" s="1">
        <f t="shared" si="3"/>
        <v>190.775</v>
      </c>
      <c r="I22" s="1">
        <f t="shared" si="4"/>
        <v>381.55</v>
      </c>
      <c r="J22" s="1">
        <f t="shared" si="5"/>
        <v>21</v>
      </c>
      <c r="K22" s="1">
        <f t="shared" si="6"/>
        <v>26</v>
      </c>
      <c r="L22" s="1">
        <f t="shared" si="7"/>
        <v>11</v>
      </c>
      <c r="M22" s="1">
        <f t="shared" si="8"/>
        <v>13</v>
      </c>
      <c r="N22" s="8">
        <f t="shared" si="9"/>
        <v>240.62499999999997</v>
      </c>
      <c r="O22" s="8">
        <f t="shared" si="10"/>
        <v>352.08333333333326</v>
      </c>
      <c r="P22" s="2">
        <v>300</v>
      </c>
      <c r="Q22" s="1">
        <v>0</v>
      </c>
      <c r="R22" s="8">
        <f t="shared" si="11"/>
        <v>2267.75</v>
      </c>
      <c r="S22" s="8"/>
      <c r="T22" s="8"/>
      <c r="U22" s="8">
        <f t="shared" si="33"/>
        <v>24.52571625</v>
      </c>
      <c r="V22" s="8">
        <f t="shared" si="34"/>
        <v>132.62281062187498</v>
      </c>
      <c r="W22" s="8">
        <f t="shared" si="12"/>
        <v>16.2225</v>
      </c>
      <c r="X22" s="8">
        <f t="shared" si="13"/>
        <v>13.7225</v>
      </c>
      <c r="Y22" s="8">
        <f t="shared" si="14"/>
        <v>0.15</v>
      </c>
      <c r="Z22" s="8">
        <f t="shared" si="15"/>
        <v>546.9</v>
      </c>
      <c r="AA22" s="8">
        <f t="shared" si="16"/>
        <v>2909.9903592292917</v>
      </c>
      <c r="AB22" s="8">
        <f t="shared" si="17"/>
        <v>15.453436476845331</v>
      </c>
      <c r="AC22" s="8">
        <f t="shared" si="18"/>
        <v>100.58878671119854</v>
      </c>
      <c r="AD22" s="8">
        <f t="shared" si="19"/>
        <v>64.89</v>
      </c>
      <c r="AE22" s="8">
        <f>((8*6)*2)+AB22</f>
        <v>111.45343647684533</v>
      </c>
      <c r="AF22" s="8">
        <f t="shared" si="20"/>
        <v>78</v>
      </c>
      <c r="AG22" s="8">
        <f t="shared" si="21"/>
        <v>2.2607308928862504</v>
      </c>
      <c r="AH22" s="8">
        <f t="shared" si="22"/>
        <v>0.6148135467858504</v>
      </c>
      <c r="AI22" s="8">
        <f t="shared" si="23"/>
        <v>0.044803319131779956</v>
      </c>
      <c r="AJ22" s="8">
        <f t="shared" si="24"/>
        <v>2.1969087501603553</v>
      </c>
      <c r="AK22" s="8">
        <f t="shared" si="25"/>
        <v>0.6705919114079902</v>
      </c>
      <c r="AL22" s="8">
        <f t="shared" si="26"/>
        <v>0.7068659401783669</v>
      </c>
      <c r="AM22" s="8">
        <f t="shared" si="27"/>
        <v>2.2</v>
      </c>
      <c r="AN22" s="8">
        <f t="shared" si="28"/>
        <v>1.875</v>
      </c>
      <c r="AO22" s="8">
        <f t="shared" si="29"/>
        <v>10.3125</v>
      </c>
      <c r="AP22" s="8">
        <f t="shared" si="30"/>
        <v>571.032</v>
      </c>
      <c r="AQ22" s="8">
        <f t="shared" si="31"/>
        <v>41003.40812805416</v>
      </c>
    </row>
    <row r="23" spans="4:43" s="17" customFormat="1" ht="12.75">
      <c r="D23" s="18">
        <f t="shared" si="0"/>
        <v>0</v>
      </c>
      <c r="E23" s="18"/>
      <c r="F23" s="18">
        <f t="shared" si="1"/>
        <v>0</v>
      </c>
      <c r="G23" s="18">
        <f t="shared" si="2"/>
        <v>0</v>
      </c>
      <c r="H23" s="18"/>
      <c r="I23" s="18"/>
      <c r="J23" s="18"/>
      <c r="K23" s="18"/>
      <c r="L23" s="18"/>
      <c r="M23" s="18"/>
      <c r="N23" s="20"/>
      <c r="O23" s="20"/>
      <c r="P23" s="19"/>
      <c r="Q23" s="18">
        <v>0</v>
      </c>
      <c r="R23" s="20">
        <f t="shared" si="11"/>
        <v>0</v>
      </c>
      <c r="S23" s="20"/>
      <c r="T23" s="20"/>
      <c r="U23" s="20">
        <f t="shared" si="33"/>
        <v>0</v>
      </c>
      <c r="V23" s="20">
        <f t="shared" si="34"/>
        <v>0</v>
      </c>
      <c r="W23" s="20">
        <f t="shared" si="12"/>
        <v>0</v>
      </c>
      <c r="X23" s="20">
        <f t="shared" si="13"/>
        <v>-2.5</v>
      </c>
      <c r="Y23" s="20">
        <f t="shared" si="14"/>
        <v>0.15</v>
      </c>
      <c r="Z23" s="20">
        <f t="shared" si="15"/>
        <v>546.9</v>
      </c>
      <c r="AA23" s="20">
        <f t="shared" si="16"/>
        <v>0</v>
      </c>
      <c r="AB23" s="20">
        <f t="shared" si="17"/>
        <v>0</v>
      </c>
      <c r="AC23" s="20">
        <f t="shared" si="18"/>
        <v>0</v>
      </c>
      <c r="AD23" s="20">
        <f t="shared" si="19"/>
        <v>0</v>
      </c>
      <c r="AE23" s="20">
        <f>((8*6))+AB23</f>
        <v>48</v>
      </c>
      <c r="AF23" s="20">
        <f t="shared" si="20"/>
        <v>0</v>
      </c>
      <c r="AG23" s="20">
        <f t="shared" si="21"/>
        <v>0</v>
      </c>
      <c r="AH23" s="20" t="e">
        <f t="shared" si="22"/>
        <v>#DIV/0!</v>
      </c>
      <c r="AI23" s="20" t="e">
        <f t="shared" si="23"/>
        <v>#DIV/0!</v>
      </c>
      <c r="AJ23" s="20" t="e">
        <f t="shared" si="24"/>
        <v>#DIV/0!</v>
      </c>
      <c r="AK23" s="20">
        <f t="shared" si="25"/>
        <v>0</v>
      </c>
      <c r="AL23" s="20">
        <f t="shared" si="26"/>
        <v>0</v>
      </c>
      <c r="AM23" s="20" t="e">
        <f t="shared" si="27"/>
        <v>#DIV/0!</v>
      </c>
      <c r="AN23" s="20">
        <f t="shared" si="28"/>
        <v>1.875</v>
      </c>
      <c r="AO23" s="20">
        <f t="shared" si="29"/>
        <v>10.3125</v>
      </c>
      <c r="AP23" s="20" t="e">
        <f t="shared" si="30"/>
        <v>#DIV/0!</v>
      </c>
      <c r="AQ23" s="20">
        <f t="shared" si="31"/>
        <v>0</v>
      </c>
    </row>
    <row r="24" spans="4:43" s="17" customFormat="1" ht="12.75">
      <c r="D24" s="18">
        <f t="shared" si="0"/>
        <v>0</v>
      </c>
      <c r="E24" s="18">
        <f aca="true" t="shared" si="35" ref="E24:E64">C24*60</f>
        <v>0</v>
      </c>
      <c r="F24" s="18">
        <f t="shared" si="1"/>
        <v>0</v>
      </c>
      <c r="G24" s="18">
        <f t="shared" si="2"/>
        <v>0</v>
      </c>
      <c r="H24" s="18">
        <f aca="true" t="shared" si="36" ref="H24:H64">0.1*MAX(G24:G24)</f>
        <v>0</v>
      </c>
      <c r="I24" s="18">
        <f aca="true" t="shared" si="37" ref="I24:I64">0.2*MAX(G24:G24)</f>
        <v>0</v>
      </c>
      <c r="J24" s="18">
        <f aca="true" t="shared" si="38" ref="J24:J64">ROUND(((0.08*B24)*12),0)</f>
        <v>0</v>
      </c>
      <c r="K24" s="18">
        <f aca="true" t="shared" si="39" ref="K24:K64">ROUND(((0.1*B24)*12),0)</f>
        <v>0</v>
      </c>
      <c r="L24" s="18">
        <f aca="true" t="shared" si="40" ref="L24:L64">ROUND((0.5*J24),0)</f>
        <v>0</v>
      </c>
      <c r="M24" s="18">
        <f aca="true" t="shared" si="41" ref="M24:M64">ROUND((0.5*K24),0)</f>
        <v>0</v>
      </c>
      <c r="N24" s="20">
        <f aca="true" t="shared" si="42" ref="N24:N64">(L24/12)*(J24/12)*150</f>
        <v>0</v>
      </c>
      <c r="O24" s="20">
        <f aca="true" t="shared" si="43" ref="O24:O64">(M24/12)*(K24/12)*150</f>
        <v>0</v>
      </c>
      <c r="P24" s="19"/>
      <c r="Q24" s="18">
        <v>0</v>
      </c>
      <c r="R24" s="20">
        <f t="shared" si="11"/>
        <v>0</v>
      </c>
      <c r="S24" s="20"/>
      <c r="T24" s="20"/>
      <c r="U24" s="20">
        <f t="shared" si="33"/>
        <v>0</v>
      </c>
      <c r="V24" s="20">
        <f t="shared" si="34"/>
        <v>0</v>
      </c>
      <c r="W24" s="20">
        <f t="shared" si="12"/>
        <v>0</v>
      </c>
      <c r="X24" s="20">
        <f t="shared" si="13"/>
        <v>-2.5</v>
      </c>
      <c r="Y24" s="20">
        <f t="shared" si="14"/>
        <v>0.15</v>
      </c>
      <c r="Z24" s="20">
        <f t="shared" si="15"/>
        <v>546.9</v>
      </c>
      <c r="AA24" s="20">
        <f t="shared" si="16"/>
        <v>0</v>
      </c>
      <c r="AB24" s="20">
        <f t="shared" si="17"/>
        <v>0</v>
      </c>
      <c r="AC24" s="20">
        <f t="shared" si="18"/>
        <v>0</v>
      </c>
      <c r="AD24" s="20">
        <f t="shared" si="19"/>
        <v>0</v>
      </c>
      <c r="AE24" s="20">
        <f>((8*6)*2)+AB24</f>
        <v>96</v>
      </c>
      <c r="AF24" s="20">
        <f t="shared" si="20"/>
        <v>0</v>
      </c>
      <c r="AG24" s="20">
        <f t="shared" si="21"/>
        <v>0</v>
      </c>
      <c r="AH24" s="20" t="e">
        <f t="shared" si="22"/>
        <v>#DIV/0!</v>
      </c>
      <c r="AI24" s="20" t="e">
        <f t="shared" si="23"/>
        <v>#DIV/0!</v>
      </c>
      <c r="AJ24" s="20" t="e">
        <f t="shared" si="24"/>
        <v>#DIV/0!</v>
      </c>
      <c r="AK24" s="20">
        <f t="shared" si="25"/>
        <v>0</v>
      </c>
      <c r="AL24" s="20">
        <f t="shared" si="26"/>
        <v>0</v>
      </c>
      <c r="AM24" s="20" t="e">
        <f t="shared" si="27"/>
        <v>#DIV/0!</v>
      </c>
      <c r="AN24" s="20">
        <f t="shared" si="28"/>
        <v>1.875</v>
      </c>
      <c r="AO24" s="20">
        <f t="shared" si="29"/>
        <v>10.3125</v>
      </c>
      <c r="AP24" s="20" t="e">
        <f t="shared" si="30"/>
        <v>#DIV/0!</v>
      </c>
      <c r="AQ24" s="20">
        <f t="shared" si="31"/>
        <v>0</v>
      </c>
    </row>
    <row r="25" spans="1:43" ht="12.75">
      <c r="A25">
        <v>6</v>
      </c>
      <c r="B25">
        <v>29.66</v>
      </c>
      <c r="C25">
        <v>10.66</v>
      </c>
      <c r="D25" s="1">
        <f aca="true" t="shared" si="44" ref="D25:D64">C25*((0.5*150)+5+10+20)</f>
        <v>1172.6</v>
      </c>
      <c r="E25" s="1">
        <f t="shared" si="35"/>
        <v>639.6</v>
      </c>
      <c r="F25" s="1">
        <f t="shared" si="1"/>
        <v>373.1</v>
      </c>
      <c r="G25" s="1">
        <f t="shared" si="2"/>
        <v>2617.03</v>
      </c>
      <c r="H25" s="1">
        <f t="shared" si="36"/>
        <v>261.70300000000003</v>
      </c>
      <c r="I25" s="1">
        <f t="shared" si="37"/>
        <v>523.4060000000001</v>
      </c>
      <c r="J25" s="1">
        <f t="shared" si="38"/>
        <v>28</v>
      </c>
      <c r="K25" s="1">
        <f t="shared" si="39"/>
        <v>36</v>
      </c>
      <c r="L25" s="1">
        <f t="shared" si="40"/>
        <v>14</v>
      </c>
      <c r="M25" s="1">
        <f t="shared" si="41"/>
        <v>18</v>
      </c>
      <c r="N25" s="8">
        <f t="shared" si="42"/>
        <v>408.3333333333334</v>
      </c>
      <c r="O25" s="8">
        <f t="shared" si="43"/>
        <v>675</v>
      </c>
      <c r="P25">
        <v>400</v>
      </c>
      <c r="Q25" s="1">
        <v>0</v>
      </c>
      <c r="R25" s="8">
        <f t="shared" si="11"/>
        <v>3097.03</v>
      </c>
      <c r="S25" s="8"/>
      <c r="T25" s="8"/>
      <c r="U25" s="21">
        <f t="shared" si="33"/>
        <v>45.9289549</v>
      </c>
      <c r="V25" s="8">
        <f t="shared" si="34"/>
        <v>340.5632005835</v>
      </c>
      <c r="W25" s="8">
        <f t="shared" si="12"/>
        <v>22.245</v>
      </c>
      <c r="X25" s="8">
        <f t="shared" si="13"/>
        <v>19.745</v>
      </c>
      <c r="Y25" s="8">
        <f t="shared" si="14"/>
        <v>0.15</v>
      </c>
      <c r="Z25" s="8">
        <f t="shared" si="15"/>
        <v>546.9</v>
      </c>
      <c r="AA25" s="8">
        <f t="shared" si="16"/>
        <v>7472.588054492595</v>
      </c>
      <c r="AB25" s="8">
        <f t="shared" si="17"/>
        <v>19.1671157331761</v>
      </c>
      <c r="AC25" s="8">
        <f t="shared" si="18"/>
        <v>179.51682655125114</v>
      </c>
      <c r="AD25" s="8">
        <f t="shared" si="19"/>
        <v>88.98</v>
      </c>
      <c r="AE25" s="8">
        <f>((8*6))+AB25</f>
        <v>67.1671157331761</v>
      </c>
      <c r="AF25" s="8">
        <f t="shared" si="20"/>
        <v>127.92</v>
      </c>
      <c r="AG25" s="8">
        <f t="shared" si="21"/>
        <v>4.034636949568993</v>
      </c>
      <c r="AH25" s="8">
        <f t="shared" si="22"/>
        <v>1.0600347328218156</v>
      </c>
      <c r="AI25" s="8">
        <f t="shared" si="23"/>
        <v>0.05368623615202915</v>
      </c>
      <c r="AJ25" s="8">
        <f t="shared" si="24"/>
        <v>3.9386302180925608</v>
      </c>
      <c r="AK25" s="8">
        <f t="shared" si="25"/>
        <v>1.1967788436750073</v>
      </c>
      <c r="AL25" s="8">
        <f t="shared" si="26"/>
        <v>1.2615156671718735</v>
      </c>
      <c r="AM25" s="8">
        <f t="shared" si="27"/>
        <v>3.94</v>
      </c>
      <c r="AN25" s="8">
        <f t="shared" si="28"/>
        <v>1.875</v>
      </c>
      <c r="AO25" s="8">
        <f t="shared" si="29"/>
        <v>10.3125</v>
      </c>
      <c r="AP25" s="8">
        <f t="shared" si="30"/>
        <v>1402.3248</v>
      </c>
      <c r="AQ25" s="8">
        <f t="shared" si="31"/>
        <v>110822.73746681187</v>
      </c>
    </row>
    <row r="26" spans="1:43" ht="12.75">
      <c r="A26">
        <v>7</v>
      </c>
      <c r="B26">
        <v>29.66</v>
      </c>
      <c r="C26">
        <v>10.02</v>
      </c>
      <c r="D26" s="1">
        <f t="shared" si="44"/>
        <v>1102.2</v>
      </c>
      <c r="E26" s="1">
        <f t="shared" si="35"/>
        <v>601.1999999999999</v>
      </c>
      <c r="F26" s="1">
        <f t="shared" si="1"/>
        <v>350.7</v>
      </c>
      <c r="G26" s="1">
        <f t="shared" si="2"/>
        <v>2459.91</v>
      </c>
      <c r="H26" s="1">
        <f t="shared" si="36"/>
        <v>245.99099999999999</v>
      </c>
      <c r="I26" s="1">
        <f t="shared" si="37"/>
        <v>491.98199999999997</v>
      </c>
      <c r="J26" s="1">
        <f t="shared" si="38"/>
        <v>28</v>
      </c>
      <c r="K26" s="1">
        <f t="shared" si="39"/>
        <v>36</v>
      </c>
      <c r="L26" s="1">
        <f t="shared" si="40"/>
        <v>14</v>
      </c>
      <c r="M26" s="1">
        <f t="shared" si="41"/>
        <v>18</v>
      </c>
      <c r="N26" s="8">
        <f t="shared" si="42"/>
        <v>408.3333333333334</v>
      </c>
      <c r="O26" s="8">
        <f t="shared" si="43"/>
        <v>675</v>
      </c>
      <c r="P26">
        <v>400</v>
      </c>
      <c r="Q26" s="1">
        <v>0</v>
      </c>
      <c r="R26" s="8">
        <f t="shared" si="11"/>
        <v>2939.91</v>
      </c>
      <c r="S26" s="8"/>
      <c r="T26" s="8"/>
      <c r="U26" s="21">
        <f t="shared" si="33"/>
        <v>43.5988653</v>
      </c>
      <c r="V26" s="8">
        <f t="shared" si="34"/>
        <v>323.2855861995</v>
      </c>
      <c r="W26" s="8">
        <f t="shared" si="12"/>
        <v>22.245</v>
      </c>
      <c r="X26" s="8">
        <f t="shared" si="13"/>
        <v>19.745</v>
      </c>
      <c r="Y26" s="8">
        <f t="shared" si="14"/>
        <v>0.15</v>
      </c>
      <c r="Z26" s="8">
        <f t="shared" si="15"/>
        <v>546.9</v>
      </c>
      <c r="AA26" s="8">
        <f t="shared" si="16"/>
        <v>7093.485160713111</v>
      </c>
      <c r="AB26" s="8">
        <f t="shared" si="17"/>
        <v>18.194720495158833</v>
      </c>
      <c r="AC26" s="8">
        <f t="shared" si="18"/>
        <v>170.40949346512264</v>
      </c>
      <c r="AD26" s="8">
        <f t="shared" si="19"/>
        <v>88.98</v>
      </c>
      <c r="AE26" s="8">
        <f>((8*6)*2)+AB26</f>
        <v>114.19472049515883</v>
      </c>
      <c r="AF26" s="8">
        <f t="shared" si="20"/>
        <v>120.24</v>
      </c>
      <c r="AG26" s="8">
        <f t="shared" si="21"/>
        <v>3.8299498275468364</v>
      </c>
      <c r="AH26" s="8">
        <f t="shared" si="22"/>
        <v>0.7595791177555108</v>
      </c>
      <c r="AI26" s="8">
        <f t="shared" si="23"/>
        <v>0.03846944126389014</v>
      </c>
      <c r="AJ26" s="8">
        <f t="shared" si="24"/>
        <v>3.7098094852153523</v>
      </c>
      <c r="AK26" s="8">
        <f t="shared" si="25"/>
        <v>1.1360632897674843</v>
      </c>
      <c r="AL26" s="8">
        <f t="shared" si="26"/>
        <v>1.1975158539230373</v>
      </c>
      <c r="AM26" s="8">
        <f t="shared" si="27"/>
        <v>3.71</v>
      </c>
      <c r="AN26" s="8">
        <f t="shared" si="28"/>
        <v>1.875</v>
      </c>
      <c r="AO26" s="8">
        <f t="shared" si="29"/>
        <v>10.3125</v>
      </c>
      <c r="AP26" s="8">
        <f t="shared" si="30"/>
        <v>1320.4632000000001</v>
      </c>
      <c r="AQ26" s="8">
        <f t="shared" si="31"/>
        <v>105200.42560325697</v>
      </c>
    </row>
    <row r="27" spans="1:43" ht="12.75">
      <c r="A27">
        <v>8</v>
      </c>
      <c r="B27">
        <v>29.66</v>
      </c>
      <c r="C27">
        <v>10.38</v>
      </c>
      <c r="D27" s="1">
        <f t="shared" si="44"/>
        <v>1141.8000000000002</v>
      </c>
      <c r="E27" s="1">
        <f t="shared" si="35"/>
        <v>622.8000000000001</v>
      </c>
      <c r="F27" s="1">
        <f t="shared" si="1"/>
        <v>363.3</v>
      </c>
      <c r="G27" s="1">
        <f t="shared" si="2"/>
        <v>2548.2900000000004</v>
      </c>
      <c r="H27" s="1">
        <f t="shared" si="36"/>
        <v>254.82900000000006</v>
      </c>
      <c r="I27" s="1">
        <f t="shared" si="37"/>
        <v>509.65800000000013</v>
      </c>
      <c r="J27" s="1">
        <f t="shared" si="38"/>
        <v>28</v>
      </c>
      <c r="K27" s="1">
        <f t="shared" si="39"/>
        <v>36</v>
      </c>
      <c r="L27" s="1">
        <f t="shared" si="40"/>
        <v>14</v>
      </c>
      <c r="M27" s="1">
        <f t="shared" si="41"/>
        <v>18</v>
      </c>
      <c r="N27" s="8">
        <f t="shared" si="42"/>
        <v>408.3333333333334</v>
      </c>
      <c r="O27" s="8">
        <f t="shared" si="43"/>
        <v>675</v>
      </c>
      <c r="P27">
        <v>400</v>
      </c>
      <c r="Q27" s="1">
        <v>0</v>
      </c>
      <c r="R27" s="8">
        <f t="shared" si="11"/>
        <v>3028.2900000000004</v>
      </c>
      <c r="S27" s="8"/>
      <c r="T27" s="8"/>
      <c r="U27" s="21">
        <f t="shared" si="33"/>
        <v>44.90954070000001</v>
      </c>
      <c r="V27" s="8">
        <f t="shared" si="34"/>
        <v>333.0042442905001</v>
      </c>
      <c r="W27" s="8">
        <f t="shared" si="12"/>
        <v>22.245</v>
      </c>
      <c r="X27" s="8">
        <f t="shared" si="13"/>
        <v>19.745</v>
      </c>
      <c r="Y27" s="8">
        <f t="shared" si="14"/>
        <v>0.15</v>
      </c>
      <c r="Z27" s="8">
        <f t="shared" si="15"/>
        <v>546.9</v>
      </c>
      <c r="AA27" s="8">
        <f t="shared" si="16"/>
        <v>7306.730538464072</v>
      </c>
      <c r="AB27" s="8">
        <f t="shared" si="17"/>
        <v>18.741692816543548</v>
      </c>
      <c r="AC27" s="8">
        <f t="shared" si="18"/>
        <v>175.53236832606993</v>
      </c>
      <c r="AD27" s="8">
        <f t="shared" si="19"/>
        <v>88.98</v>
      </c>
      <c r="AE27" s="8">
        <f>((8*6))+AB27</f>
        <v>66.74169281654355</v>
      </c>
      <c r="AF27" s="8">
        <f t="shared" si="20"/>
        <v>124.56</v>
      </c>
      <c r="AG27" s="8">
        <f t="shared" si="21"/>
        <v>3.9450863336843</v>
      </c>
      <c r="AH27" s="8">
        <f t="shared" si="22"/>
        <v>1.0431136469042634</v>
      </c>
      <c r="AI27" s="8">
        <f t="shared" si="23"/>
        <v>0.052829255350937625</v>
      </c>
      <c r="AJ27" s="8">
        <f t="shared" si="24"/>
        <v>3.849515536631129</v>
      </c>
      <c r="AK27" s="8">
        <f t="shared" si="25"/>
        <v>1.170215788840466</v>
      </c>
      <c r="AL27" s="8">
        <f t="shared" si="26"/>
        <v>1.233515748875508</v>
      </c>
      <c r="AM27" s="8">
        <f t="shared" si="27"/>
        <v>3.85</v>
      </c>
      <c r="AN27" s="8">
        <f t="shared" si="28"/>
        <v>1.875</v>
      </c>
      <c r="AO27" s="8">
        <f t="shared" si="29"/>
        <v>10.3125</v>
      </c>
      <c r="AP27" s="8">
        <f t="shared" si="30"/>
        <v>1370.2920000000001</v>
      </c>
      <c r="AQ27" s="8">
        <f t="shared" si="31"/>
        <v>108362.97602650661</v>
      </c>
    </row>
    <row r="28" spans="1:43" ht="12.75">
      <c r="A28">
        <v>9</v>
      </c>
      <c r="B28">
        <v>29.66</v>
      </c>
      <c r="C28">
        <v>9.69</v>
      </c>
      <c r="D28" s="1">
        <f t="shared" si="44"/>
        <v>1065.8999999999999</v>
      </c>
      <c r="E28" s="1">
        <f t="shared" si="35"/>
        <v>581.4</v>
      </c>
      <c r="F28" s="1">
        <f t="shared" si="1"/>
        <v>339.15</v>
      </c>
      <c r="G28" s="1">
        <f t="shared" si="2"/>
        <v>2378.8949999999995</v>
      </c>
      <c r="H28" s="1">
        <f t="shared" si="36"/>
        <v>237.88949999999997</v>
      </c>
      <c r="I28" s="1">
        <f t="shared" si="37"/>
        <v>475.77899999999994</v>
      </c>
      <c r="J28" s="1">
        <f t="shared" si="38"/>
        <v>28</v>
      </c>
      <c r="K28" s="1">
        <f t="shared" si="39"/>
        <v>36</v>
      </c>
      <c r="L28" s="1">
        <f t="shared" si="40"/>
        <v>14</v>
      </c>
      <c r="M28" s="1">
        <f t="shared" si="41"/>
        <v>18</v>
      </c>
      <c r="N28" s="8">
        <f t="shared" si="42"/>
        <v>408.3333333333334</v>
      </c>
      <c r="O28" s="8">
        <f t="shared" si="43"/>
        <v>675</v>
      </c>
      <c r="P28">
        <v>400</v>
      </c>
      <c r="Q28" s="1">
        <v>0</v>
      </c>
      <c r="R28" s="8">
        <f t="shared" si="11"/>
        <v>2858.8949999999995</v>
      </c>
      <c r="S28" s="8"/>
      <c r="T28" s="8"/>
      <c r="U28" s="21">
        <f t="shared" si="33"/>
        <v>42.397412849999995</v>
      </c>
      <c r="V28" s="8">
        <f t="shared" si="34"/>
        <v>314.37681628275</v>
      </c>
      <c r="W28" s="8">
        <f t="shared" si="12"/>
        <v>22.245</v>
      </c>
      <c r="X28" s="8">
        <f t="shared" si="13"/>
        <v>19.745</v>
      </c>
      <c r="Y28" s="8">
        <f t="shared" si="14"/>
        <v>0.15</v>
      </c>
      <c r="Z28" s="8">
        <f t="shared" si="15"/>
        <v>546.9</v>
      </c>
      <c r="AA28" s="8">
        <f t="shared" si="16"/>
        <v>6898.010231108064</v>
      </c>
      <c r="AB28" s="8">
        <f t="shared" si="17"/>
        <v>17.693329200556175</v>
      </c>
      <c r="AC28" s="8">
        <f t="shared" si="18"/>
        <v>165.7135248425876</v>
      </c>
      <c r="AD28" s="8">
        <f t="shared" si="19"/>
        <v>88.98</v>
      </c>
      <c r="AE28" s="8">
        <f>((8*6)*2)+AB28</f>
        <v>113.69332920055618</v>
      </c>
      <c r="AF28" s="8">
        <f t="shared" si="20"/>
        <v>116.28</v>
      </c>
      <c r="AG28" s="8">
        <f t="shared" si="21"/>
        <v>3.7244080302541613</v>
      </c>
      <c r="AH28" s="8">
        <f t="shared" si="22"/>
        <v>0.7386474218107496</v>
      </c>
      <c r="AI28" s="8">
        <f t="shared" si="23"/>
        <v>0.037409340177804486</v>
      </c>
      <c r="AJ28" s="8">
        <f t="shared" si="24"/>
        <v>3.605629743557428</v>
      </c>
      <c r="AK28" s="8">
        <f t="shared" si="25"/>
        <v>1.1047568322839174</v>
      </c>
      <c r="AL28" s="8">
        <f t="shared" si="26"/>
        <v>1.1645159502166056</v>
      </c>
      <c r="AM28" s="8">
        <f t="shared" si="27"/>
        <v>3.61</v>
      </c>
      <c r="AN28" s="8">
        <f t="shared" si="28"/>
        <v>1.875</v>
      </c>
      <c r="AO28" s="8">
        <f t="shared" si="29"/>
        <v>10.3125</v>
      </c>
      <c r="AP28" s="8">
        <f t="shared" si="30"/>
        <v>1284.8712</v>
      </c>
      <c r="AQ28" s="8">
        <f t="shared" si="31"/>
        <v>102301.42104861146</v>
      </c>
    </row>
    <row r="29" spans="1:43" ht="12.75">
      <c r="A29">
        <v>10</v>
      </c>
      <c r="B29">
        <v>29.66</v>
      </c>
      <c r="C29">
        <v>8</v>
      </c>
      <c r="D29" s="1">
        <f t="shared" si="44"/>
        <v>880</v>
      </c>
      <c r="E29" s="1">
        <f t="shared" si="35"/>
        <v>480</v>
      </c>
      <c r="F29" s="1">
        <f t="shared" si="1"/>
        <v>280</v>
      </c>
      <c r="G29" s="1">
        <f t="shared" si="2"/>
        <v>1964</v>
      </c>
      <c r="H29" s="1">
        <f t="shared" si="36"/>
        <v>196.4</v>
      </c>
      <c r="I29" s="1">
        <f t="shared" si="37"/>
        <v>392.8</v>
      </c>
      <c r="J29" s="1">
        <f t="shared" si="38"/>
        <v>28</v>
      </c>
      <c r="K29" s="1">
        <f t="shared" si="39"/>
        <v>36</v>
      </c>
      <c r="L29" s="1">
        <f t="shared" si="40"/>
        <v>14</v>
      </c>
      <c r="M29" s="1">
        <f t="shared" si="41"/>
        <v>18</v>
      </c>
      <c r="N29" s="8">
        <f t="shared" si="42"/>
        <v>408.3333333333334</v>
      </c>
      <c r="O29" s="8">
        <f t="shared" si="43"/>
        <v>675</v>
      </c>
      <c r="P29">
        <v>400</v>
      </c>
      <c r="Q29" s="1">
        <v>0</v>
      </c>
      <c r="R29" s="8">
        <f t="shared" si="11"/>
        <v>2444</v>
      </c>
      <c r="S29" s="8"/>
      <c r="T29" s="8"/>
      <c r="U29" s="21">
        <f t="shared" si="33"/>
        <v>36.244519999999994</v>
      </c>
      <c r="V29" s="8">
        <f t="shared" si="34"/>
        <v>268.75311579999993</v>
      </c>
      <c r="W29" s="8">
        <f t="shared" si="12"/>
        <v>22.245</v>
      </c>
      <c r="X29" s="8">
        <f t="shared" si="13"/>
        <v>19.745</v>
      </c>
      <c r="Y29" s="8">
        <f t="shared" si="14"/>
        <v>0.15</v>
      </c>
      <c r="Z29" s="8">
        <f t="shared" si="15"/>
        <v>546.9</v>
      </c>
      <c r="AA29" s="8">
        <f t="shared" si="16"/>
        <v>5896.941652221612</v>
      </c>
      <c r="AB29" s="8">
        <f t="shared" si="17"/>
        <v>15.125598025166815</v>
      </c>
      <c r="AC29" s="8">
        <f t="shared" si="18"/>
        <v>141.66447341202945</v>
      </c>
      <c r="AD29" s="8">
        <f t="shared" si="19"/>
        <v>88.98</v>
      </c>
      <c r="AE29" s="8">
        <f>((8*6))+AB29</f>
        <v>63.125598025166816</v>
      </c>
      <c r="AF29" s="8">
        <f t="shared" si="20"/>
        <v>96</v>
      </c>
      <c r="AG29" s="8">
        <f t="shared" si="21"/>
        <v>3.183906098664403</v>
      </c>
      <c r="AH29" s="8">
        <f t="shared" si="22"/>
        <v>0.8900759750319416</v>
      </c>
      <c r="AI29" s="8">
        <f t="shared" si="23"/>
        <v>0.0450785502675078</v>
      </c>
      <c r="AJ29" s="8">
        <f t="shared" si="24"/>
        <v>3.0944576255430403</v>
      </c>
      <c r="AK29" s="8">
        <f t="shared" si="25"/>
        <v>0.9444298227468632</v>
      </c>
      <c r="AL29" s="8">
        <f t="shared" si="26"/>
        <v>0.9955164433563959</v>
      </c>
      <c r="AM29" s="8">
        <f t="shared" si="27"/>
        <v>3.09</v>
      </c>
      <c r="AN29" s="8">
        <f t="shared" si="28"/>
        <v>1.875</v>
      </c>
      <c r="AO29" s="8">
        <f t="shared" si="29"/>
        <v>10.3125</v>
      </c>
      <c r="AP29" s="8">
        <f t="shared" si="30"/>
        <v>1099.7928</v>
      </c>
      <c r="AQ29" s="8">
        <f t="shared" si="31"/>
        <v>87455.00378391173</v>
      </c>
    </row>
    <row r="30" spans="1:43" ht="12.75">
      <c r="A30">
        <v>11</v>
      </c>
      <c r="B30">
        <v>29.66</v>
      </c>
      <c r="C30">
        <v>8</v>
      </c>
      <c r="D30" s="1">
        <f t="shared" si="44"/>
        <v>880</v>
      </c>
      <c r="E30" s="1">
        <f t="shared" si="35"/>
        <v>480</v>
      </c>
      <c r="F30" s="1">
        <f t="shared" si="1"/>
        <v>280</v>
      </c>
      <c r="G30" s="1">
        <f t="shared" si="2"/>
        <v>1964</v>
      </c>
      <c r="H30" s="1">
        <f t="shared" si="36"/>
        <v>196.4</v>
      </c>
      <c r="I30" s="1">
        <f t="shared" si="37"/>
        <v>392.8</v>
      </c>
      <c r="J30" s="1">
        <f t="shared" si="38"/>
        <v>28</v>
      </c>
      <c r="K30" s="1">
        <f t="shared" si="39"/>
        <v>36</v>
      </c>
      <c r="L30" s="1">
        <f t="shared" si="40"/>
        <v>14</v>
      </c>
      <c r="M30" s="1">
        <f t="shared" si="41"/>
        <v>18</v>
      </c>
      <c r="N30" s="8">
        <f t="shared" si="42"/>
        <v>408.3333333333334</v>
      </c>
      <c r="O30" s="8">
        <f t="shared" si="43"/>
        <v>675</v>
      </c>
      <c r="P30">
        <v>400</v>
      </c>
      <c r="Q30" s="1">
        <v>0</v>
      </c>
      <c r="R30" s="8">
        <f t="shared" si="11"/>
        <v>2444</v>
      </c>
      <c r="S30" s="8"/>
      <c r="T30" s="8"/>
      <c r="U30" s="21">
        <f t="shared" si="33"/>
        <v>36.244519999999994</v>
      </c>
      <c r="V30" s="8">
        <f t="shared" si="34"/>
        <v>268.75311579999993</v>
      </c>
      <c r="W30" s="8">
        <f t="shared" si="12"/>
        <v>22.245</v>
      </c>
      <c r="X30" s="8">
        <f t="shared" si="13"/>
        <v>19.745</v>
      </c>
      <c r="Y30" s="8">
        <f t="shared" si="14"/>
        <v>0.15</v>
      </c>
      <c r="Z30" s="8">
        <f t="shared" si="15"/>
        <v>546.9</v>
      </c>
      <c r="AA30" s="8">
        <f t="shared" si="16"/>
        <v>5896.941652221612</v>
      </c>
      <c r="AB30" s="8">
        <f t="shared" si="17"/>
        <v>15.125598025166815</v>
      </c>
      <c r="AC30" s="8">
        <f t="shared" si="18"/>
        <v>141.66447341202945</v>
      </c>
      <c r="AD30" s="8">
        <f t="shared" si="19"/>
        <v>88.98</v>
      </c>
      <c r="AE30" s="8">
        <f>((8*6)*2)+AB30</f>
        <v>111.12559802516681</v>
      </c>
      <c r="AF30" s="8">
        <f t="shared" si="20"/>
        <v>96</v>
      </c>
      <c r="AG30" s="8">
        <f t="shared" si="21"/>
        <v>3.183906098664403</v>
      </c>
      <c r="AH30" s="8">
        <f t="shared" si="22"/>
        <v>0.6314517668209121</v>
      </c>
      <c r="AI30" s="8">
        <f t="shared" si="23"/>
        <v>0.03198033764603252</v>
      </c>
      <c r="AJ30" s="8">
        <f t="shared" si="24"/>
        <v>3.0738623719981506</v>
      </c>
      <c r="AK30" s="8">
        <f t="shared" si="25"/>
        <v>0.9444298227468632</v>
      </c>
      <c r="AL30" s="8">
        <f t="shared" si="26"/>
        <v>0.9955164433563959</v>
      </c>
      <c r="AM30" s="8">
        <f t="shared" si="27"/>
        <v>3.07</v>
      </c>
      <c r="AN30" s="8">
        <f t="shared" si="28"/>
        <v>1.875</v>
      </c>
      <c r="AO30" s="8">
        <f t="shared" si="29"/>
        <v>10.3125</v>
      </c>
      <c r="AP30" s="8">
        <f t="shared" si="30"/>
        <v>1092.6744</v>
      </c>
      <c r="AQ30" s="8">
        <f t="shared" si="31"/>
        <v>87455.00378391173</v>
      </c>
    </row>
    <row r="31" spans="1:43" ht="12.75">
      <c r="A31">
        <v>22</v>
      </c>
      <c r="B31">
        <v>22.5</v>
      </c>
      <c r="C31">
        <v>6.46</v>
      </c>
      <c r="D31" s="1">
        <f t="shared" si="44"/>
        <v>710.6</v>
      </c>
      <c r="E31" s="1">
        <f t="shared" si="35"/>
        <v>387.6</v>
      </c>
      <c r="F31" s="1">
        <f t="shared" si="1"/>
        <v>226.1</v>
      </c>
      <c r="G31" s="1">
        <f t="shared" si="2"/>
        <v>1585.93</v>
      </c>
      <c r="H31" s="1">
        <f t="shared" si="36"/>
        <v>158.59300000000002</v>
      </c>
      <c r="I31" s="1">
        <f t="shared" si="37"/>
        <v>317.18600000000004</v>
      </c>
      <c r="J31" s="1">
        <f t="shared" si="38"/>
        <v>22</v>
      </c>
      <c r="K31" s="1">
        <f t="shared" si="39"/>
        <v>27</v>
      </c>
      <c r="L31" s="1">
        <f t="shared" si="40"/>
        <v>11</v>
      </c>
      <c r="M31" s="1">
        <f t="shared" si="41"/>
        <v>14</v>
      </c>
      <c r="N31" s="8">
        <f t="shared" si="42"/>
        <v>252.08333333333331</v>
      </c>
      <c r="O31" s="8">
        <f t="shared" si="43"/>
        <v>393.75</v>
      </c>
      <c r="P31">
        <v>300</v>
      </c>
      <c r="Q31" s="1">
        <v>0</v>
      </c>
      <c r="R31" s="8">
        <f t="shared" si="11"/>
        <v>1945.93</v>
      </c>
      <c r="S31" s="8"/>
      <c r="T31" s="8"/>
      <c r="U31" s="21">
        <f t="shared" si="33"/>
        <v>21.8917125</v>
      </c>
      <c r="V31" s="8">
        <f t="shared" si="34"/>
        <v>123.14088281250001</v>
      </c>
      <c r="W31" s="8">
        <f t="shared" si="12"/>
        <v>16.875</v>
      </c>
      <c r="X31" s="8">
        <f t="shared" si="13"/>
        <v>14.375</v>
      </c>
      <c r="Y31" s="8">
        <f t="shared" si="14"/>
        <v>0.15</v>
      </c>
      <c r="Z31" s="8">
        <f t="shared" si="15"/>
        <v>546.9</v>
      </c>
      <c r="AA31" s="8">
        <f t="shared" si="16"/>
        <v>2701.939282775645</v>
      </c>
      <c r="AB31" s="8">
        <f t="shared" si="17"/>
        <v>13.07554737978384</v>
      </c>
      <c r="AC31" s="8">
        <f t="shared" si="18"/>
        <v>89.15772764924655</v>
      </c>
      <c r="AD31" s="8">
        <f t="shared" si="19"/>
        <v>67.5</v>
      </c>
      <c r="AE31" s="8">
        <f>((8*6))+AB31</f>
        <v>61.07554737978384</v>
      </c>
      <c r="AF31" s="8">
        <f t="shared" si="20"/>
        <v>77.52</v>
      </c>
      <c r="AG31" s="8">
        <f t="shared" si="21"/>
        <v>2.0038180778032038</v>
      </c>
      <c r="AH31" s="8">
        <f t="shared" si="22"/>
        <v>0.5789795917956768</v>
      </c>
      <c r="AI31" s="8">
        <f t="shared" si="23"/>
        <v>0.04027684116839491</v>
      </c>
      <c r="AJ31" s="8">
        <f t="shared" si="24"/>
        <v>1.9427511129153507</v>
      </c>
      <c r="AK31" s="8">
        <f t="shared" si="25"/>
        <v>0.5943848509949772</v>
      </c>
      <c r="AL31" s="8">
        <f t="shared" si="26"/>
        <v>0.626536645281309</v>
      </c>
      <c r="AM31" s="8">
        <f t="shared" si="27"/>
        <v>1.94</v>
      </c>
      <c r="AN31" s="8">
        <f t="shared" si="28"/>
        <v>1.875</v>
      </c>
      <c r="AO31" s="8">
        <f t="shared" si="29"/>
        <v>10.3125</v>
      </c>
      <c r="AP31" s="8">
        <f t="shared" si="30"/>
        <v>523.8</v>
      </c>
      <c r="AQ31" s="8">
        <f t="shared" si="31"/>
        <v>38393.0759938903</v>
      </c>
    </row>
    <row r="32" spans="1:43" ht="12.75">
      <c r="A32" s="6" t="s">
        <v>125</v>
      </c>
      <c r="B32">
        <v>22.5</v>
      </c>
      <c r="C32">
        <v>7.07</v>
      </c>
      <c r="D32" s="1">
        <f t="shared" si="44"/>
        <v>777.7</v>
      </c>
      <c r="E32" s="1">
        <f t="shared" si="35"/>
        <v>424.20000000000005</v>
      </c>
      <c r="F32" s="1">
        <f t="shared" si="1"/>
        <v>247.45000000000002</v>
      </c>
      <c r="G32" s="1">
        <f t="shared" si="2"/>
        <v>1735.685</v>
      </c>
      <c r="H32" s="1">
        <f t="shared" si="36"/>
        <v>173.5685</v>
      </c>
      <c r="I32" s="1">
        <f t="shared" si="37"/>
        <v>347.137</v>
      </c>
      <c r="J32" s="1">
        <f t="shared" si="38"/>
        <v>22</v>
      </c>
      <c r="K32" s="1">
        <f t="shared" si="39"/>
        <v>27</v>
      </c>
      <c r="L32" s="1">
        <f t="shared" si="40"/>
        <v>11</v>
      </c>
      <c r="M32" s="1">
        <f t="shared" si="41"/>
        <v>14</v>
      </c>
      <c r="N32" s="8">
        <f t="shared" si="42"/>
        <v>252.08333333333331</v>
      </c>
      <c r="O32" s="8">
        <f t="shared" si="43"/>
        <v>393.75</v>
      </c>
      <c r="P32">
        <v>300</v>
      </c>
      <c r="Q32" s="1">
        <v>0</v>
      </c>
      <c r="R32" s="8">
        <f t="shared" si="11"/>
        <v>2095.685</v>
      </c>
      <c r="S32" s="8"/>
      <c r="T32" s="8"/>
      <c r="U32" s="21">
        <f t="shared" si="33"/>
        <v>23.57645625</v>
      </c>
      <c r="V32" s="8">
        <f t="shared" si="34"/>
        <v>132.61756640625</v>
      </c>
      <c r="W32" s="8">
        <f t="shared" si="12"/>
        <v>16.875</v>
      </c>
      <c r="X32" s="8">
        <f t="shared" si="13"/>
        <v>14.375</v>
      </c>
      <c r="Y32" s="8">
        <f t="shared" si="14"/>
        <v>0.15</v>
      </c>
      <c r="Z32" s="8">
        <f t="shared" si="15"/>
        <v>546.9</v>
      </c>
      <c r="AA32" s="8">
        <f t="shared" si="16"/>
        <v>2909.8752914152496</v>
      </c>
      <c r="AB32" s="8">
        <f t="shared" si="17"/>
        <v>14.081816155053003</v>
      </c>
      <c r="AC32" s="8">
        <f t="shared" si="18"/>
        <v>96.01913350871368</v>
      </c>
      <c r="AD32" s="8">
        <f t="shared" si="19"/>
        <v>67.5</v>
      </c>
      <c r="AE32" s="8">
        <f>((8*6)*2)+AB32</f>
        <v>110.081816155053</v>
      </c>
      <c r="AF32" s="8">
        <f t="shared" si="20"/>
        <v>84.84</v>
      </c>
      <c r="AG32" s="8">
        <f t="shared" si="21"/>
        <v>2.158028032036613</v>
      </c>
      <c r="AH32" s="8">
        <f t="shared" si="22"/>
        <v>0.5641903351729708</v>
      </c>
      <c r="AI32" s="8">
        <f t="shared" si="23"/>
        <v>0.039248023316380574</v>
      </c>
      <c r="AJ32" s="8">
        <f t="shared" si="24"/>
        <v>2.091163650287202</v>
      </c>
      <c r="AK32" s="8">
        <f t="shared" si="25"/>
        <v>0.640127556724758</v>
      </c>
      <c r="AL32" s="8">
        <f t="shared" si="26"/>
        <v>0.6747536907629563</v>
      </c>
      <c r="AM32" s="8">
        <f t="shared" si="27"/>
        <v>2.09</v>
      </c>
      <c r="AN32" s="8">
        <f t="shared" si="28"/>
        <v>1.875</v>
      </c>
      <c r="AO32" s="8">
        <f t="shared" si="29"/>
        <v>10.3125</v>
      </c>
      <c r="AP32" s="8">
        <f t="shared" si="30"/>
        <v>564.3</v>
      </c>
      <c r="AQ32" s="8">
        <f t="shared" si="31"/>
        <v>41347.73268527438</v>
      </c>
    </row>
    <row r="33" spans="1:43" ht="12.75">
      <c r="A33" s="6" t="s">
        <v>126</v>
      </c>
      <c r="B33">
        <v>22.5</v>
      </c>
      <c r="C33">
        <v>7.07</v>
      </c>
      <c r="D33" s="1">
        <f t="shared" si="44"/>
        <v>777.7</v>
      </c>
      <c r="E33" s="1">
        <f>C33*60</f>
        <v>424.20000000000005</v>
      </c>
      <c r="F33" s="1">
        <f>C33*35</f>
        <v>247.45000000000002</v>
      </c>
      <c r="G33" s="1">
        <f>(1.2*D33)+(1.6*E33)+(0.5*F33)</f>
        <v>1735.685</v>
      </c>
      <c r="H33" s="1">
        <f t="shared" si="36"/>
        <v>173.5685</v>
      </c>
      <c r="I33" s="1">
        <f>0.2*MAX(G33:G33)</f>
        <v>347.137</v>
      </c>
      <c r="J33" s="1">
        <f>ROUND(((0.08*B33)*12),0)</f>
        <v>22</v>
      </c>
      <c r="K33" s="1">
        <f>ROUND(((0.1*B33)*12),0)</f>
        <v>27</v>
      </c>
      <c r="L33" s="1">
        <f>ROUND((0.5*J33),0)</f>
        <v>11</v>
      </c>
      <c r="M33" s="1">
        <f>ROUND((0.5*K33),0)</f>
        <v>14</v>
      </c>
      <c r="N33" s="8">
        <f>(L33/12)*(J33/12)*150</f>
        <v>252.08333333333331</v>
      </c>
      <c r="O33" s="8">
        <f>(M33/12)*(K33/12)*150</f>
        <v>393.75</v>
      </c>
      <c r="P33">
        <v>300</v>
      </c>
      <c r="Q33" s="1">
        <v>0</v>
      </c>
      <c r="R33" s="8">
        <f>(1.2*P33)+G33</f>
        <v>2095.685</v>
      </c>
      <c r="S33" s="8"/>
      <c r="T33" s="8"/>
      <c r="U33" s="21">
        <f>(R33*B33)/2000</f>
        <v>23.57645625</v>
      </c>
      <c r="V33" s="8">
        <v>611</v>
      </c>
      <c r="W33" s="8">
        <f>(B33/16)*12</f>
        <v>16.875</v>
      </c>
      <c r="X33" s="8">
        <f t="shared" si="13"/>
        <v>14.375</v>
      </c>
      <c r="Y33" s="8">
        <f t="shared" si="14"/>
        <v>0.15</v>
      </c>
      <c r="Z33" s="8">
        <f t="shared" si="15"/>
        <v>546.9</v>
      </c>
      <c r="AA33" s="8">
        <f>(12000*V33)/Z33</f>
        <v>13406.472846955568</v>
      </c>
      <c r="AB33" s="8">
        <f>AA33/(X33^2)</f>
        <v>64.87820508167535</v>
      </c>
      <c r="AC33" s="8">
        <f>0.75*((((2*(4000^0.5)*AB33*X33)+(8*(4000^0.5)*AB33*X33)))/1000)</f>
        <v>442.3825000234599</v>
      </c>
      <c r="AD33" s="8">
        <f>(B33/4)*12</f>
        <v>67.5</v>
      </c>
      <c r="AE33" s="8">
        <f>((8*6)*2)+AB33</f>
        <v>160.87820508167533</v>
      </c>
      <c r="AF33" s="8">
        <f>C33*12</f>
        <v>84.84</v>
      </c>
      <c r="AG33" s="8">
        <f>(V33*12000)/(0.9*60000*0.95*X33)</f>
        <v>9.942537503178235</v>
      </c>
      <c r="AH33" s="8">
        <f>(AG33*60000)/(0.85*4000*(MIN(AD33:AF33)))</f>
        <v>2.599356209981238</v>
      </c>
      <c r="AI33" s="8">
        <f>AH33/X33</f>
        <v>0.18082477982478176</v>
      </c>
      <c r="AJ33" s="8">
        <f>(V33*12000)/(0.9*60000*(X33-(AH33/2)))</f>
        <v>10.384278021453664</v>
      </c>
      <c r="AK33" s="8">
        <f>(3*(4000^0.5)*AB33*X33)/60000</f>
        <v>2.949216666823066</v>
      </c>
      <c r="AL33" s="8">
        <f>(200*AB33*X33)/60000</f>
        <v>3.108747326830277</v>
      </c>
      <c r="AM33" s="8">
        <f>ROUND(MAX(AJ33:AL33),2)</f>
        <v>10.38</v>
      </c>
      <c r="AN33" s="8">
        <f t="shared" si="28"/>
        <v>1.875</v>
      </c>
      <c r="AO33" s="8">
        <f t="shared" si="29"/>
        <v>10.3125</v>
      </c>
      <c r="AP33" s="8">
        <f>AM33*(B33*12)</f>
        <v>2802.6000000000004</v>
      </c>
      <c r="AQ33" s="8">
        <f>(W33-6)*AB33*(12*B33)</f>
        <v>190498.62967106924</v>
      </c>
    </row>
    <row r="34" spans="1:43" ht="12.75">
      <c r="A34">
        <v>24</v>
      </c>
      <c r="B34">
        <v>22.5</v>
      </c>
      <c r="C34">
        <v>8</v>
      </c>
      <c r="D34" s="1">
        <f t="shared" si="44"/>
        <v>880</v>
      </c>
      <c r="E34" s="1">
        <f t="shared" si="35"/>
        <v>480</v>
      </c>
      <c r="F34" s="1">
        <f t="shared" si="1"/>
        <v>280</v>
      </c>
      <c r="G34" s="1">
        <f t="shared" si="2"/>
        <v>1964</v>
      </c>
      <c r="H34" s="1">
        <f t="shared" si="36"/>
        <v>196.4</v>
      </c>
      <c r="I34" s="1">
        <f t="shared" si="37"/>
        <v>392.8</v>
      </c>
      <c r="J34" s="1">
        <f t="shared" si="38"/>
        <v>22</v>
      </c>
      <c r="K34" s="1">
        <f t="shared" si="39"/>
        <v>27</v>
      </c>
      <c r="L34" s="1">
        <f t="shared" si="40"/>
        <v>11</v>
      </c>
      <c r="M34" s="1">
        <f t="shared" si="41"/>
        <v>14</v>
      </c>
      <c r="N34" s="8">
        <f t="shared" si="42"/>
        <v>252.08333333333331</v>
      </c>
      <c r="O34" s="8">
        <f t="shared" si="43"/>
        <v>393.75</v>
      </c>
      <c r="P34">
        <v>300</v>
      </c>
      <c r="Q34" s="1">
        <v>0</v>
      </c>
      <c r="R34" s="8">
        <f t="shared" si="11"/>
        <v>2324</v>
      </c>
      <c r="S34" s="8"/>
      <c r="T34" s="8"/>
      <c r="U34" s="21">
        <f t="shared" si="33"/>
        <v>26.145</v>
      </c>
      <c r="V34" s="8">
        <f t="shared" si="34"/>
        <v>147.065625</v>
      </c>
      <c r="W34" s="8">
        <f t="shared" si="12"/>
        <v>16.875</v>
      </c>
      <c r="X34" s="8">
        <f t="shared" si="13"/>
        <v>14.375</v>
      </c>
      <c r="Y34" s="8">
        <f t="shared" si="14"/>
        <v>0.15</v>
      </c>
      <c r="Z34" s="8">
        <f t="shared" si="15"/>
        <v>546.9</v>
      </c>
      <c r="AA34" s="8">
        <f t="shared" si="16"/>
        <v>3226.8924849149757</v>
      </c>
      <c r="AB34" s="8">
        <f t="shared" si="17"/>
        <v>15.615963632102718</v>
      </c>
      <c r="AC34" s="8">
        <f t="shared" si="18"/>
        <v>106.47996539281937</v>
      </c>
      <c r="AD34" s="8">
        <f t="shared" si="19"/>
        <v>67.5</v>
      </c>
      <c r="AE34" s="8">
        <f>((8*6))+AB34</f>
        <v>63.61596363210272</v>
      </c>
      <c r="AF34" s="8">
        <f t="shared" si="20"/>
        <v>96</v>
      </c>
      <c r="AG34" s="8">
        <f t="shared" si="21"/>
        <v>2.393135011441648</v>
      </c>
      <c r="AH34" s="8">
        <f t="shared" si="22"/>
        <v>0.6638552952493034</v>
      </c>
      <c r="AI34" s="8">
        <f t="shared" si="23"/>
        <v>0.046181237930386324</v>
      </c>
      <c r="AJ34" s="8">
        <f t="shared" si="24"/>
        <v>2.327215097946288</v>
      </c>
      <c r="AK34" s="8">
        <f t="shared" si="25"/>
        <v>0.7098664359521291</v>
      </c>
      <c r="AL34" s="8">
        <f t="shared" si="26"/>
        <v>0.7482649240382552</v>
      </c>
      <c r="AM34" s="8">
        <f t="shared" si="27"/>
        <v>2.33</v>
      </c>
      <c r="AN34" s="8">
        <f t="shared" si="28"/>
        <v>1.875</v>
      </c>
      <c r="AO34" s="8">
        <f t="shared" si="29"/>
        <v>10.3125</v>
      </c>
      <c r="AP34" s="8">
        <f t="shared" si="30"/>
        <v>629.1</v>
      </c>
      <c r="AQ34" s="8">
        <f t="shared" si="31"/>
        <v>45852.37321476161</v>
      </c>
    </row>
    <row r="35" spans="1:43" ht="12.75">
      <c r="A35">
        <v>25</v>
      </c>
      <c r="B35">
        <v>22.5</v>
      </c>
      <c r="C35">
        <v>7.73</v>
      </c>
      <c r="D35" s="1">
        <f t="shared" si="44"/>
        <v>850.3000000000001</v>
      </c>
      <c r="E35" s="1">
        <f t="shared" si="35"/>
        <v>463.8</v>
      </c>
      <c r="F35" s="1">
        <f t="shared" si="1"/>
        <v>270.55</v>
      </c>
      <c r="G35" s="1">
        <f t="shared" si="2"/>
        <v>1897.7150000000001</v>
      </c>
      <c r="H35" s="1">
        <f t="shared" si="36"/>
        <v>189.77150000000003</v>
      </c>
      <c r="I35" s="1">
        <f t="shared" si="37"/>
        <v>379.54300000000006</v>
      </c>
      <c r="J35" s="1">
        <f t="shared" si="38"/>
        <v>22</v>
      </c>
      <c r="K35" s="1">
        <f t="shared" si="39"/>
        <v>27</v>
      </c>
      <c r="L35" s="1">
        <f t="shared" si="40"/>
        <v>11</v>
      </c>
      <c r="M35" s="1">
        <f t="shared" si="41"/>
        <v>14</v>
      </c>
      <c r="N35" s="8">
        <f t="shared" si="42"/>
        <v>252.08333333333331</v>
      </c>
      <c r="O35" s="8">
        <f t="shared" si="43"/>
        <v>393.75</v>
      </c>
      <c r="P35">
        <v>300</v>
      </c>
      <c r="Q35" s="1">
        <v>0</v>
      </c>
      <c r="R35" s="8">
        <f t="shared" si="11"/>
        <v>2257.715</v>
      </c>
      <c r="S35" s="8"/>
      <c r="T35" s="8"/>
      <c r="U35" s="21">
        <f t="shared" si="33"/>
        <v>25.399293750000002</v>
      </c>
      <c r="V35" s="8">
        <f t="shared" si="34"/>
        <v>142.87102734375</v>
      </c>
      <c r="W35" s="8">
        <f t="shared" si="12"/>
        <v>16.875</v>
      </c>
      <c r="X35" s="8">
        <f t="shared" si="13"/>
        <v>14.375</v>
      </c>
      <c r="Y35" s="8">
        <f t="shared" si="14"/>
        <v>0.15</v>
      </c>
      <c r="Z35" s="8">
        <f t="shared" si="15"/>
        <v>546.9</v>
      </c>
      <c r="AA35" s="8">
        <f t="shared" si="16"/>
        <v>3134.8552351892486</v>
      </c>
      <c r="AB35" s="8">
        <f t="shared" si="17"/>
        <v>15.17056597747538</v>
      </c>
      <c r="AC35" s="8">
        <f t="shared" si="18"/>
        <v>103.44294968453062</v>
      </c>
      <c r="AD35" s="8">
        <f t="shared" si="19"/>
        <v>67.5</v>
      </c>
      <c r="AE35" s="8">
        <f>((8*6)*2)+AB35</f>
        <v>111.17056597747538</v>
      </c>
      <c r="AF35" s="8">
        <f t="shared" si="20"/>
        <v>92.76</v>
      </c>
      <c r="AG35" s="8">
        <f t="shared" si="21"/>
        <v>2.324878146453089</v>
      </c>
      <c r="AH35" s="8">
        <f t="shared" si="22"/>
        <v>0.6078112801184548</v>
      </c>
      <c r="AI35" s="8">
        <f t="shared" si="23"/>
        <v>0.04228252383432729</v>
      </c>
      <c r="AJ35" s="8">
        <f t="shared" si="24"/>
        <v>2.2563360301162554</v>
      </c>
      <c r="AK35" s="8">
        <f t="shared" si="25"/>
        <v>0.6896196645635374</v>
      </c>
      <c r="AL35" s="8">
        <f t="shared" si="26"/>
        <v>0.726922953087362</v>
      </c>
      <c r="AM35" s="8">
        <f t="shared" si="27"/>
        <v>2.26</v>
      </c>
      <c r="AN35" s="8">
        <f t="shared" si="28"/>
        <v>1.875</v>
      </c>
      <c r="AO35" s="8">
        <f t="shared" si="29"/>
        <v>10.3125</v>
      </c>
      <c r="AP35" s="8">
        <f t="shared" si="30"/>
        <v>610.1999999999999</v>
      </c>
      <c r="AQ35" s="8">
        <f t="shared" si="31"/>
        <v>44544.57435136209</v>
      </c>
    </row>
    <row r="36" spans="1:43" ht="12.75">
      <c r="A36">
        <v>26</v>
      </c>
      <c r="B36">
        <v>22.5</v>
      </c>
      <c r="C36">
        <v>7.86</v>
      </c>
      <c r="D36" s="1">
        <f t="shared" si="44"/>
        <v>864.6</v>
      </c>
      <c r="E36" s="1">
        <f t="shared" si="35"/>
        <v>471.6</v>
      </c>
      <c r="F36" s="1">
        <f t="shared" si="1"/>
        <v>275.1</v>
      </c>
      <c r="G36" s="1">
        <f t="shared" si="2"/>
        <v>1929.6299999999999</v>
      </c>
      <c r="H36" s="1">
        <f t="shared" si="36"/>
        <v>192.963</v>
      </c>
      <c r="I36" s="1">
        <f t="shared" si="37"/>
        <v>385.926</v>
      </c>
      <c r="J36" s="1">
        <f t="shared" si="38"/>
        <v>22</v>
      </c>
      <c r="K36" s="1">
        <f t="shared" si="39"/>
        <v>27</v>
      </c>
      <c r="L36" s="1">
        <f t="shared" si="40"/>
        <v>11</v>
      </c>
      <c r="M36" s="1">
        <f t="shared" si="41"/>
        <v>14</v>
      </c>
      <c r="N36" s="8">
        <f t="shared" si="42"/>
        <v>252.08333333333331</v>
      </c>
      <c r="O36" s="8">
        <f t="shared" si="43"/>
        <v>393.75</v>
      </c>
      <c r="P36">
        <v>300</v>
      </c>
      <c r="Q36" s="1">
        <v>0</v>
      </c>
      <c r="R36" s="8">
        <f t="shared" si="11"/>
        <v>2289.63</v>
      </c>
      <c r="S36" s="8"/>
      <c r="T36" s="8"/>
      <c r="U36" s="21">
        <f t="shared" si="33"/>
        <v>25.758337500000003</v>
      </c>
      <c r="V36" s="8">
        <f t="shared" si="34"/>
        <v>144.8906484375</v>
      </c>
      <c r="W36" s="8">
        <f t="shared" si="12"/>
        <v>16.875</v>
      </c>
      <c r="X36" s="8">
        <f t="shared" si="13"/>
        <v>14.375</v>
      </c>
      <c r="Y36" s="8">
        <f t="shared" si="14"/>
        <v>0.15</v>
      </c>
      <c r="Z36" s="8">
        <f t="shared" si="15"/>
        <v>546.9</v>
      </c>
      <c r="AA36" s="8">
        <f t="shared" si="16"/>
        <v>3179.1694665386726</v>
      </c>
      <c r="AB36" s="8">
        <f t="shared" si="17"/>
        <v>15.385016700073727</v>
      </c>
      <c r="AC36" s="8">
        <f t="shared" si="18"/>
        <v>104.90521650704</v>
      </c>
      <c r="AD36" s="8">
        <f t="shared" si="19"/>
        <v>67.5</v>
      </c>
      <c r="AE36" s="8">
        <f>((8*6))+AB36</f>
        <v>63.38501670007373</v>
      </c>
      <c r="AF36" s="8">
        <f t="shared" si="20"/>
        <v>94.32000000000001</v>
      </c>
      <c r="AG36" s="8">
        <f t="shared" si="21"/>
        <v>2.3577425629290616</v>
      </c>
      <c r="AH36" s="8">
        <f t="shared" si="22"/>
        <v>0.6564204580969961</v>
      </c>
      <c r="AI36" s="8">
        <f t="shared" si="23"/>
        <v>0.04566403186761712</v>
      </c>
      <c r="AJ36" s="8">
        <f t="shared" si="24"/>
        <v>2.292190770989162</v>
      </c>
      <c r="AK36" s="8">
        <f t="shared" si="25"/>
        <v>0.6993681100469334</v>
      </c>
      <c r="AL36" s="8">
        <f t="shared" si="26"/>
        <v>0.7371987168785328</v>
      </c>
      <c r="AM36" s="8">
        <f t="shared" si="27"/>
        <v>2.29</v>
      </c>
      <c r="AN36" s="8">
        <f t="shared" si="28"/>
        <v>1.875</v>
      </c>
      <c r="AO36" s="8">
        <f t="shared" si="29"/>
        <v>10.3125</v>
      </c>
      <c r="AP36" s="8">
        <f t="shared" si="30"/>
        <v>618.3</v>
      </c>
      <c r="AQ36" s="8">
        <f t="shared" si="31"/>
        <v>45174.255285591484</v>
      </c>
    </row>
    <row r="37" spans="1:43" ht="12.75">
      <c r="A37">
        <v>27</v>
      </c>
      <c r="B37">
        <v>22.5</v>
      </c>
      <c r="C37">
        <v>8.58</v>
      </c>
      <c r="D37" s="1">
        <f t="shared" si="44"/>
        <v>943.8</v>
      </c>
      <c r="E37" s="1">
        <f t="shared" si="35"/>
        <v>514.8</v>
      </c>
      <c r="F37" s="1">
        <f aca="true" t="shared" si="45" ref="F37:F69">C37*35</f>
        <v>300.3</v>
      </c>
      <c r="G37" s="1">
        <f aca="true" t="shared" si="46" ref="G37:G69">(1.2*D37)+(1.6*E37)+(0.5*F37)</f>
        <v>2106.39</v>
      </c>
      <c r="H37" s="1">
        <f t="shared" si="36"/>
        <v>210.639</v>
      </c>
      <c r="I37" s="1">
        <f t="shared" si="37"/>
        <v>421.278</v>
      </c>
      <c r="J37" s="1">
        <f t="shared" si="38"/>
        <v>22</v>
      </c>
      <c r="K37" s="1">
        <f t="shared" si="39"/>
        <v>27</v>
      </c>
      <c r="L37" s="1">
        <f t="shared" si="40"/>
        <v>11</v>
      </c>
      <c r="M37" s="1">
        <f t="shared" si="41"/>
        <v>14</v>
      </c>
      <c r="N37" s="8">
        <f t="shared" si="42"/>
        <v>252.08333333333331</v>
      </c>
      <c r="O37" s="8">
        <f t="shared" si="43"/>
        <v>393.75</v>
      </c>
      <c r="P37">
        <v>300</v>
      </c>
      <c r="Q37" s="1">
        <v>0</v>
      </c>
      <c r="R37" s="8">
        <f aca="true" t="shared" si="47" ref="R37:R64">(1.2*P37)+G37</f>
        <v>2466.39</v>
      </c>
      <c r="S37" s="8"/>
      <c r="T37" s="8"/>
      <c r="U37" s="21">
        <f t="shared" si="33"/>
        <v>27.746887499999996</v>
      </c>
      <c r="V37" s="8">
        <f t="shared" si="34"/>
        <v>156.0762421875</v>
      </c>
      <c r="W37" s="8">
        <f aca="true" t="shared" si="48" ref="W37:W60">(B37/16)*12</f>
        <v>16.875</v>
      </c>
      <c r="X37" s="8">
        <f aca="true" t="shared" si="49" ref="X37:X60">W37-2.5</f>
        <v>14.375</v>
      </c>
      <c r="Y37" s="8">
        <f aca="true" t="shared" si="50" ref="Y37:Y64">(60000/4000)*0.01</f>
        <v>0.15</v>
      </c>
      <c r="Z37" s="8">
        <f aca="true" t="shared" si="51" ref="Z37:Z64">4000*Y37*(1-(0.59*Y37))</f>
        <v>546.9</v>
      </c>
      <c r="AA37" s="8">
        <f aca="true" t="shared" si="52" ref="AA37:AA64">(12000*V37)/Z37</f>
        <v>3424.6021324739436</v>
      </c>
      <c r="AB37" s="8">
        <f aca="true" t="shared" si="53" ref="AB37:AB60">AA37/(X37^2)</f>
        <v>16.572743779079953</v>
      </c>
      <c r="AC37" s="8">
        <f aca="true" t="shared" si="54" ref="AC37:AC64">0.75*((((2*(4000^0.5)*AB37*X37)+(8*(4000^0.5)*AB37*X37)))/1000)</f>
        <v>113.00392506247664</v>
      </c>
      <c r="AD37" s="8">
        <f aca="true" t="shared" si="55" ref="AD37:AD64">(B37/4)*12</f>
        <v>67.5</v>
      </c>
      <c r="AE37" s="8">
        <f>((8*6)*2)+AB37</f>
        <v>112.57274377907996</v>
      </c>
      <c r="AF37" s="8">
        <f aca="true" t="shared" si="56" ref="AF37:AF64">C37*12</f>
        <v>102.96000000000001</v>
      </c>
      <c r="AG37" s="8">
        <f aca="true" t="shared" si="57" ref="AG37:AG64">(V37*12000)/(0.9*60000*0.95*X37)</f>
        <v>2.539760869565217</v>
      </c>
      <c r="AH37" s="8">
        <f aca="true" t="shared" si="58" ref="AH37:AH64">(AG37*60000)/(0.85*4000*(MIN(AD37:AF37)))</f>
        <v>0.6639897698209718</v>
      </c>
      <c r="AI37" s="8">
        <f aca="true" t="shared" si="59" ref="AI37:AI64">AH37/X37</f>
        <v>0.046190592683198035</v>
      </c>
      <c r="AJ37" s="8">
        <f aca="true" t="shared" si="60" ref="AJ37:AJ64">(V37*12000)/(0.9*60000*(X37-(AH37/2)))</f>
        <v>2.4698139102528494</v>
      </c>
      <c r="AK37" s="8">
        <f aca="true" t="shared" si="61" ref="AK37:AK64">(3*(4000^0.5)*AB37*X37)/60000</f>
        <v>0.7533595004165109</v>
      </c>
      <c r="AL37" s="8">
        <f aca="true" t="shared" si="62" ref="AL37:AL64">(200*AB37*X37)/60000</f>
        <v>0.7941106394142478</v>
      </c>
      <c r="AM37" s="8">
        <f aca="true" t="shared" si="63" ref="AM37:AM64">ROUND(MAX(AJ37:AL37),2)</f>
        <v>2.47</v>
      </c>
      <c r="AN37" s="8">
        <f aca="true" t="shared" si="64" ref="AN37:AN64">1.875</f>
        <v>1.875</v>
      </c>
      <c r="AO37" s="8">
        <f aca="true" t="shared" si="65" ref="AO37:AO64">(540/(0.6*60))-(2.5*AN37)</f>
        <v>10.3125</v>
      </c>
      <c r="AP37" s="8">
        <f aca="true" t="shared" si="66" ref="AP37:AP64">AM37*(B37*12)</f>
        <v>666.9000000000001</v>
      </c>
      <c r="AQ37" s="8">
        <f aca="true" t="shared" si="67" ref="AQ37:AQ64">(W37-6)*AB37*(12*B37)</f>
        <v>48661.71892132352</v>
      </c>
    </row>
    <row r="38" spans="1:43" ht="12.75">
      <c r="A38" s="6" t="s">
        <v>127</v>
      </c>
      <c r="B38">
        <v>22.5</v>
      </c>
      <c r="C38">
        <v>7.52</v>
      </c>
      <c r="D38" s="1">
        <f t="shared" si="44"/>
        <v>827.1999999999999</v>
      </c>
      <c r="E38" s="1">
        <f t="shared" si="35"/>
        <v>451.2</v>
      </c>
      <c r="F38" s="1">
        <f t="shared" si="45"/>
        <v>263.2</v>
      </c>
      <c r="G38" s="1">
        <f t="shared" si="46"/>
        <v>1846.1599999999999</v>
      </c>
      <c r="H38" s="1">
        <f t="shared" si="36"/>
        <v>184.61599999999999</v>
      </c>
      <c r="I38" s="1">
        <f t="shared" si="37"/>
        <v>369.23199999999997</v>
      </c>
      <c r="J38" s="1">
        <f t="shared" si="38"/>
        <v>22</v>
      </c>
      <c r="K38" s="1">
        <f t="shared" si="39"/>
        <v>27</v>
      </c>
      <c r="L38" s="1">
        <f t="shared" si="40"/>
        <v>11</v>
      </c>
      <c r="M38" s="1">
        <f t="shared" si="41"/>
        <v>14</v>
      </c>
      <c r="N38" s="8">
        <f t="shared" si="42"/>
        <v>252.08333333333331</v>
      </c>
      <c r="O38" s="8">
        <f t="shared" si="43"/>
        <v>393.75</v>
      </c>
      <c r="P38">
        <v>300</v>
      </c>
      <c r="Q38" s="1">
        <v>0</v>
      </c>
      <c r="R38" s="8">
        <f t="shared" si="47"/>
        <v>2206.16</v>
      </c>
      <c r="S38" s="8"/>
      <c r="T38" s="8"/>
      <c r="U38" s="21">
        <f t="shared" si="33"/>
        <v>24.8193</v>
      </c>
      <c r="V38" s="8">
        <f t="shared" si="34"/>
        <v>139.6085625</v>
      </c>
      <c r="W38" s="8">
        <f t="shared" si="48"/>
        <v>16.875</v>
      </c>
      <c r="X38" s="8">
        <f t="shared" si="49"/>
        <v>14.375</v>
      </c>
      <c r="Y38" s="8">
        <f t="shared" si="50"/>
        <v>0.15</v>
      </c>
      <c r="Z38" s="8">
        <f t="shared" si="51"/>
        <v>546.9</v>
      </c>
      <c r="AA38" s="8">
        <f t="shared" si="52"/>
        <v>3063.2707076247943</v>
      </c>
      <c r="AB38" s="8">
        <f t="shared" si="53"/>
        <v>14.824145579431898</v>
      </c>
      <c r="AC38" s="8">
        <f t="shared" si="54"/>
        <v>101.0808263558616</v>
      </c>
      <c r="AD38" s="8">
        <f t="shared" si="55"/>
        <v>67.5</v>
      </c>
      <c r="AE38" s="8">
        <f>((8*6))+AB38</f>
        <v>62.8241455794319</v>
      </c>
      <c r="AF38" s="8">
        <f t="shared" si="56"/>
        <v>90.24</v>
      </c>
      <c r="AG38" s="8">
        <f t="shared" si="57"/>
        <v>2.2717894736842106</v>
      </c>
      <c r="AH38" s="8">
        <f t="shared" si="58"/>
        <v>0.6381368517951711</v>
      </c>
      <c r="AI38" s="8">
        <f t="shared" si="59"/>
        <v>0.044392128820533644</v>
      </c>
      <c r="AJ38" s="8">
        <f t="shared" si="60"/>
        <v>2.207190952548525</v>
      </c>
      <c r="AK38" s="8">
        <f t="shared" si="61"/>
        <v>0.6738721757057441</v>
      </c>
      <c r="AL38" s="8">
        <f t="shared" si="62"/>
        <v>0.7103236423477783</v>
      </c>
      <c r="AM38" s="8">
        <f t="shared" si="63"/>
        <v>2.21</v>
      </c>
      <c r="AN38" s="8">
        <f t="shared" si="64"/>
        <v>1.875</v>
      </c>
      <c r="AO38" s="8">
        <f t="shared" si="65"/>
        <v>10.3125</v>
      </c>
      <c r="AP38" s="8">
        <f t="shared" si="66"/>
        <v>596.7</v>
      </c>
      <c r="AQ38" s="8">
        <f t="shared" si="67"/>
        <v>43527.39745760691</v>
      </c>
    </row>
    <row r="39" spans="1:43" ht="12.75">
      <c r="A39" s="6" t="s">
        <v>128</v>
      </c>
      <c r="B39">
        <v>22.5</v>
      </c>
      <c r="C39">
        <v>7.52</v>
      </c>
      <c r="D39" s="1">
        <f t="shared" si="44"/>
        <v>827.1999999999999</v>
      </c>
      <c r="E39" s="1">
        <f>C39*60</f>
        <v>451.2</v>
      </c>
      <c r="F39" s="1">
        <f>C39*35</f>
        <v>263.2</v>
      </c>
      <c r="G39" s="1">
        <f>(1.2*D39)+(1.6*E39)+(0.5*F39)</f>
        <v>1846.1599999999999</v>
      </c>
      <c r="H39" s="1">
        <f t="shared" si="36"/>
        <v>184.61599999999999</v>
      </c>
      <c r="I39" s="1">
        <f>0.2*MAX(G39:G39)</f>
        <v>369.23199999999997</v>
      </c>
      <c r="J39" s="1">
        <f>ROUND(((0.08*B39)*12),0)</f>
        <v>22</v>
      </c>
      <c r="K39" s="1">
        <f>ROUND(((0.1*B39)*12),0)</f>
        <v>27</v>
      </c>
      <c r="L39" s="1">
        <f>ROUND((0.5*J39),0)</f>
        <v>11</v>
      </c>
      <c r="M39" s="1">
        <f>ROUND((0.5*K39),0)</f>
        <v>14</v>
      </c>
      <c r="N39" s="8">
        <f>(L39/12)*(J39/12)*150</f>
        <v>252.08333333333331</v>
      </c>
      <c r="O39" s="8">
        <f>(M39/12)*(K39/12)*150</f>
        <v>393.75</v>
      </c>
      <c r="P39">
        <v>300</v>
      </c>
      <c r="Q39" s="1">
        <v>0</v>
      </c>
      <c r="R39" s="8">
        <f>(1.2*P39)+G39</f>
        <v>2206.16</v>
      </c>
      <c r="S39" s="8"/>
      <c r="T39" s="8"/>
      <c r="U39" s="21">
        <f>(R39*B39)/2000</f>
        <v>24.8193</v>
      </c>
      <c r="V39" s="8">
        <v>611</v>
      </c>
      <c r="W39" s="8">
        <f>(B39/16)*12</f>
        <v>16.875</v>
      </c>
      <c r="X39" s="8">
        <f t="shared" si="49"/>
        <v>14.375</v>
      </c>
      <c r="Y39" s="8">
        <f t="shared" si="50"/>
        <v>0.15</v>
      </c>
      <c r="Z39" s="8">
        <f t="shared" si="51"/>
        <v>546.9</v>
      </c>
      <c r="AA39" s="8">
        <f>(12000*V39)/Z39</f>
        <v>13406.472846955568</v>
      </c>
      <c r="AB39" s="8">
        <f>AA39/(X39^2)</f>
        <v>64.87820508167535</v>
      </c>
      <c r="AC39" s="8">
        <f>0.75*((((2*(4000^0.5)*AB39*X39)+(8*(4000^0.5)*AB39*X39)))/1000)</f>
        <v>442.3825000234599</v>
      </c>
      <c r="AD39" s="8">
        <f>(B39/4)*12</f>
        <v>67.5</v>
      </c>
      <c r="AE39" s="8">
        <f>((8*6))+AB39</f>
        <v>112.87820508167535</v>
      </c>
      <c r="AF39" s="8">
        <f>C39*12</f>
        <v>90.24</v>
      </c>
      <c r="AG39" s="8">
        <f>(V39*12000)/(0.9*60000*0.95*X39)</f>
        <v>9.942537503178235</v>
      </c>
      <c r="AH39" s="8">
        <f>(AG39*60000)/(0.85*4000*(MIN(AD39:AF39)))</f>
        <v>2.599356209981238</v>
      </c>
      <c r="AI39" s="8">
        <f>AH39/X39</f>
        <v>0.18082477982478176</v>
      </c>
      <c r="AJ39" s="8">
        <f>(V39*12000)/(0.9*60000*(X39-(AH39/2)))</f>
        <v>10.384278021453664</v>
      </c>
      <c r="AK39" s="8">
        <f>(3*(4000^0.5)*AB39*X39)/60000</f>
        <v>2.949216666823066</v>
      </c>
      <c r="AL39" s="8">
        <f>(200*AB39*X39)/60000</f>
        <v>3.108747326830277</v>
      </c>
      <c r="AM39" s="8">
        <f>ROUND(MAX(AJ39:AL39),2)</f>
        <v>10.38</v>
      </c>
      <c r="AN39" s="8">
        <f t="shared" si="64"/>
        <v>1.875</v>
      </c>
      <c r="AO39" s="8">
        <f t="shared" si="65"/>
        <v>10.3125</v>
      </c>
      <c r="AP39" s="8">
        <f>AM39*(B39*12)</f>
        <v>2802.6000000000004</v>
      </c>
      <c r="AQ39" s="8">
        <f>(W39-6)*AB39*(12*B39)</f>
        <v>190498.62967106924</v>
      </c>
    </row>
    <row r="40" spans="1:43" ht="12.75">
      <c r="A40">
        <v>29</v>
      </c>
      <c r="B40">
        <v>22.5</v>
      </c>
      <c r="C40">
        <v>6.46</v>
      </c>
      <c r="D40" s="1">
        <f t="shared" si="44"/>
        <v>710.6</v>
      </c>
      <c r="E40" s="1">
        <f t="shared" si="35"/>
        <v>387.6</v>
      </c>
      <c r="F40" s="1">
        <f t="shared" si="45"/>
        <v>226.1</v>
      </c>
      <c r="G40" s="1">
        <f t="shared" si="46"/>
        <v>1585.93</v>
      </c>
      <c r="H40" s="1">
        <f t="shared" si="36"/>
        <v>158.59300000000002</v>
      </c>
      <c r="I40" s="1">
        <f t="shared" si="37"/>
        <v>317.18600000000004</v>
      </c>
      <c r="J40" s="1">
        <f t="shared" si="38"/>
        <v>22</v>
      </c>
      <c r="K40" s="1">
        <f t="shared" si="39"/>
        <v>27</v>
      </c>
      <c r="L40" s="1">
        <f t="shared" si="40"/>
        <v>11</v>
      </c>
      <c r="M40" s="1">
        <f t="shared" si="41"/>
        <v>14</v>
      </c>
      <c r="N40" s="8">
        <f t="shared" si="42"/>
        <v>252.08333333333331</v>
      </c>
      <c r="O40" s="8">
        <f t="shared" si="43"/>
        <v>393.75</v>
      </c>
      <c r="P40">
        <v>300</v>
      </c>
      <c r="Q40" s="1">
        <v>0</v>
      </c>
      <c r="R40" s="8">
        <f t="shared" si="47"/>
        <v>1945.93</v>
      </c>
      <c r="S40" s="8"/>
      <c r="T40" s="8"/>
      <c r="U40" s="21">
        <f t="shared" si="33"/>
        <v>21.8917125</v>
      </c>
      <c r="V40" s="8">
        <f t="shared" si="34"/>
        <v>123.14088281250001</v>
      </c>
      <c r="W40" s="8">
        <f t="shared" si="48"/>
        <v>16.875</v>
      </c>
      <c r="X40" s="8">
        <f t="shared" si="49"/>
        <v>14.375</v>
      </c>
      <c r="Y40" s="8">
        <f t="shared" si="50"/>
        <v>0.15</v>
      </c>
      <c r="Z40" s="8">
        <f t="shared" si="51"/>
        <v>546.9</v>
      </c>
      <c r="AA40" s="8">
        <f t="shared" si="52"/>
        <v>2701.939282775645</v>
      </c>
      <c r="AB40" s="8">
        <f t="shared" si="53"/>
        <v>13.07554737978384</v>
      </c>
      <c r="AC40" s="8">
        <f t="shared" si="54"/>
        <v>89.15772764924655</v>
      </c>
      <c r="AD40" s="8">
        <f t="shared" si="55"/>
        <v>67.5</v>
      </c>
      <c r="AE40" s="8">
        <f>((8*6)*2)+AB40</f>
        <v>109.07554737978384</v>
      </c>
      <c r="AF40" s="8">
        <f t="shared" si="56"/>
        <v>77.52</v>
      </c>
      <c r="AG40" s="8">
        <f t="shared" si="57"/>
        <v>2.0038180778032038</v>
      </c>
      <c r="AH40" s="8">
        <f t="shared" si="58"/>
        <v>0.5238740072688114</v>
      </c>
      <c r="AI40" s="8">
        <f t="shared" si="59"/>
        <v>0.03644340920130862</v>
      </c>
      <c r="AJ40" s="8">
        <f t="shared" si="60"/>
        <v>1.9389582992754277</v>
      </c>
      <c r="AK40" s="8">
        <f t="shared" si="61"/>
        <v>0.5943848509949772</v>
      </c>
      <c r="AL40" s="8">
        <f t="shared" si="62"/>
        <v>0.626536645281309</v>
      </c>
      <c r="AM40" s="8">
        <f t="shared" si="63"/>
        <v>1.94</v>
      </c>
      <c r="AN40" s="8">
        <f t="shared" si="64"/>
        <v>1.875</v>
      </c>
      <c r="AO40" s="8">
        <f t="shared" si="65"/>
        <v>10.3125</v>
      </c>
      <c r="AP40" s="8">
        <f t="shared" si="66"/>
        <v>523.8</v>
      </c>
      <c r="AQ40" s="8">
        <f t="shared" si="67"/>
        <v>38393.0759938903</v>
      </c>
    </row>
    <row r="41" spans="1:43" ht="12.75">
      <c r="A41">
        <v>16</v>
      </c>
      <c r="B41">
        <v>17</v>
      </c>
      <c r="C41">
        <v>3.54</v>
      </c>
      <c r="D41" s="1">
        <f t="shared" si="44"/>
        <v>389.4</v>
      </c>
      <c r="E41" s="1">
        <f t="shared" si="35"/>
        <v>212.4</v>
      </c>
      <c r="F41" s="1">
        <f t="shared" si="45"/>
        <v>123.9</v>
      </c>
      <c r="G41" s="1">
        <f t="shared" si="46"/>
        <v>869.07</v>
      </c>
      <c r="H41" s="1">
        <f t="shared" si="36"/>
        <v>86.90700000000001</v>
      </c>
      <c r="I41" s="1">
        <f t="shared" si="37"/>
        <v>173.81400000000002</v>
      </c>
      <c r="J41" s="1">
        <f t="shared" si="38"/>
        <v>16</v>
      </c>
      <c r="K41" s="1">
        <f t="shared" si="39"/>
        <v>20</v>
      </c>
      <c r="L41" s="1">
        <f t="shared" si="40"/>
        <v>8</v>
      </c>
      <c r="M41" s="1">
        <f t="shared" si="41"/>
        <v>10</v>
      </c>
      <c r="N41" s="8">
        <f t="shared" si="42"/>
        <v>133.33333333333331</v>
      </c>
      <c r="O41" s="8">
        <f t="shared" si="43"/>
        <v>208.33333333333337</v>
      </c>
      <c r="P41">
        <v>200</v>
      </c>
      <c r="Q41" s="1">
        <v>0</v>
      </c>
      <c r="R41" s="8">
        <f t="shared" si="47"/>
        <v>1109.0700000000002</v>
      </c>
      <c r="S41" s="8"/>
      <c r="T41" s="8"/>
      <c r="U41" s="8">
        <f t="shared" si="33"/>
        <v>9.427095000000001</v>
      </c>
      <c r="V41" s="8">
        <f t="shared" si="34"/>
        <v>40.06515375000001</v>
      </c>
      <c r="W41" s="8">
        <f t="shared" si="48"/>
        <v>12.75</v>
      </c>
      <c r="X41" s="8">
        <f t="shared" si="49"/>
        <v>10.25</v>
      </c>
      <c r="Y41" s="8">
        <f t="shared" si="50"/>
        <v>0.15</v>
      </c>
      <c r="Z41" s="8">
        <f t="shared" si="51"/>
        <v>546.9</v>
      </c>
      <c r="AA41" s="8">
        <f t="shared" si="52"/>
        <v>879.1037575425125</v>
      </c>
      <c r="AB41" s="8">
        <f t="shared" si="53"/>
        <v>8.367436121760976</v>
      </c>
      <c r="AC41" s="8">
        <f t="shared" si="54"/>
        <v>40.68249034312342</v>
      </c>
      <c r="AD41" s="8">
        <f t="shared" si="55"/>
        <v>51</v>
      </c>
      <c r="AE41" s="8">
        <f>((8*6))+AB41</f>
        <v>56.367436121760974</v>
      </c>
      <c r="AF41" s="8">
        <f t="shared" si="56"/>
        <v>42.480000000000004</v>
      </c>
      <c r="AG41" s="8">
        <f t="shared" si="57"/>
        <v>0.9143381258023108</v>
      </c>
      <c r="AH41" s="8">
        <f t="shared" si="58"/>
        <v>0.3798347149394777</v>
      </c>
      <c r="AI41" s="8">
        <f t="shared" si="59"/>
        <v>0.03705704535994904</v>
      </c>
      <c r="AJ41" s="8">
        <f t="shared" si="60"/>
        <v>0.8850193200560698</v>
      </c>
      <c r="AK41" s="8">
        <f t="shared" si="61"/>
        <v>0.27121660228748945</v>
      </c>
      <c r="AL41" s="8">
        <f t="shared" si="62"/>
        <v>0.2858874008268334</v>
      </c>
      <c r="AM41" s="8">
        <f t="shared" si="63"/>
        <v>0.89</v>
      </c>
      <c r="AN41" s="8">
        <f t="shared" si="64"/>
        <v>1.875</v>
      </c>
      <c r="AO41" s="8">
        <f t="shared" si="65"/>
        <v>10.3125</v>
      </c>
      <c r="AP41" s="8">
        <f t="shared" si="66"/>
        <v>181.56</v>
      </c>
      <c r="AQ41" s="8">
        <f t="shared" si="67"/>
        <v>11521.959539664864</v>
      </c>
    </row>
    <row r="42" spans="1:43" ht="12.75">
      <c r="A42">
        <v>34</v>
      </c>
      <c r="B42">
        <v>17</v>
      </c>
      <c r="C42">
        <v>3.54</v>
      </c>
      <c r="D42" s="1">
        <f t="shared" si="44"/>
        <v>389.4</v>
      </c>
      <c r="E42" s="1">
        <f t="shared" si="35"/>
        <v>212.4</v>
      </c>
      <c r="F42" s="1">
        <f t="shared" si="45"/>
        <v>123.9</v>
      </c>
      <c r="G42" s="1">
        <f t="shared" si="46"/>
        <v>869.07</v>
      </c>
      <c r="H42" s="1">
        <f t="shared" si="36"/>
        <v>86.90700000000001</v>
      </c>
      <c r="I42" s="1">
        <f t="shared" si="37"/>
        <v>173.81400000000002</v>
      </c>
      <c r="J42" s="1">
        <f t="shared" si="38"/>
        <v>16</v>
      </c>
      <c r="K42" s="1">
        <f t="shared" si="39"/>
        <v>20</v>
      </c>
      <c r="L42" s="1">
        <f t="shared" si="40"/>
        <v>8</v>
      </c>
      <c r="M42" s="1">
        <f t="shared" si="41"/>
        <v>10</v>
      </c>
      <c r="N42" s="8">
        <f t="shared" si="42"/>
        <v>133.33333333333331</v>
      </c>
      <c r="O42" s="8">
        <f t="shared" si="43"/>
        <v>208.33333333333337</v>
      </c>
      <c r="P42">
        <v>200</v>
      </c>
      <c r="Q42" s="1">
        <v>0</v>
      </c>
      <c r="R42" s="8">
        <f t="shared" si="47"/>
        <v>1109.0700000000002</v>
      </c>
      <c r="S42" s="8"/>
      <c r="T42" s="8"/>
      <c r="U42" s="8">
        <f t="shared" si="33"/>
        <v>9.427095000000001</v>
      </c>
      <c r="V42" s="8">
        <f t="shared" si="34"/>
        <v>40.06515375000001</v>
      </c>
      <c r="W42" s="8">
        <f t="shared" si="48"/>
        <v>12.75</v>
      </c>
      <c r="X42" s="8">
        <f t="shared" si="49"/>
        <v>10.25</v>
      </c>
      <c r="Y42" s="8">
        <f t="shared" si="50"/>
        <v>0.15</v>
      </c>
      <c r="Z42" s="8">
        <f t="shared" si="51"/>
        <v>546.9</v>
      </c>
      <c r="AA42" s="8">
        <f t="shared" si="52"/>
        <v>879.1037575425125</v>
      </c>
      <c r="AB42" s="8">
        <f t="shared" si="53"/>
        <v>8.367436121760976</v>
      </c>
      <c r="AC42" s="8">
        <f t="shared" si="54"/>
        <v>40.68249034312342</v>
      </c>
      <c r="AD42" s="8">
        <f t="shared" si="55"/>
        <v>51</v>
      </c>
      <c r="AE42" s="8">
        <f>((8*6))+AB42</f>
        <v>56.367436121760974</v>
      </c>
      <c r="AF42" s="8">
        <f t="shared" si="56"/>
        <v>42.480000000000004</v>
      </c>
      <c r="AG42" s="8">
        <f t="shared" si="57"/>
        <v>0.9143381258023108</v>
      </c>
      <c r="AH42" s="8">
        <f t="shared" si="58"/>
        <v>0.3798347149394777</v>
      </c>
      <c r="AI42" s="8">
        <f t="shared" si="59"/>
        <v>0.03705704535994904</v>
      </c>
      <c r="AJ42" s="8">
        <f t="shared" si="60"/>
        <v>0.8850193200560698</v>
      </c>
      <c r="AK42" s="8">
        <f t="shared" si="61"/>
        <v>0.27121660228748945</v>
      </c>
      <c r="AL42" s="8">
        <f t="shared" si="62"/>
        <v>0.2858874008268334</v>
      </c>
      <c r="AM42" s="8">
        <f t="shared" si="63"/>
        <v>0.89</v>
      </c>
      <c r="AN42" s="8">
        <f t="shared" si="64"/>
        <v>1.875</v>
      </c>
      <c r="AO42" s="8">
        <f t="shared" si="65"/>
        <v>10.3125</v>
      </c>
      <c r="AP42" s="8">
        <f t="shared" si="66"/>
        <v>181.56</v>
      </c>
      <c r="AQ42" s="8">
        <f t="shared" si="67"/>
        <v>11521.959539664864</v>
      </c>
    </row>
    <row r="43" spans="1:43" ht="12.75">
      <c r="A43">
        <v>1</v>
      </c>
      <c r="B43">
        <v>17</v>
      </c>
      <c r="C43">
        <v>3.54</v>
      </c>
      <c r="D43" s="1">
        <f t="shared" si="44"/>
        <v>389.4</v>
      </c>
      <c r="E43" s="1">
        <f t="shared" si="35"/>
        <v>212.4</v>
      </c>
      <c r="F43" s="1">
        <f t="shared" si="45"/>
        <v>123.9</v>
      </c>
      <c r="G43" s="1">
        <f t="shared" si="46"/>
        <v>869.07</v>
      </c>
      <c r="H43" s="1">
        <f t="shared" si="36"/>
        <v>86.90700000000001</v>
      </c>
      <c r="I43" s="1">
        <f t="shared" si="37"/>
        <v>173.81400000000002</v>
      </c>
      <c r="J43" s="1">
        <f t="shared" si="38"/>
        <v>16</v>
      </c>
      <c r="K43" s="1">
        <f t="shared" si="39"/>
        <v>20</v>
      </c>
      <c r="L43" s="1">
        <f t="shared" si="40"/>
        <v>8</v>
      </c>
      <c r="M43" s="1">
        <f t="shared" si="41"/>
        <v>10</v>
      </c>
      <c r="N43" s="8">
        <f t="shared" si="42"/>
        <v>133.33333333333331</v>
      </c>
      <c r="O43" s="8">
        <f t="shared" si="43"/>
        <v>208.33333333333337</v>
      </c>
      <c r="P43">
        <v>200</v>
      </c>
      <c r="Q43" s="1">
        <v>0</v>
      </c>
      <c r="R43" s="8">
        <f t="shared" si="47"/>
        <v>1109.0700000000002</v>
      </c>
      <c r="S43" s="8"/>
      <c r="T43" s="8"/>
      <c r="U43" s="8">
        <f t="shared" si="33"/>
        <v>9.427095000000001</v>
      </c>
      <c r="V43" s="8">
        <f t="shared" si="34"/>
        <v>40.06515375000001</v>
      </c>
      <c r="W43" s="8">
        <f t="shared" si="48"/>
        <v>12.75</v>
      </c>
      <c r="X43" s="8">
        <f t="shared" si="49"/>
        <v>10.25</v>
      </c>
      <c r="Y43" s="8">
        <f t="shared" si="50"/>
        <v>0.15</v>
      </c>
      <c r="Z43" s="8">
        <f t="shared" si="51"/>
        <v>546.9</v>
      </c>
      <c r="AA43" s="8">
        <f t="shared" si="52"/>
        <v>879.1037575425125</v>
      </c>
      <c r="AB43" s="8">
        <f t="shared" si="53"/>
        <v>8.367436121760976</v>
      </c>
      <c r="AC43" s="8">
        <f t="shared" si="54"/>
        <v>40.68249034312342</v>
      </c>
      <c r="AD43" s="8">
        <f t="shared" si="55"/>
        <v>51</v>
      </c>
      <c r="AE43" s="8">
        <f>((8*6))+AB43</f>
        <v>56.367436121760974</v>
      </c>
      <c r="AF43" s="8">
        <f t="shared" si="56"/>
        <v>42.480000000000004</v>
      </c>
      <c r="AG43" s="8">
        <f t="shared" si="57"/>
        <v>0.9143381258023108</v>
      </c>
      <c r="AH43" s="8">
        <f t="shared" si="58"/>
        <v>0.3798347149394777</v>
      </c>
      <c r="AI43" s="8">
        <f t="shared" si="59"/>
        <v>0.03705704535994904</v>
      </c>
      <c r="AJ43" s="8">
        <f t="shared" si="60"/>
        <v>0.8850193200560698</v>
      </c>
      <c r="AK43" s="8">
        <f t="shared" si="61"/>
        <v>0.27121660228748945</v>
      </c>
      <c r="AL43" s="8">
        <f t="shared" si="62"/>
        <v>0.2858874008268334</v>
      </c>
      <c r="AM43" s="8">
        <f t="shared" si="63"/>
        <v>0.89</v>
      </c>
      <c r="AN43" s="8">
        <f t="shared" si="64"/>
        <v>1.875</v>
      </c>
      <c r="AO43" s="8">
        <f t="shared" si="65"/>
        <v>10.3125</v>
      </c>
      <c r="AP43" s="8">
        <f t="shared" si="66"/>
        <v>181.56</v>
      </c>
      <c r="AQ43" s="8">
        <f t="shared" si="67"/>
        <v>11521.959539664864</v>
      </c>
    </row>
    <row r="44" spans="1:43" ht="12.75">
      <c r="A44">
        <v>17</v>
      </c>
      <c r="B44">
        <v>17</v>
      </c>
      <c r="C44">
        <v>3.54</v>
      </c>
      <c r="D44" s="1">
        <f t="shared" si="44"/>
        <v>389.4</v>
      </c>
      <c r="E44" s="1">
        <f t="shared" si="35"/>
        <v>212.4</v>
      </c>
      <c r="F44" s="1">
        <f t="shared" si="45"/>
        <v>123.9</v>
      </c>
      <c r="G44" s="1">
        <f t="shared" si="46"/>
        <v>869.07</v>
      </c>
      <c r="H44" s="1">
        <f t="shared" si="36"/>
        <v>86.90700000000001</v>
      </c>
      <c r="I44" s="1">
        <f t="shared" si="37"/>
        <v>173.81400000000002</v>
      </c>
      <c r="J44" s="1">
        <f t="shared" si="38"/>
        <v>16</v>
      </c>
      <c r="K44" s="1">
        <f t="shared" si="39"/>
        <v>20</v>
      </c>
      <c r="L44" s="1">
        <f t="shared" si="40"/>
        <v>8</v>
      </c>
      <c r="M44" s="1">
        <f t="shared" si="41"/>
        <v>10</v>
      </c>
      <c r="N44" s="8">
        <f t="shared" si="42"/>
        <v>133.33333333333331</v>
      </c>
      <c r="O44" s="8">
        <f t="shared" si="43"/>
        <v>208.33333333333337</v>
      </c>
      <c r="P44">
        <v>200</v>
      </c>
      <c r="Q44" s="1">
        <v>0</v>
      </c>
      <c r="R44" s="8">
        <f t="shared" si="47"/>
        <v>1109.0700000000002</v>
      </c>
      <c r="S44" s="8"/>
      <c r="T44" s="8"/>
      <c r="U44" s="8">
        <f t="shared" si="33"/>
        <v>9.427095000000001</v>
      </c>
      <c r="V44" s="8">
        <f t="shared" si="34"/>
        <v>40.06515375000001</v>
      </c>
      <c r="W44" s="8">
        <f t="shared" si="48"/>
        <v>12.75</v>
      </c>
      <c r="X44" s="8">
        <f t="shared" si="49"/>
        <v>10.25</v>
      </c>
      <c r="Y44" s="8">
        <f t="shared" si="50"/>
        <v>0.15</v>
      </c>
      <c r="Z44" s="8">
        <f t="shared" si="51"/>
        <v>546.9</v>
      </c>
      <c r="AA44" s="8">
        <f t="shared" si="52"/>
        <v>879.1037575425125</v>
      </c>
      <c r="AB44" s="8">
        <f t="shared" si="53"/>
        <v>8.367436121760976</v>
      </c>
      <c r="AC44" s="8">
        <f t="shared" si="54"/>
        <v>40.68249034312342</v>
      </c>
      <c r="AD44" s="8">
        <f t="shared" si="55"/>
        <v>51</v>
      </c>
      <c r="AE44" s="8">
        <f>((8*6))+AB44</f>
        <v>56.367436121760974</v>
      </c>
      <c r="AF44" s="8">
        <f t="shared" si="56"/>
        <v>42.480000000000004</v>
      </c>
      <c r="AG44" s="8">
        <f t="shared" si="57"/>
        <v>0.9143381258023108</v>
      </c>
      <c r="AH44" s="8">
        <f t="shared" si="58"/>
        <v>0.3798347149394777</v>
      </c>
      <c r="AI44" s="8">
        <f t="shared" si="59"/>
        <v>0.03705704535994904</v>
      </c>
      <c r="AJ44" s="8">
        <f t="shared" si="60"/>
        <v>0.8850193200560698</v>
      </c>
      <c r="AK44" s="8">
        <f t="shared" si="61"/>
        <v>0.27121660228748945</v>
      </c>
      <c r="AL44" s="8">
        <f t="shared" si="62"/>
        <v>0.2858874008268334</v>
      </c>
      <c r="AM44" s="8">
        <f t="shared" si="63"/>
        <v>0.89</v>
      </c>
      <c r="AN44" s="8">
        <f t="shared" si="64"/>
        <v>1.875</v>
      </c>
      <c r="AO44" s="8">
        <f t="shared" si="65"/>
        <v>10.3125</v>
      </c>
      <c r="AP44" s="8">
        <f t="shared" si="66"/>
        <v>181.56</v>
      </c>
      <c r="AQ44" s="8">
        <f t="shared" si="67"/>
        <v>11521.959539664864</v>
      </c>
    </row>
    <row r="45" spans="1:43" ht="12.75">
      <c r="A45">
        <v>15</v>
      </c>
      <c r="B45">
        <v>17</v>
      </c>
      <c r="C45">
        <v>7.08</v>
      </c>
      <c r="D45" s="1">
        <f t="shared" si="44"/>
        <v>778.8</v>
      </c>
      <c r="E45" s="1">
        <f t="shared" si="35"/>
        <v>424.8</v>
      </c>
      <c r="F45" s="1">
        <f t="shared" si="45"/>
        <v>247.8</v>
      </c>
      <c r="G45" s="1">
        <f t="shared" si="46"/>
        <v>1738.14</v>
      </c>
      <c r="H45" s="1">
        <f t="shared" si="36"/>
        <v>173.81400000000002</v>
      </c>
      <c r="I45" s="1">
        <f t="shared" si="37"/>
        <v>347.62800000000004</v>
      </c>
      <c r="J45" s="1">
        <f t="shared" si="38"/>
        <v>16</v>
      </c>
      <c r="K45" s="1">
        <f t="shared" si="39"/>
        <v>20</v>
      </c>
      <c r="L45" s="1">
        <f t="shared" si="40"/>
        <v>8</v>
      </c>
      <c r="M45" s="1">
        <f t="shared" si="41"/>
        <v>10</v>
      </c>
      <c r="N45" s="8">
        <f t="shared" si="42"/>
        <v>133.33333333333331</v>
      </c>
      <c r="O45" s="8">
        <f t="shared" si="43"/>
        <v>208.33333333333337</v>
      </c>
      <c r="P45">
        <v>200</v>
      </c>
      <c r="Q45" s="1">
        <v>0</v>
      </c>
      <c r="R45" s="8">
        <f t="shared" si="47"/>
        <v>1978.14</v>
      </c>
      <c r="S45" s="8"/>
      <c r="T45" s="8"/>
      <c r="U45" s="8">
        <f t="shared" si="33"/>
        <v>16.814190000000004</v>
      </c>
      <c r="V45" s="8">
        <f t="shared" si="34"/>
        <v>71.46030750000001</v>
      </c>
      <c r="W45" s="8">
        <f t="shared" si="48"/>
        <v>12.75</v>
      </c>
      <c r="X45" s="8">
        <f t="shared" si="49"/>
        <v>10.25</v>
      </c>
      <c r="Y45" s="8">
        <f t="shared" si="50"/>
        <v>0.15</v>
      </c>
      <c r="Z45" s="8">
        <f t="shared" si="51"/>
        <v>546.9</v>
      </c>
      <c r="AA45" s="8">
        <f t="shared" si="52"/>
        <v>1567.9716401535934</v>
      </c>
      <c r="AB45" s="8">
        <f t="shared" si="53"/>
        <v>14.924179799201365</v>
      </c>
      <c r="AC45" s="8">
        <f t="shared" si="54"/>
        <v>72.56139057710168</v>
      </c>
      <c r="AD45" s="8">
        <f t="shared" si="55"/>
        <v>51</v>
      </c>
      <c r="AE45" s="8">
        <f aca="true" t="shared" si="68" ref="AE45:AE60">((8*6)*2)+AB45</f>
        <v>110.92417979920137</v>
      </c>
      <c r="AF45" s="8">
        <f t="shared" si="56"/>
        <v>84.96000000000001</v>
      </c>
      <c r="AG45" s="8">
        <f t="shared" si="57"/>
        <v>1.630815746683783</v>
      </c>
      <c r="AH45" s="8">
        <f t="shared" si="58"/>
        <v>0.564296106118956</v>
      </c>
      <c r="AI45" s="8">
        <f t="shared" si="59"/>
        <v>0.0550532786457518</v>
      </c>
      <c r="AJ45" s="8">
        <f t="shared" si="60"/>
        <v>1.5931284310665828</v>
      </c>
      <c r="AK45" s="8">
        <f t="shared" si="61"/>
        <v>0.4837426038473445</v>
      </c>
      <c r="AL45" s="8">
        <f t="shared" si="62"/>
        <v>0.5099094764727133</v>
      </c>
      <c r="AM45" s="8">
        <f t="shared" si="63"/>
        <v>1.59</v>
      </c>
      <c r="AN45" s="8">
        <f t="shared" si="64"/>
        <v>1.875</v>
      </c>
      <c r="AO45" s="8">
        <f t="shared" si="65"/>
        <v>10.3125</v>
      </c>
      <c r="AP45" s="8">
        <f t="shared" si="66"/>
        <v>324.36</v>
      </c>
      <c r="AQ45" s="8">
        <f t="shared" si="67"/>
        <v>20550.59558350028</v>
      </c>
    </row>
    <row r="46" spans="1:43" ht="12.75">
      <c r="A46">
        <v>33</v>
      </c>
      <c r="B46">
        <v>17</v>
      </c>
      <c r="C46">
        <v>7.08</v>
      </c>
      <c r="D46" s="1">
        <f t="shared" si="44"/>
        <v>778.8</v>
      </c>
      <c r="E46" s="1">
        <f t="shared" si="35"/>
        <v>424.8</v>
      </c>
      <c r="F46" s="1">
        <f t="shared" si="45"/>
        <v>247.8</v>
      </c>
      <c r="G46" s="1">
        <f t="shared" si="46"/>
        <v>1738.14</v>
      </c>
      <c r="H46" s="1">
        <f t="shared" si="36"/>
        <v>173.81400000000002</v>
      </c>
      <c r="I46" s="1">
        <f t="shared" si="37"/>
        <v>347.62800000000004</v>
      </c>
      <c r="J46" s="1">
        <f t="shared" si="38"/>
        <v>16</v>
      </c>
      <c r="K46" s="1">
        <f t="shared" si="39"/>
        <v>20</v>
      </c>
      <c r="L46" s="1">
        <f t="shared" si="40"/>
        <v>8</v>
      </c>
      <c r="M46" s="1">
        <f t="shared" si="41"/>
        <v>10</v>
      </c>
      <c r="N46" s="8">
        <f t="shared" si="42"/>
        <v>133.33333333333331</v>
      </c>
      <c r="O46" s="8">
        <f t="shared" si="43"/>
        <v>208.33333333333337</v>
      </c>
      <c r="P46">
        <v>200</v>
      </c>
      <c r="Q46" s="1">
        <v>0</v>
      </c>
      <c r="R46" s="8">
        <f t="shared" si="47"/>
        <v>1978.14</v>
      </c>
      <c r="S46" s="8"/>
      <c r="T46" s="8"/>
      <c r="U46" s="8">
        <f t="shared" si="33"/>
        <v>16.814190000000004</v>
      </c>
      <c r="V46" s="8">
        <f t="shared" si="34"/>
        <v>71.46030750000001</v>
      </c>
      <c r="W46" s="8">
        <f t="shared" si="48"/>
        <v>12.75</v>
      </c>
      <c r="X46" s="8">
        <f t="shared" si="49"/>
        <v>10.25</v>
      </c>
      <c r="Y46" s="8">
        <f t="shared" si="50"/>
        <v>0.15</v>
      </c>
      <c r="Z46" s="8">
        <f t="shared" si="51"/>
        <v>546.9</v>
      </c>
      <c r="AA46" s="8">
        <f t="shared" si="52"/>
        <v>1567.9716401535934</v>
      </c>
      <c r="AB46" s="8">
        <f t="shared" si="53"/>
        <v>14.924179799201365</v>
      </c>
      <c r="AC46" s="8">
        <f t="shared" si="54"/>
        <v>72.56139057710168</v>
      </c>
      <c r="AD46" s="8">
        <f t="shared" si="55"/>
        <v>51</v>
      </c>
      <c r="AE46" s="8">
        <f t="shared" si="68"/>
        <v>110.92417979920137</v>
      </c>
      <c r="AF46" s="8">
        <f t="shared" si="56"/>
        <v>84.96000000000001</v>
      </c>
      <c r="AG46" s="8">
        <f t="shared" si="57"/>
        <v>1.630815746683783</v>
      </c>
      <c r="AH46" s="8">
        <f t="shared" si="58"/>
        <v>0.564296106118956</v>
      </c>
      <c r="AI46" s="8">
        <f t="shared" si="59"/>
        <v>0.0550532786457518</v>
      </c>
      <c r="AJ46" s="8">
        <f t="shared" si="60"/>
        <v>1.5931284310665828</v>
      </c>
      <c r="AK46" s="8">
        <f t="shared" si="61"/>
        <v>0.4837426038473445</v>
      </c>
      <c r="AL46" s="8">
        <f t="shared" si="62"/>
        <v>0.5099094764727133</v>
      </c>
      <c r="AM46" s="8">
        <f t="shared" si="63"/>
        <v>1.59</v>
      </c>
      <c r="AN46" s="8">
        <f t="shared" si="64"/>
        <v>1.875</v>
      </c>
      <c r="AO46" s="8">
        <f t="shared" si="65"/>
        <v>10.3125</v>
      </c>
      <c r="AP46" s="8">
        <f t="shared" si="66"/>
        <v>324.36</v>
      </c>
      <c r="AQ46" s="8">
        <f t="shared" si="67"/>
        <v>20550.59558350028</v>
      </c>
    </row>
    <row r="47" spans="1:43" ht="12.75">
      <c r="A47">
        <v>2</v>
      </c>
      <c r="B47">
        <v>17</v>
      </c>
      <c r="C47">
        <v>7.08</v>
      </c>
      <c r="D47" s="1">
        <f t="shared" si="44"/>
        <v>778.8</v>
      </c>
      <c r="E47" s="1">
        <f t="shared" si="35"/>
        <v>424.8</v>
      </c>
      <c r="F47" s="1">
        <f t="shared" si="45"/>
        <v>247.8</v>
      </c>
      <c r="G47" s="1">
        <f t="shared" si="46"/>
        <v>1738.14</v>
      </c>
      <c r="H47" s="1">
        <f t="shared" si="36"/>
        <v>173.81400000000002</v>
      </c>
      <c r="I47" s="1">
        <f t="shared" si="37"/>
        <v>347.62800000000004</v>
      </c>
      <c r="J47" s="1">
        <f t="shared" si="38"/>
        <v>16</v>
      </c>
      <c r="K47" s="1">
        <f t="shared" si="39"/>
        <v>20</v>
      </c>
      <c r="L47" s="1">
        <f t="shared" si="40"/>
        <v>8</v>
      </c>
      <c r="M47" s="1">
        <f t="shared" si="41"/>
        <v>10</v>
      </c>
      <c r="N47" s="8">
        <f t="shared" si="42"/>
        <v>133.33333333333331</v>
      </c>
      <c r="O47" s="8">
        <f t="shared" si="43"/>
        <v>208.33333333333337</v>
      </c>
      <c r="P47">
        <v>200</v>
      </c>
      <c r="Q47" s="1">
        <v>0</v>
      </c>
      <c r="R47" s="8">
        <f t="shared" si="47"/>
        <v>1978.14</v>
      </c>
      <c r="S47" s="8"/>
      <c r="T47" s="8"/>
      <c r="U47" s="8">
        <f t="shared" si="33"/>
        <v>16.814190000000004</v>
      </c>
      <c r="V47" s="8">
        <f t="shared" si="34"/>
        <v>71.46030750000001</v>
      </c>
      <c r="W47" s="8">
        <f t="shared" si="48"/>
        <v>12.75</v>
      </c>
      <c r="X47" s="8">
        <f t="shared" si="49"/>
        <v>10.25</v>
      </c>
      <c r="Y47" s="8">
        <f t="shared" si="50"/>
        <v>0.15</v>
      </c>
      <c r="Z47" s="8">
        <f t="shared" si="51"/>
        <v>546.9</v>
      </c>
      <c r="AA47" s="8">
        <f t="shared" si="52"/>
        <v>1567.9716401535934</v>
      </c>
      <c r="AB47" s="8">
        <f t="shared" si="53"/>
        <v>14.924179799201365</v>
      </c>
      <c r="AC47" s="8">
        <f t="shared" si="54"/>
        <v>72.56139057710168</v>
      </c>
      <c r="AD47" s="8">
        <f t="shared" si="55"/>
        <v>51</v>
      </c>
      <c r="AE47" s="8">
        <f t="shared" si="68"/>
        <v>110.92417979920137</v>
      </c>
      <c r="AF47" s="8">
        <f t="shared" si="56"/>
        <v>84.96000000000001</v>
      </c>
      <c r="AG47" s="8">
        <f t="shared" si="57"/>
        <v>1.630815746683783</v>
      </c>
      <c r="AH47" s="8">
        <f t="shared" si="58"/>
        <v>0.564296106118956</v>
      </c>
      <c r="AI47" s="8">
        <f t="shared" si="59"/>
        <v>0.0550532786457518</v>
      </c>
      <c r="AJ47" s="8">
        <f t="shared" si="60"/>
        <v>1.5931284310665828</v>
      </c>
      <c r="AK47" s="8">
        <f t="shared" si="61"/>
        <v>0.4837426038473445</v>
      </c>
      <c r="AL47" s="8">
        <f t="shared" si="62"/>
        <v>0.5099094764727133</v>
      </c>
      <c r="AM47" s="8">
        <f t="shared" si="63"/>
        <v>1.59</v>
      </c>
      <c r="AN47" s="8">
        <f t="shared" si="64"/>
        <v>1.875</v>
      </c>
      <c r="AO47" s="8">
        <f t="shared" si="65"/>
        <v>10.3125</v>
      </c>
      <c r="AP47" s="8">
        <f t="shared" si="66"/>
        <v>324.36</v>
      </c>
      <c r="AQ47" s="8">
        <f t="shared" si="67"/>
        <v>20550.59558350028</v>
      </c>
    </row>
    <row r="48" spans="1:43" ht="12.75">
      <c r="A48">
        <v>18</v>
      </c>
      <c r="B48">
        <v>17</v>
      </c>
      <c r="C48">
        <v>7.08</v>
      </c>
      <c r="D48" s="1">
        <f t="shared" si="44"/>
        <v>778.8</v>
      </c>
      <c r="E48" s="1">
        <f t="shared" si="35"/>
        <v>424.8</v>
      </c>
      <c r="F48" s="1">
        <f t="shared" si="45"/>
        <v>247.8</v>
      </c>
      <c r="G48" s="1">
        <f t="shared" si="46"/>
        <v>1738.14</v>
      </c>
      <c r="H48" s="1">
        <f t="shared" si="36"/>
        <v>173.81400000000002</v>
      </c>
      <c r="I48" s="1">
        <f t="shared" si="37"/>
        <v>347.62800000000004</v>
      </c>
      <c r="J48" s="1">
        <f t="shared" si="38"/>
        <v>16</v>
      </c>
      <c r="K48" s="1">
        <f t="shared" si="39"/>
        <v>20</v>
      </c>
      <c r="L48" s="1">
        <f t="shared" si="40"/>
        <v>8</v>
      </c>
      <c r="M48" s="1">
        <f t="shared" si="41"/>
        <v>10</v>
      </c>
      <c r="N48" s="8">
        <f t="shared" si="42"/>
        <v>133.33333333333331</v>
      </c>
      <c r="O48" s="8">
        <f t="shared" si="43"/>
        <v>208.33333333333337</v>
      </c>
      <c r="P48">
        <v>200</v>
      </c>
      <c r="Q48" s="1">
        <v>0</v>
      </c>
      <c r="R48" s="8">
        <f t="shared" si="47"/>
        <v>1978.14</v>
      </c>
      <c r="S48" s="8"/>
      <c r="T48" s="8"/>
      <c r="U48" s="8">
        <f t="shared" si="33"/>
        <v>16.814190000000004</v>
      </c>
      <c r="V48" s="8">
        <f t="shared" si="34"/>
        <v>71.46030750000001</v>
      </c>
      <c r="W48" s="8">
        <f t="shared" si="48"/>
        <v>12.75</v>
      </c>
      <c r="X48" s="8">
        <f t="shared" si="49"/>
        <v>10.25</v>
      </c>
      <c r="Y48" s="8">
        <f t="shared" si="50"/>
        <v>0.15</v>
      </c>
      <c r="Z48" s="8">
        <f t="shared" si="51"/>
        <v>546.9</v>
      </c>
      <c r="AA48" s="8">
        <f t="shared" si="52"/>
        <v>1567.9716401535934</v>
      </c>
      <c r="AB48" s="8">
        <f t="shared" si="53"/>
        <v>14.924179799201365</v>
      </c>
      <c r="AC48" s="8">
        <f t="shared" si="54"/>
        <v>72.56139057710168</v>
      </c>
      <c r="AD48" s="8">
        <f t="shared" si="55"/>
        <v>51</v>
      </c>
      <c r="AE48" s="8">
        <f t="shared" si="68"/>
        <v>110.92417979920137</v>
      </c>
      <c r="AF48" s="8">
        <f t="shared" si="56"/>
        <v>84.96000000000001</v>
      </c>
      <c r="AG48" s="8">
        <f t="shared" si="57"/>
        <v>1.630815746683783</v>
      </c>
      <c r="AH48" s="8">
        <f t="shared" si="58"/>
        <v>0.564296106118956</v>
      </c>
      <c r="AI48" s="8">
        <f t="shared" si="59"/>
        <v>0.0550532786457518</v>
      </c>
      <c r="AJ48" s="8">
        <f t="shared" si="60"/>
        <v>1.5931284310665828</v>
      </c>
      <c r="AK48" s="8">
        <f t="shared" si="61"/>
        <v>0.4837426038473445</v>
      </c>
      <c r="AL48" s="8">
        <f t="shared" si="62"/>
        <v>0.5099094764727133</v>
      </c>
      <c r="AM48" s="8">
        <f t="shared" si="63"/>
        <v>1.59</v>
      </c>
      <c r="AN48" s="8">
        <f t="shared" si="64"/>
        <v>1.875</v>
      </c>
      <c r="AO48" s="8">
        <f t="shared" si="65"/>
        <v>10.3125</v>
      </c>
      <c r="AP48" s="8">
        <f t="shared" si="66"/>
        <v>324.36</v>
      </c>
      <c r="AQ48" s="8">
        <f t="shared" si="67"/>
        <v>20550.59558350028</v>
      </c>
    </row>
    <row r="49" spans="1:43" ht="12.75">
      <c r="A49">
        <v>4</v>
      </c>
      <c r="B49">
        <v>22.4</v>
      </c>
      <c r="C49">
        <v>9</v>
      </c>
      <c r="D49" s="1">
        <f t="shared" si="44"/>
        <v>990</v>
      </c>
      <c r="E49" s="1">
        <f t="shared" si="35"/>
        <v>540</v>
      </c>
      <c r="F49" s="1">
        <f t="shared" si="45"/>
        <v>315</v>
      </c>
      <c r="G49" s="1">
        <f t="shared" si="46"/>
        <v>2209.5</v>
      </c>
      <c r="H49" s="1">
        <f t="shared" si="36"/>
        <v>220.95000000000002</v>
      </c>
      <c r="I49" s="1">
        <f t="shared" si="37"/>
        <v>441.90000000000003</v>
      </c>
      <c r="J49" s="1">
        <f t="shared" si="38"/>
        <v>22</v>
      </c>
      <c r="K49" s="1">
        <f t="shared" si="39"/>
        <v>27</v>
      </c>
      <c r="L49" s="1">
        <f t="shared" si="40"/>
        <v>11</v>
      </c>
      <c r="M49" s="1">
        <f t="shared" si="41"/>
        <v>14</v>
      </c>
      <c r="N49" s="8">
        <f t="shared" si="42"/>
        <v>252.08333333333331</v>
      </c>
      <c r="O49" s="8">
        <f t="shared" si="43"/>
        <v>393.75</v>
      </c>
      <c r="P49">
        <v>300</v>
      </c>
      <c r="Q49" s="1">
        <v>0</v>
      </c>
      <c r="R49" s="8">
        <f t="shared" si="47"/>
        <v>2569.5</v>
      </c>
      <c r="S49" s="8"/>
      <c r="T49" s="8"/>
      <c r="U49" s="8">
        <f t="shared" si="33"/>
        <v>28.778399999999998</v>
      </c>
      <c r="V49" s="8">
        <f t="shared" si="34"/>
        <v>161.15903999999998</v>
      </c>
      <c r="W49" s="8">
        <f t="shared" si="48"/>
        <v>16.799999999999997</v>
      </c>
      <c r="X49" s="8">
        <f t="shared" si="49"/>
        <v>14.299999999999997</v>
      </c>
      <c r="Y49" s="8">
        <f t="shared" si="50"/>
        <v>0.15</v>
      </c>
      <c r="Z49" s="8">
        <f t="shared" si="51"/>
        <v>546.9</v>
      </c>
      <c r="AA49" s="8">
        <f t="shared" si="52"/>
        <v>3536.1281404278657</v>
      </c>
      <c r="AB49" s="8">
        <f t="shared" si="53"/>
        <v>17.292425744182438</v>
      </c>
      <c r="AC49" s="8">
        <f t="shared" si="54"/>
        <v>117.29600372693491</v>
      </c>
      <c r="AD49" s="8">
        <f t="shared" si="55"/>
        <v>67.19999999999999</v>
      </c>
      <c r="AE49" s="8">
        <f t="shared" si="68"/>
        <v>113.29242574418244</v>
      </c>
      <c r="AF49" s="8">
        <f t="shared" si="56"/>
        <v>108</v>
      </c>
      <c r="AG49" s="8">
        <f t="shared" si="57"/>
        <v>2.6362252484357747</v>
      </c>
      <c r="AH49" s="8">
        <f t="shared" si="58"/>
        <v>0.6922860421312435</v>
      </c>
      <c r="AI49" s="8">
        <f t="shared" si="59"/>
        <v>0.0484116113378492</v>
      </c>
      <c r="AJ49" s="8">
        <f t="shared" si="60"/>
        <v>2.5665391335217027</v>
      </c>
      <c r="AK49" s="8">
        <f t="shared" si="61"/>
        <v>0.781973358179566</v>
      </c>
      <c r="AL49" s="8">
        <f t="shared" si="62"/>
        <v>0.8242722938060294</v>
      </c>
      <c r="AM49" s="8">
        <f t="shared" si="63"/>
        <v>2.57</v>
      </c>
      <c r="AN49" s="8">
        <f t="shared" si="64"/>
        <v>1.875</v>
      </c>
      <c r="AO49" s="8">
        <f t="shared" si="65"/>
        <v>10.3125</v>
      </c>
      <c r="AP49" s="8">
        <f t="shared" si="66"/>
        <v>690.8159999999998</v>
      </c>
      <c r="AQ49" s="8">
        <f t="shared" si="67"/>
        <v>50200.60363239136</v>
      </c>
    </row>
    <row r="50" spans="1:43" ht="12.75">
      <c r="A50">
        <v>20</v>
      </c>
      <c r="B50">
        <v>22.4</v>
      </c>
      <c r="C50">
        <v>9</v>
      </c>
      <c r="D50" s="1">
        <f t="shared" si="44"/>
        <v>990</v>
      </c>
      <c r="E50" s="1">
        <f t="shared" si="35"/>
        <v>540</v>
      </c>
      <c r="F50" s="1">
        <f t="shared" si="45"/>
        <v>315</v>
      </c>
      <c r="G50" s="1">
        <f t="shared" si="46"/>
        <v>2209.5</v>
      </c>
      <c r="H50" s="1">
        <f t="shared" si="36"/>
        <v>220.95000000000002</v>
      </c>
      <c r="I50" s="1">
        <f t="shared" si="37"/>
        <v>441.90000000000003</v>
      </c>
      <c r="J50" s="1">
        <f t="shared" si="38"/>
        <v>22</v>
      </c>
      <c r="K50" s="1">
        <f t="shared" si="39"/>
        <v>27</v>
      </c>
      <c r="L50" s="1">
        <f t="shared" si="40"/>
        <v>11</v>
      </c>
      <c r="M50" s="1">
        <f t="shared" si="41"/>
        <v>14</v>
      </c>
      <c r="N50" s="8">
        <f t="shared" si="42"/>
        <v>252.08333333333331</v>
      </c>
      <c r="O50" s="8">
        <f t="shared" si="43"/>
        <v>393.75</v>
      </c>
      <c r="P50">
        <v>300</v>
      </c>
      <c r="Q50" s="1">
        <v>0</v>
      </c>
      <c r="R50" s="8">
        <f t="shared" si="47"/>
        <v>2569.5</v>
      </c>
      <c r="S50" s="8"/>
      <c r="T50" s="8"/>
      <c r="U50" s="8">
        <f t="shared" si="33"/>
        <v>28.778399999999998</v>
      </c>
      <c r="V50" s="8">
        <f t="shared" si="34"/>
        <v>161.15903999999998</v>
      </c>
      <c r="W50" s="8">
        <f t="shared" si="48"/>
        <v>16.799999999999997</v>
      </c>
      <c r="X50" s="8">
        <f t="shared" si="49"/>
        <v>14.299999999999997</v>
      </c>
      <c r="Y50" s="8">
        <f t="shared" si="50"/>
        <v>0.15</v>
      </c>
      <c r="Z50" s="8">
        <f t="shared" si="51"/>
        <v>546.9</v>
      </c>
      <c r="AA50" s="8">
        <f t="shared" si="52"/>
        <v>3536.1281404278657</v>
      </c>
      <c r="AB50" s="8">
        <f t="shared" si="53"/>
        <v>17.292425744182438</v>
      </c>
      <c r="AC50" s="8">
        <f t="shared" si="54"/>
        <v>117.29600372693491</v>
      </c>
      <c r="AD50" s="8">
        <f t="shared" si="55"/>
        <v>67.19999999999999</v>
      </c>
      <c r="AE50" s="8">
        <f t="shared" si="68"/>
        <v>113.29242574418244</v>
      </c>
      <c r="AF50" s="8">
        <f t="shared" si="56"/>
        <v>108</v>
      </c>
      <c r="AG50" s="8">
        <f t="shared" si="57"/>
        <v>2.6362252484357747</v>
      </c>
      <c r="AH50" s="8">
        <f t="shared" si="58"/>
        <v>0.6922860421312435</v>
      </c>
      <c r="AI50" s="8">
        <f t="shared" si="59"/>
        <v>0.0484116113378492</v>
      </c>
      <c r="AJ50" s="8">
        <f t="shared" si="60"/>
        <v>2.5665391335217027</v>
      </c>
      <c r="AK50" s="8">
        <f t="shared" si="61"/>
        <v>0.781973358179566</v>
      </c>
      <c r="AL50" s="8">
        <f t="shared" si="62"/>
        <v>0.8242722938060294</v>
      </c>
      <c r="AM50" s="8">
        <f t="shared" si="63"/>
        <v>2.57</v>
      </c>
      <c r="AN50" s="8">
        <f t="shared" si="64"/>
        <v>1.875</v>
      </c>
      <c r="AO50" s="8">
        <f t="shared" si="65"/>
        <v>10.3125</v>
      </c>
      <c r="AP50" s="8">
        <f t="shared" si="66"/>
        <v>690.8159999999998</v>
      </c>
      <c r="AQ50" s="8">
        <f t="shared" si="67"/>
        <v>50200.60363239136</v>
      </c>
    </row>
    <row r="51" spans="1:43" ht="12.75">
      <c r="A51">
        <v>13</v>
      </c>
      <c r="B51">
        <v>22.4</v>
      </c>
      <c r="C51">
        <v>9</v>
      </c>
      <c r="D51" s="1">
        <f t="shared" si="44"/>
        <v>990</v>
      </c>
      <c r="E51" s="1">
        <f t="shared" si="35"/>
        <v>540</v>
      </c>
      <c r="F51" s="1">
        <f t="shared" si="45"/>
        <v>315</v>
      </c>
      <c r="G51" s="1">
        <f t="shared" si="46"/>
        <v>2209.5</v>
      </c>
      <c r="H51" s="1">
        <f t="shared" si="36"/>
        <v>220.95000000000002</v>
      </c>
      <c r="I51" s="1">
        <f t="shared" si="37"/>
        <v>441.90000000000003</v>
      </c>
      <c r="J51" s="1">
        <f t="shared" si="38"/>
        <v>22</v>
      </c>
      <c r="K51" s="1">
        <f t="shared" si="39"/>
        <v>27</v>
      </c>
      <c r="L51" s="1">
        <f t="shared" si="40"/>
        <v>11</v>
      </c>
      <c r="M51" s="1">
        <f t="shared" si="41"/>
        <v>14</v>
      </c>
      <c r="N51" s="8">
        <f t="shared" si="42"/>
        <v>252.08333333333331</v>
      </c>
      <c r="O51" s="8">
        <f t="shared" si="43"/>
        <v>393.75</v>
      </c>
      <c r="P51">
        <v>300</v>
      </c>
      <c r="Q51" s="1">
        <v>0</v>
      </c>
      <c r="R51" s="8">
        <f t="shared" si="47"/>
        <v>2569.5</v>
      </c>
      <c r="S51" s="8"/>
      <c r="T51" s="8"/>
      <c r="U51" s="8">
        <f t="shared" si="33"/>
        <v>28.778399999999998</v>
      </c>
      <c r="V51" s="8">
        <f t="shared" si="34"/>
        <v>161.15903999999998</v>
      </c>
      <c r="W51" s="8">
        <f t="shared" si="48"/>
        <v>16.799999999999997</v>
      </c>
      <c r="X51" s="8">
        <f t="shared" si="49"/>
        <v>14.299999999999997</v>
      </c>
      <c r="Y51" s="8">
        <f t="shared" si="50"/>
        <v>0.15</v>
      </c>
      <c r="Z51" s="8">
        <f t="shared" si="51"/>
        <v>546.9</v>
      </c>
      <c r="AA51" s="8">
        <f t="shared" si="52"/>
        <v>3536.1281404278657</v>
      </c>
      <c r="AB51" s="8">
        <f t="shared" si="53"/>
        <v>17.292425744182438</v>
      </c>
      <c r="AC51" s="8">
        <f t="shared" si="54"/>
        <v>117.29600372693491</v>
      </c>
      <c r="AD51" s="8">
        <f t="shared" si="55"/>
        <v>67.19999999999999</v>
      </c>
      <c r="AE51" s="8">
        <f t="shared" si="68"/>
        <v>113.29242574418244</v>
      </c>
      <c r="AF51" s="8">
        <f t="shared" si="56"/>
        <v>108</v>
      </c>
      <c r="AG51" s="8">
        <f t="shared" si="57"/>
        <v>2.6362252484357747</v>
      </c>
      <c r="AH51" s="8">
        <f t="shared" si="58"/>
        <v>0.6922860421312435</v>
      </c>
      <c r="AI51" s="8">
        <f t="shared" si="59"/>
        <v>0.0484116113378492</v>
      </c>
      <c r="AJ51" s="8">
        <f t="shared" si="60"/>
        <v>2.5665391335217027</v>
      </c>
      <c r="AK51" s="8">
        <f t="shared" si="61"/>
        <v>0.781973358179566</v>
      </c>
      <c r="AL51" s="8">
        <f t="shared" si="62"/>
        <v>0.8242722938060294</v>
      </c>
      <c r="AM51" s="8">
        <f t="shared" si="63"/>
        <v>2.57</v>
      </c>
      <c r="AN51" s="8">
        <f t="shared" si="64"/>
        <v>1.875</v>
      </c>
      <c r="AO51" s="8">
        <f t="shared" si="65"/>
        <v>10.3125</v>
      </c>
      <c r="AP51" s="8">
        <f t="shared" si="66"/>
        <v>690.8159999999998</v>
      </c>
      <c r="AQ51" s="8">
        <f t="shared" si="67"/>
        <v>50200.60363239136</v>
      </c>
    </row>
    <row r="52" spans="1:43" ht="12.75">
      <c r="A52">
        <v>31</v>
      </c>
      <c r="B52">
        <v>22.4</v>
      </c>
      <c r="C52">
        <v>9</v>
      </c>
      <c r="D52" s="1">
        <f t="shared" si="44"/>
        <v>990</v>
      </c>
      <c r="E52" s="1">
        <f t="shared" si="35"/>
        <v>540</v>
      </c>
      <c r="F52" s="1">
        <f t="shared" si="45"/>
        <v>315</v>
      </c>
      <c r="G52" s="1">
        <f t="shared" si="46"/>
        <v>2209.5</v>
      </c>
      <c r="H52" s="1">
        <f t="shared" si="36"/>
        <v>220.95000000000002</v>
      </c>
      <c r="I52" s="1">
        <f t="shared" si="37"/>
        <v>441.90000000000003</v>
      </c>
      <c r="J52" s="1">
        <f t="shared" si="38"/>
        <v>22</v>
      </c>
      <c r="K52" s="1">
        <f t="shared" si="39"/>
        <v>27</v>
      </c>
      <c r="L52" s="1">
        <f t="shared" si="40"/>
        <v>11</v>
      </c>
      <c r="M52" s="1">
        <f t="shared" si="41"/>
        <v>14</v>
      </c>
      <c r="N52" s="8">
        <f t="shared" si="42"/>
        <v>252.08333333333331</v>
      </c>
      <c r="O52" s="8">
        <f t="shared" si="43"/>
        <v>393.75</v>
      </c>
      <c r="P52">
        <v>300</v>
      </c>
      <c r="Q52" s="1">
        <v>0</v>
      </c>
      <c r="R52" s="8">
        <f t="shared" si="47"/>
        <v>2569.5</v>
      </c>
      <c r="S52" s="8"/>
      <c r="T52" s="8"/>
      <c r="U52" s="8">
        <f t="shared" si="33"/>
        <v>28.778399999999998</v>
      </c>
      <c r="V52" s="8">
        <f t="shared" si="34"/>
        <v>161.15903999999998</v>
      </c>
      <c r="W52" s="8">
        <f t="shared" si="48"/>
        <v>16.799999999999997</v>
      </c>
      <c r="X52" s="8">
        <f t="shared" si="49"/>
        <v>14.299999999999997</v>
      </c>
      <c r="Y52" s="8">
        <f t="shared" si="50"/>
        <v>0.15</v>
      </c>
      <c r="Z52" s="8">
        <f t="shared" si="51"/>
        <v>546.9</v>
      </c>
      <c r="AA52" s="8">
        <f t="shared" si="52"/>
        <v>3536.1281404278657</v>
      </c>
      <c r="AB52" s="8">
        <f t="shared" si="53"/>
        <v>17.292425744182438</v>
      </c>
      <c r="AC52" s="8">
        <f t="shared" si="54"/>
        <v>117.29600372693491</v>
      </c>
      <c r="AD52" s="8">
        <f t="shared" si="55"/>
        <v>67.19999999999999</v>
      </c>
      <c r="AE52" s="8">
        <f t="shared" si="68"/>
        <v>113.29242574418244</v>
      </c>
      <c r="AF52" s="8">
        <f t="shared" si="56"/>
        <v>108</v>
      </c>
      <c r="AG52" s="8">
        <f t="shared" si="57"/>
        <v>2.6362252484357747</v>
      </c>
      <c r="AH52" s="8">
        <f t="shared" si="58"/>
        <v>0.6922860421312435</v>
      </c>
      <c r="AI52" s="8">
        <f t="shared" si="59"/>
        <v>0.0484116113378492</v>
      </c>
      <c r="AJ52" s="8">
        <f t="shared" si="60"/>
        <v>2.5665391335217027</v>
      </c>
      <c r="AK52" s="8">
        <f t="shared" si="61"/>
        <v>0.781973358179566</v>
      </c>
      <c r="AL52" s="8">
        <f t="shared" si="62"/>
        <v>0.8242722938060294</v>
      </c>
      <c r="AM52" s="8">
        <f t="shared" si="63"/>
        <v>2.57</v>
      </c>
      <c r="AN52" s="8">
        <f t="shared" si="64"/>
        <v>1.875</v>
      </c>
      <c r="AO52" s="8">
        <f t="shared" si="65"/>
        <v>10.3125</v>
      </c>
      <c r="AP52" s="8">
        <f t="shared" si="66"/>
        <v>690.8159999999998</v>
      </c>
      <c r="AQ52" s="8">
        <f t="shared" si="67"/>
        <v>50200.60363239136</v>
      </c>
    </row>
    <row r="53" spans="1:43" ht="12.75">
      <c r="A53" s="6" t="s">
        <v>108</v>
      </c>
      <c r="B53">
        <v>24</v>
      </c>
      <c r="C53">
        <v>7.16</v>
      </c>
      <c r="D53" s="1">
        <f t="shared" si="44"/>
        <v>787.6</v>
      </c>
      <c r="E53" s="1">
        <f t="shared" si="35"/>
        <v>429.6</v>
      </c>
      <c r="F53" s="1">
        <f t="shared" si="45"/>
        <v>250.6</v>
      </c>
      <c r="G53" s="1">
        <f t="shared" si="46"/>
        <v>1757.78</v>
      </c>
      <c r="H53" s="1">
        <f t="shared" si="36"/>
        <v>175.77800000000002</v>
      </c>
      <c r="I53" s="1">
        <f t="shared" si="37"/>
        <v>351.55600000000004</v>
      </c>
      <c r="J53" s="1">
        <f t="shared" si="38"/>
        <v>23</v>
      </c>
      <c r="K53" s="1">
        <f t="shared" si="39"/>
        <v>29</v>
      </c>
      <c r="L53" s="1">
        <f t="shared" si="40"/>
        <v>12</v>
      </c>
      <c r="M53" s="1">
        <f t="shared" si="41"/>
        <v>15</v>
      </c>
      <c r="N53" s="8">
        <f t="shared" si="42"/>
        <v>287.5</v>
      </c>
      <c r="O53" s="8">
        <f t="shared" si="43"/>
        <v>453.12499999999994</v>
      </c>
      <c r="P53">
        <v>300</v>
      </c>
      <c r="Q53" s="1">
        <v>0</v>
      </c>
      <c r="R53" s="8">
        <f t="shared" si="47"/>
        <v>2117.7799999999997</v>
      </c>
      <c r="S53" s="8">
        <v>22.45</v>
      </c>
      <c r="T53" s="8">
        <v>47.88</v>
      </c>
      <c r="U53" s="8">
        <v>25.25</v>
      </c>
      <c r="V53" s="8">
        <v>118.87</v>
      </c>
      <c r="W53" s="8">
        <f t="shared" si="48"/>
        <v>18</v>
      </c>
      <c r="X53" s="8">
        <f t="shared" si="49"/>
        <v>15.5</v>
      </c>
      <c r="Y53" s="8">
        <f t="shared" si="50"/>
        <v>0.15</v>
      </c>
      <c r="Z53" s="8">
        <f t="shared" si="51"/>
        <v>546.9</v>
      </c>
      <c r="AA53" s="8">
        <f t="shared" si="52"/>
        <v>2608.2281952825015</v>
      </c>
      <c r="AB53" s="8">
        <f t="shared" si="53"/>
        <v>10.856308825317385</v>
      </c>
      <c r="AC53" s="8">
        <f t="shared" si="54"/>
        <v>79.81879117319173</v>
      </c>
      <c r="AD53" s="8">
        <f t="shared" si="55"/>
        <v>72</v>
      </c>
      <c r="AE53" s="8">
        <f t="shared" si="68"/>
        <v>106.85630882531738</v>
      </c>
      <c r="AF53" s="8">
        <f t="shared" si="56"/>
        <v>85.92</v>
      </c>
      <c r="AG53" s="8">
        <f t="shared" si="57"/>
        <v>1.7939256744010563</v>
      </c>
      <c r="AH53" s="8">
        <f t="shared" si="58"/>
        <v>0.43968766529437653</v>
      </c>
      <c r="AI53" s="8">
        <f t="shared" si="59"/>
        <v>0.02836694614802429</v>
      </c>
      <c r="AJ53" s="8">
        <f t="shared" si="60"/>
        <v>1.7287490563738055</v>
      </c>
      <c r="AK53" s="8">
        <f t="shared" si="61"/>
        <v>0.5321252744879448</v>
      </c>
      <c r="AL53" s="8">
        <f t="shared" si="62"/>
        <v>0.5609092893080648</v>
      </c>
      <c r="AM53" s="8">
        <f t="shared" si="63"/>
        <v>1.73</v>
      </c>
      <c r="AN53" s="8">
        <f t="shared" si="64"/>
        <v>1.875</v>
      </c>
      <c r="AO53" s="8">
        <f t="shared" si="65"/>
        <v>10.3125</v>
      </c>
      <c r="AP53" s="8">
        <f t="shared" si="66"/>
        <v>498.24</v>
      </c>
      <c r="AQ53" s="8">
        <f t="shared" si="67"/>
        <v>37519.40330029688</v>
      </c>
    </row>
    <row r="54" spans="1:43" ht="12.75">
      <c r="A54" s="6" t="s">
        <v>109</v>
      </c>
      <c r="B54">
        <v>24</v>
      </c>
      <c r="C54">
        <v>7.16</v>
      </c>
      <c r="D54" s="1">
        <f t="shared" si="44"/>
        <v>787.6</v>
      </c>
      <c r="E54" s="1">
        <f t="shared" si="35"/>
        <v>429.6</v>
      </c>
      <c r="F54" s="1">
        <f t="shared" si="45"/>
        <v>250.6</v>
      </c>
      <c r="G54" s="1">
        <f t="shared" si="46"/>
        <v>1757.78</v>
      </c>
      <c r="H54" s="1">
        <f t="shared" si="36"/>
        <v>175.77800000000002</v>
      </c>
      <c r="I54" s="1">
        <f t="shared" si="37"/>
        <v>351.55600000000004</v>
      </c>
      <c r="J54" s="1">
        <f t="shared" si="38"/>
        <v>23</v>
      </c>
      <c r="K54" s="1">
        <f t="shared" si="39"/>
        <v>29</v>
      </c>
      <c r="L54" s="1">
        <f t="shared" si="40"/>
        <v>12</v>
      </c>
      <c r="M54" s="1">
        <f t="shared" si="41"/>
        <v>15</v>
      </c>
      <c r="N54" s="8">
        <f t="shared" si="42"/>
        <v>287.5</v>
      </c>
      <c r="O54" s="8">
        <f t="shared" si="43"/>
        <v>453.12499999999994</v>
      </c>
      <c r="P54">
        <v>300</v>
      </c>
      <c r="Q54" s="1">
        <v>0</v>
      </c>
      <c r="R54" s="8">
        <f t="shared" si="47"/>
        <v>2117.7799999999997</v>
      </c>
      <c r="S54" s="8">
        <v>22.45</v>
      </c>
      <c r="T54" s="8">
        <v>47.88</v>
      </c>
      <c r="U54" s="8">
        <v>25.25</v>
      </c>
      <c r="V54" s="8">
        <v>611</v>
      </c>
      <c r="W54" s="8">
        <f t="shared" si="48"/>
        <v>18</v>
      </c>
      <c r="X54" s="8">
        <f t="shared" si="49"/>
        <v>15.5</v>
      </c>
      <c r="Y54" s="8">
        <f t="shared" si="50"/>
        <v>0.15</v>
      </c>
      <c r="Z54" s="8">
        <f t="shared" si="51"/>
        <v>546.9</v>
      </c>
      <c r="AA54" s="8">
        <f t="shared" si="52"/>
        <v>13406.472846955568</v>
      </c>
      <c r="AB54" s="8">
        <f t="shared" si="53"/>
        <v>55.80217626204191</v>
      </c>
      <c r="AC54" s="8">
        <f t="shared" si="54"/>
        <v>410.2740927636925</v>
      </c>
      <c r="AD54" s="8">
        <f t="shared" si="55"/>
        <v>72</v>
      </c>
      <c r="AE54" s="8">
        <f t="shared" si="68"/>
        <v>151.8021762620419</v>
      </c>
      <c r="AF54" s="8">
        <f t="shared" si="56"/>
        <v>85.92</v>
      </c>
      <c r="AG54" s="8">
        <f t="shared" si="57"/>
        <v>9.220901716657234</v>
      </c>
      <c r="AH54" s="8">
        <f t="shared" si="58"/>
        <v>2.260024930553244</v>
      </c>
      <c r="AI54" s="8">
        <f t="shared" si="59"/>
        <v>0.14580806003569316</v>
      </c>
      <c r="AJ54" s="8">
        <f t="shared" si="60"/>
        <v>9.448705327662033</v>
      </c>
      <c r="AK54" s="8">
        <f t="shared" si="61"/>
        <v>2.735160618424617</v>
      </c>
      <c r="AL54" s="8">
        <f t="shared" si="62"/>
        <v>2.883112440205499</v>
      </c>
      <c r="AM54" s="8">
        <f t="shared" si="63"/>
        <v>9.45</v>
      </c>
      <c r="AN54" s="8">
        <f t="shared" si="64"/>
        <v>1.875</v>
      </c>
      <c r="AO54" s="8">
        <f t="shared" si="65"/>
        <v>10.3125</v>
      </c>
      <c r="AP54" s="8">
        <f t="shared" si="66"/>
        <v>2721.6</v>
      </c>
      <c r="AQ54" s="8">
        <f t="shared" si="67"/>
        <v>192852.32116161686</v>
      </c>
    </row>
    <row r="55" spans="1:43" ht="12.75">
      <c r="A55" s="6" t="s">
        <v>107</v>
      </c>
      <c r="B55">
        <v>24</v>
      </c>
      <c r="C55">
        <v>7.16</v>
      </c>
      <c r="D55" s="1">
        <f t="shared" si="44"/>
        <v>787.6</v>
      </c>
      <c r="E55" s="1">
        <f t="shared" si="35"/>
        <v>429.6</v>
      </c>
      <c r="F55" s="1">
        <f t="shared" si="45"/>
        <v>250.6</v>
      </c>
      <c r="G55" s="1">
        <f t="shared" si="46"/>
        <v>1757.78</v>
      </c>
      <c r="H55" s="1">
        <f t="shared" si="36"/>
        <v>175.77800000000002</v>
      </c>
      <c r="I55" s="1">
        <f t="shared" si="37"/>
        <v>351.55600000000004</v>
      </c>
      <c r="J55" s="1">
        <f t="shared" si="38"/>
        <v>23</v>
      </c>
      <c r="K55" s="1">
        <f t="shared" si="39"/>
        <v>29</v>
      </c>
      <c r="L55" s="1">
        <f t="shared" si="40"/>
        <v>12</v>
      </c>
      <c r="M55" s="1">
        <f t="shared" si="41"/>
        <v>15</v>
      </c>
      <c r="N55" s="8">
        <f t="shared" si="42"/>
        <v>287.5</v>
      </c>
      <c r="O55" s="8">
        <f t="shared" si="43"/>
        <v>453.12499999999994</v>
      </c>
      <c r="P55">
        <v>300</v>
      </c>
      <c r="Q55" s="1">
        <v>0</v>
      </c>
      <c r="R55" s="8">
        <f t="shared" si="47"/>
        <v>2117.7799999999997</v>
      </c>
      <c r="S55" s="8">
        <v>22.45</v>
      </c>
      <c r="T55" s="8">
        <v>47.88</v>
      </c>
      <c r="U55" s="8">
        <v>25.25</v>
      </c>
      <c r="V55" s="8">
        <v>118.87</v>
      </c>
      <c r="W55" s="8">
        <f t="shared" si="48"/>
        <v>18</v>
      </c>
      <c r="X55" s="8">
        <f t="shared" si="49"/>
        <v>15.5</v>
      </c>
      <c r="Y55" s="8">
        <f t="shared" si="50"/>
        <v>0.15</v>
      </c>
      <c r="Z55" s="8">
        <f t="shared" si="51"/>
        <v>546.9</v>
      </c>
      <c r="AA55" s="8">
        <f t="shared" si="52"/>
        <v>2608.2281952825015</v>
      </c>
      <c r="AB55" s="8">
        <f t="shared" si="53"/>
        <v>10.856308825317385</v>
      </c>
      <c r="AC55" s="8">
        <f t="shared" si="54"/>
        <v>79.81879117319173</v>
      </c>
      <c r="AD55" s="8">
        <f t="shared" si="55"/>
        <v>72</v>
      </c>
      <c r="AE55" s="8">
        <f t="shared" si="68"/>
        <v>106.85630882531738</v>
      </c>
      <c r="AF55" s="8">
        <f t="shared" si="56"/>
        <v>85.92</v>
      </c>
      <c r="AG55" s="8">
        <f t="shared" si="57"/>
        <v>1.7939256744010563</v>
      </c>
      <c r="AH55" s="8">
        <f t="shared" si="58"/>
        <v>0.43968766529437653</v>
      </c>
      <c r="AI55" s="8">
        <f t="shared" si="59"/>
        <v>0.02836694614802429</v>
      </c>
      <c r="AJ55" s="8">
        <f t="shared" si="60"/>
        <v>1.7287490563738055</v>
      </c>
      <c r="AK55" s="8">
        <f t="shared" si="61"/>
        <v>0.5321252744879448</v>
      </c>
      <c r="AL55" s="8">
        <f t="shared" si="62"/>
        <v>0.5609092893080648</v>
      </c>
      <c r="AM55" s="8">
        <f t="shared" si="63"/>
        <v>1.73</v>
      </c>
      <c r="AN55" s="8">
        <f t="shared" si="64"/>
        <v>1.875</v>
      </c>
      <c r="AO55" s="8">
        <f t="shared" si="65"/>
        <v>10.3125</v>
      </c>
      <c r="AP55" s="8">
        <f t="shared" si="66"/>
        <v>498.24</v>
      </c>
      <c r="AQ55" s="8">
        <f t="shared" si="67"/>
        <v>37519.40330029688</v>
      </c>
    </row>
    <row r="56" spans="1:43" ht="12.75">
      <c r="A56" s="6" t="s">
        <v>106</v>
      </c>
      <c r="B56">
        <v>24</v>
      </c>
      <c r="C56">
        <v>7.16</v>
      </c>
      <c r="D56" s="1">
        <f t="shared" si="44"/>
        <v>787.6</v>
      </c>
      <c r="E56" s="1">
        <f t="shared" si="35"/>
        <v>429.6</v>
      </c>
      <c r="F56" s="1">
        <f t="shared" si="45"/>
        <v>250.6</v>
      </c>
      <c r="G56" s="1">
        <f t="shared" si="46"/>
        <v>1757.78</v>
      </c>
      <c r="H56" s="1">
        <f t="shared" si="36"/>
        <v>175.77800000000002</v>
      </c>
      <c r="I56" s="1">
        <f t="shared" si="37"/>
        <v>351.55600000000004</v>
      </c>
      <c r="J56" s="1">
        <f t="shared" si="38"/>
        <v>23</v>
      </c>
      <c r="K56" s="1">
        <f t="shared" si="39"/>
        <v>29</v>
      </c>
      <c r="L56" s="1">
        <f t="shared" si="40"/>
        <v>12</v>
      </c>
      <c r="M56" s="1">
        <f t="shared" si="41"/>
        <v>15</v>
      </c>
      <c r="N56" s="8">
        <f t="shared" si="42"/>
        <v>287.5</v>
      </c>
      <c r="O56" s="8">
        <f t="shared" si="43"/>
        <v>453.12499999999994</v>
      </c>
      <c r="P56">
        <v>300</v>
      </c>
      <c r="Q56" s="1">
        <v>0</v>
      </c>
      <c r="R56" s="8">
        <f t="shared" si="47"/>
        <v>2117.7799999999997</v>
      </c>
      <c r="S56" s="8">
        <v>22.45</v>
      </c>
      <c r="T56" s="8">
        <v>47.88</v>
      </c>
      <c r="U56" s="8">
        <v>25.25</v>
      </c>
      <c r="V56" s="8">
        <v>611</v>
      </c>
      <c r="W56" s="8">
        <f t="shared" si="48"/>
        <v>18</v>
      </c>
      <c r="X56" s="8">
        <f t="shared" si="49"/>
        <v>15.5</v>
      </c>
      <c r="Y56" s="8">
        <f t="shared" si="50"/>
        <v>0.15</v>
      </c>
      <c r="Z56" s="8">
        <f t="shared" si="51"/>
        <v>546.9</v>
      </c>
      <c r="AA56" s="8">
        <f t="shared" si="52"/>
        <v>13406.472846955568</v>
      </c>
      <c r="AB56" s="8">
        <f t="shared" si="53"/>
        <v>55.80217626204191</v>
      </c>
      <c r="AC56" s="8">
        <f t="shared" si="54"/>
        <v>410.2740927636925</v>
      </c>
      <c r="AD56" s="8">
        <f t="shared" si="55"/>
        <v>72</v>
      </c>
      <c r="AE56" s="8">
        <f t="shared" si="68"/>
        <v>151.8021762620419</v>
      </c>
      <c r="AF56" s="8">
        <f t="shared" si="56"/>
        <v>85.92</v>
      </c>
      <c r="AG56" s="8">
        <f t="shared" si="57"/>
        <v>9.220901716657234</v>
      </c>
      <c r="AH56" s="8">
        <f t="shared" si="58"/>
        <v>2.260024930553244</v>
      </c>
      <c r="AI56" s="8">
        <f t="shared" si="59"/>
        <v>0.14580806003569316</v>
      </c>
      <c r="AJ56" s="8">
        <f t="shared" si="60"/>
        <v>9.448705327662033</v>
      </c>
      <c r="AK56" s="8">
        <f t="shared" si="61"/>
        <v>2.735160618424617</v>
      </c>
      <c r="AL56" s="8">
        <f t="shared" si="62"/>
        <v>2.883112440205499</v>
      </c>
      <c r="AM56" s="8">
        <f t="shared" si="63"/>
        <v>9.45</v>
      </c>
      <c r="AN56" s="8">
        <f t="shared" si="64"/>
        <v>1.875</v>
      </c>
      <c r="AO56" s="8">
        <f t="shared" si="65"/>
        <v>10.3125</v>
      </c>
      <c r="AP56" s="8">
        <f t="shared" si="66"/>
        <v>2721.6</v>
      </c>
      <c r="AQ56" s="8">
        <f t="shared" si="67"/>
        <v>192852.32116161686</v>
      </c>
    </row>
    <row r="57" spans="1:43" ht="12.75">
      <c r="A57" s="6" t="s">
        <v>102</v>
      </c>
      <c r="B57">
        <v>31.45</v>
      </c>
      <c r="C57">
        <v>8.6</v>
      </c>
      <c r="D57" s="1">
        <f t="shared" si="44"/>
        <v>946</v>
      </c>
      <c r="E57" s="1">
        <f t="shared" si="35"/>
        <v>516</v>
      </c>
      <c r="F57" s="1">
        <f t="shared" si="45"/>
        <v>301</v>
      </c>
      <c r="G57" s="1">
        <f t="shared" si="46"/>
        <v>2111.3</v>
      </c>
      <c r="H57" s="1">
        <f t="shared" si="36"/>
        <v>211.13000000000002</v>
      </c>
      <c r="I57" s="1">
        <f t="shared" si="37"/>
        <v>422.26000000000005</v>
      </c>
      <c r="J57" s="1">
        <f t="shared" si="38"/>
        <v>30</v>
      </c>
      <c r="K57" s="1">
        <f t="shared" si="39"/>
        <v>38</v>
      </c>
      <c r="L57" s="1">
        <f t="shared" si="40"/>
        <v>15</v>
      </c>
      <c r="M57" s="1">
        <f t="shared" si="41"/>
        <v>19</v>
      </c>
      <c r="N57" s="8">
        <f t="shared" si="42"/>
        <v>468.75</v>
      </c>
      <c r="O57" s="8">
        <f t="shared" si="43"/>
        <v>752.0833333333333</v>
      </c>
      <c r="P57">
        <v>800</v>
      </c>
      <c r="Q57" s="1">
        <v>0</v>
      </c>
      <c r="R57" s="8">
        <f t="shared" si="47"/>
        <v>3071.3</v>
      </c>
      <c r="S57" s="8">
        <v>28.7</v>
      </c>
      <c r="T57" s="8">
        <v>62.2</v>
      </c>
      <c r="U57" s="8">
        <v>39.32</v>
      </c>
      <c r="V57" s="8">
        <v>252.2</v>
      </c>
      <c r="W57" s="8">
        <f t="shared" si="48"/>
        <v>23.5875</v>
      </c>
      <c r="X57" s="8">
        <f t="shared" si="49"/>
        <v>21.0875</v>
      </c>
      <c r="Y57" s="8">
        <f t="shared" si="50"/>
        <v>0.15</v>
      </c>
      <c r="Z57" s="8">
        <f t="shared" si="51"/>
        <v>546.9</v>
      </c>
      <c r="AA57" s="8">
        <f t="shared" si="52"/>
        <v>5533.735600658256</v>
      </c>
      <c r="AB57" s="8">
        <f t="shared" si="53"/>
        <v>12.444235283031137</v>
      </c>
      <c r="AC57" s="8">
        <f t="shared" si="54"/>
        <v>124.47569745517524</v>
      </c>
      <c r="AD57" s="8">
        <f t="shared" si="55"/>
        <v>94.35</v>
      </c>
      <c r="AE57" s="8">
        <f t="shared" si="68"/>
        <v>108.44423528303113</v>
      </c>
      <c r="AF57" s="8">
        <f t="shared" si="56"/>
        <v>103.19999999999999</v>
      </c>
      <c r="AG57" s="8">
        <f t="shared" si="57"/>
        <v>2.797588715911494</v>
      </c>
      <c r="AH57" s="8">
        <f t="shared" si="58"/>
        <v>0.5232560957470296</v>
      </c>
      <c r="AI57" s="8">
        <f t="shared" si="59"/>
        <v>0.024813567077511776</v>
      </c>
      <c r="AJ57" s="8">
        <f t="shared" si="60"/>
        <v>2.6910971398113235</v>
      </c>
      <c r="AK57" s="8">
        <f t="shared" si="61"/>
        <v>0.8298379830345015</v>
      </c>
      <c r="AL57" s="8">
        <f t="shared" si="62"/>
        <v>0.874726038436397</v>
      </c>
      <c r="AM57" s="8">
        <f t="shared" si="63"/>
        <v>2.69</v>
      </c>
      <c r="AN57" s="8">
        <f t="shared" si="64"/>
        <v>1.875</v>
      </c>
      <c r="AO57" s="8">
        <f t="shared" si="65"/>
        <v>10.3125</v>
      </c>
      <c r="AP57" s="8">
        <f t="shared" si="66"/>
        <v>1015.2059999999999</v>
      </c>
      <c r="AQ57" s="8">
        <f t="shared" si="67"/>
        <v>82598.89168641303</v>
      </c>
    </row>
    <row r="58" spans="1:43" ht="12.75">
      <c r="A58" s="6" t="s">
        <v>103</v>
      </c>
      <c r="B58">
        <v>31.45</v>
      </c>
      <c r="C58">
        <v>8.6</v>
      </c>
      <c r="D58" s="1">
        <f t="shared" si="44"/>
        <v>946</v>
      </c>
      <c r="E58" s="1">
        <f t="shared" si="35"/>
        <v>516</v>
      </c>
      <c r="F58" s="1">
        <f t="shared" si="45"/>
        <v>301</v>
      </c>
      <c r="G58" s="1">
        <f t="shared" si="46"/>
        <v>2111.3</v>
      </c>
      <c r="H58" s="1">
        <f t="shared" si="36"/>
        <v>211.13000000000002</v>
      </c>
      <c r="I58" s="1">
        <f t="shared" si="37"/>
        <v>422.26000000000005</v>
      </c>
      <c r="J58" s="1">
        <f t="shared" si="38"/>
        <v>30</v>
      </c>
      <c r="K58" s="1">
        <f t="shared" si="39"/>
        <v>38</v>
      </c>
      <c r="L58" s="1">
        <f t="shared" si="40"/>
        <v>15</v>
      </c>
      <c r="M58" s="1">
        <f t="shared" si="41"/>
        <v>19</v>
      </c>
      <c r="N58" s="8">
        <f t="shared" si="42"/>
        <v>468.75</v>
      </c>
      <c r="O58" s="8">
        <f t="shared" si="43"/>
        <v>752.0833333333333</v>
      </c>
      <c r="P58">
        <v>800</v>
      </c>
      <c r="Q58" s="1">
        <v>0</v>
      </c>
      <c r="R58" s="8">
        <f t="shared" si="47"/>
        <v>3071.3</v>
      </c>
      <c r="S58" s="8">
        <v>28.7</v>
      </c>
      <c r="T58" s="8">
        <v>62.2</v>
      </c>
      <c r="U58" s="8">
        <v>39.32</v>
      </c>
      <c r="V58" s="8">
        <v>38.37</v>
      </c>
      <c r="W58" s="8">
        <f t="shared" si="48"/>
        <v>23.5875</v>
      </c>
      <c r="X58" s="8">
        <f t="shared" si="49"/>
        <v>21.0875</v>
      </c>
      <c r="Y58" s="8">
        <f t="shared" si="50"/>
        <v>0.15</v>
      </c>
      <c r="Z58" s="8">
        <f t="shared" si="51"/>
        <v>546.9</v>
      </c>
      <c r="AA58" s="8">
        <f t="shared" si="52"/>
        <v>841.9089413055402</v>
      </c>
      <c r="AB58" s="8">
        <f t="shared" si="53"/>
        <v>1.8932803640361011</v>
      </c>
      <c r="AC58" s="8">
        <f t="shared" si="54"/>
        <v>18.93787673019458</v>
      </c>
      <c r="AD58" s="8">
        <f t="shared" si="55"/>
        <v>94.35</v>
      </c>
      <c r="AE58" s="8">
        <f t="shared" si="68"/>
        <v>97.8932803640361</v>
      </c>
      <c r="AF58" s="8">
        <f t="shared" si="56"/>
        <v>103.19999999999999</v>
      </c>
      <c r="AG58" s="8">
        <f t="shared" si="57"/>
        <v>0.42562838631849326</v>
      </c>
      <c r="AH58" s="8">
        <f t="shared" si="58"/>
        <v>0.07960878823875306</v>
      </c>
      <c r="AI58" s="8">
        <f t="shared" si="59"/>
        <v>0.003775164824600027</v>
      </c>
      <c r="AJ58" s="8">
        <f t="shared" si="60"/>
        <v>0.405111648625532</v>
      </c>
      <c r="AK58" s="8">
        <f t="shared" si="61"/>
        <v>0.12625251153463055</v>
      </c>
      <c r="AL58" s="8">
        <f t="shared" si="62"/>
        <v>0.13308183225537093</v>
      </c>
      <c r="AM58" s="8">
        <f t="shared" si="63"/>
        <v>0.41</v>
      </c>
      <c r="AN58" s="8">
        <f t="shared" si="64"/>
        <v>1.875</v>
      </c>
      <c r="AO58" s="8">
        <f t="shared" si="65"/>
        <v>10.3125</v>
      </c>
      <c r="AP58" s="8">
        <f t="shared" si="66"/>
        <v>154.73399999999998</v>
      </c>
      <c r="AQ58" s="8">
        <f t="shared" si="67"/>
        <v>12566.69101509781</v>
      </c>
    </row>
    <row r="59" spans="1:43" ht="12.75">
      <c r="A59" s="6" t="s">
        <v>105</v>
      </c>
      <c r="B59">
        <v>31.45</v>
      </c>
      <c r="C59">
        <v>8.6</v>
      </c>
      <c r="D59" s="1">
        <f t="shared" si="44"/>
        <v>946</v>
      </c>
      <c r="E59" s="1">
        <f t="shared" si="35"/>
        <v>516</v>
      </c>
      <c r="F59" s="1">
        <f t="shared" si="45"/>
        <v>301</v>
      </c>
      <c r="G59" s="1">
        <f t="shared" si="46"/>
        <v>2111.3</v>
      </c>
      <c r="H59" s="1">
        <f t="shared" si="36"/>
        <v>211.13000000000002</v>
      </c>
      <c r="I59" s="1">
        <f t="shared" si="37"/>
        <v>422.26000000000005</v>
      </c>
      <c r="J59" s="1">
        <f t="shared" si="38"/>
        <v>30</v>
      </c>
      <c r="K59" s="1">
        <f t="shared" si="39"/>
        <v>38</v>
      </c>
      <c r="L59" s="1">
        <f t="shared" si="40"/>
        <v>15</v>
      </c>
      <c r="M59" s="1">
        <f t="shared" si="41"/>
        <v>19</v>
      </c>
      <c r="N59" s="8">
        <f t="shared" si="42"/>
        <v>468.75</v>
      </c>
      <c r="O59" s="8">
        <f t="shared" si="43"/>
        <v>752.0833333333333</v>
      </c>
      <c r="P59">
        <v>800</v>
      </c>
      <c r="Q59" s="1">
        <v>0</v>
      </c>
      <c r="R59" s="8">
        <f t="shared" si="47"/>
        <v>3071.3</v>
      </c>
      <c r="S59" s="8">
        <v>28.7</v>
      </c>
      <c r="T59" s="8">
        <v>62.2</v>
      </c>
      <c r="U59" s="8">
        <v>39.32</v>
      </c>
      <c r="V59" s="8">
        <v>252.2</v>
      </c>
      <c r="W59" s="8">
        <f t="shared" si="48"/>
        <v>23.5875</v>
      </c>
      <c r="X59" s="8">
        <f t="shared" si="49"/>
        <v>21.0875</v>
      </c>
      <c r="Y59" s="8">
        <f t="shared" si="50"/>
        <v>0.15</v>
      </c>
      <c r="Z59" s="8">
        <f t="shared" si="51"/>
        <v>546.9</v>
      </c>
      <c r="AA59" s="8">
        <f t="shared" si="52"/>
        <v>5533.735600658256</v>
      </c>
      <c r="AB59" s="8">
        <f t="shared" si="53"/>
        <v>12.444235283031137</v>
      </c>
      <c r="AC59" s="8">
        <f t="shared" si="54"/>
        <v>124.47569745517524</v>
      </c>
      <c r="AD59" s="8">
        <f t="shared" si="55"/>
        <v>94.35</v>
      </c>
      <c r="AE59" s="8">
        <f t="shared" si="68"/>
        <v>108.44423528303113</v>
      </c>
      <c r="AF59" s="8">
        <f t="shared" si="56"/>
        <v>103.19999999999999</v>
      </c>
      <c r="AG59" s="8">
        <f t="shared" si="57"/>
        <v>2.797588715911494</v>
      </c>
      <c r="AH59" s="8">
        <f t="shared" si="58"/>
        <v>0.5232560957470296</v>
      </c>
      <c r="AI59" s="8">
        <f t="shared" si="59"/>
        <v>0.024813567077511776</v>
      </c>
      <c r="AJ59" s="8">
        <f t="shared" si="60"/>
        <v>2.6910971398113235</v>
      </c>
      <c r="AK59" s="8">
        <f t="shared" si="61"/>
        <v>0.8298379830345015</v>
      </c>
      <c r="AL59" s="8">
        <f t="shared" si="62"/>
        <v>0.874726038436397</v>
      </c>
      <c r="AM59" s="8">
        <f t="shared" si="63"/>
        <v>2.69</v>
      </c>
      <c r="AN59" s="8">
        <f t="shared" si="64"/>
        <v>1.875</v>
      </c>
      <c r="AO59" s="8">
        <f t="shared" si="65"/>
        <v>10.3125</v>
      </c>
      <c r="AP59" s="8">
        <f t="shared" si="66"/>
        <v>1015.2059999999999</v>
      </c>
      <c r="AQ59" s="8">
        <f t="shared" si="67"/>
        <v>82598.89168641303</v>
      </c>
    </row>
    <row r="60" spans="1:43" ht="12.75">
      <c r="A60" s="6" t="s">
        <v>104</v>
      </c>
      <c r="B60">
        <v>31.45</v>
      </c>
      <c r="C60">
        <v>8.6</v>
      </c>
      <c r="D60" s="1">
        <f t="shared" si="44"/>
        <v>946</v>
      </c>
      <c r="E60" s="1">
        <f t="shared" si="35"/>
        <v>516</v>
      </c>
      <c r="F60" s="1">
        <f t="shared" si="45"/>
        <v>301</v>
      </c>
      <c r="G60" s="1">
        <f t="shared" si="46"/>
        <v>2111.3</v>
      </c>
      <c r="H60" s="1">
        <f t="shared" si="36"/>
        <v>211.13000000000002</v>
      </c>
      <c r="I60" s="1">
        <f t="shared" si="37"/>
        <v>422.26000000000005</v>
      </c>
      <c r="J60" s="1">
        <f t="shared" si="38"/>
        <v>30</v>
      </c>
      <c r="K60" s="1">
        <f t="shared" si="39"/>
        <v>38</v>
      </c>
      <c r="L60" s="1">
        <f t="shared" si="40"/>
        <v>15</v>
      </c>
      <c r="M60" s="1">
        <f t="shared" si="41"/>
        <v>19</v>
      </c>
      <c r="N60" s="8">
        <f t="shared" si="42"/>
        <v>468.75</v>
      </c>
      <c r="O60" s="8">
        <f t="shared" si="43"/>
        <v>752.0833333333333</v>
      </c>
      <c r="P60">
        <v>800</v>
      </c>
      <c r="Q60" s="1">
        <v>0</v>
      </c>
      <c r="R60" s="8">
        <f t="shared" si="47"/>
        <v>3071.3</v>
      </c>
      <c r="S60" s="8">
        <v>28.7</v>
      </c>
      <c r="T60" s="8">
        <v>62.2</v>
      </c>
      <c r="U60" s="8">
        <v>39.32</v>
      </c>
      <c r="V60" s="8">
        <v>38.37</v>
      </c>
      <c r="W60" s="8">
        <f t="shared" si="48"/>
        <v>23.5875</v>
      </c>
      <c r="X60" s="8">
        <f t="shared" si="49"/>
        <v>21.0875</v>
      </c>
      <c r="Y60" s="8">
        <f t="shared" si="50"/>
        <v>0.15</v>
      </c>
      <c r="Z60" s="8">
        <f t="shared" si="51"/>
        <v>546.9</v>
      </c>
      <c r="AA60" s="8">
        <f t="shared" si="52"/>
        <v>841.9089413055402</v>
      </c>
      <c r="AB60" s="8">
        <f t="shared" si="53"/>
        <v>1.8932803640361011</v>
      </c>
      <c r="AC60" s="8">
        <f t="shared" si="54"/>
        <v>18.93787673019458</v>
      </c>
      <c r="AD60" s="8">
        <f t="shared" si="55"/>
        <v>94.35</v>
      </c>
      <c r="AE60" s="8">
        <f t="shared" si="68"/>
        <v>97.8932803640361</v>
      </c>
      <c r="AF60" s="8">
        <f t="shared" si="56"/>
        <v>103.19999999999999</v>
      </c>
      <c r="AG60" s="8">
        <f t="shared" si="57"/>
        <v>0.42562838631849326</v>
      </c>
      <c r="AH60" s="8">
        <f t="shared" si="58"/>
        <v>0.07960878823875306</v>
      </c>
      <c r="AI60" s="8">
        <f t="shared" si="59"/>
        <v>0.003775164824600027</v>
      </c>
      <c r="AJ60" s="8">
        <f t="shared" si="60"/>
        <v>0.405111648625532</v>
      </c>
      <c r="AK60" s="8">
        <f t="shared" si="61"/>
        <v>0.12625251153463055</v>
      </c>
      <c r="AL60" s="8">
        <f t="shared" si="62"/>
        <v>0.13308183225537093</v>
      </c>
      <c r="AM60" s="8">
        <f t="shared" si="63"/>
        <v>0.41</v>
      </c>
      <c r="AN60" s="8">
        <f t="shared" si="64"/>
        <v>1.875</v>
      </c>
      <c r="AO60" s="8">
        <f t="shared" si="65"/>
        <v>10.3125</v>
      </c>
      <c r="AP60" s="8">
        <f t="shared" si="66"/>
        <v>154.73399999999998</v>
      </c>
      <c r="AQ60" s="8">
        <f t="shared" si="67"/>
        <v>12566.69101509781</v>
      </c>
    </row>
    <row r="61" spans="1:43" ht="12.75">
      <c r="A61">
        <v>3</v>
      </c>
      <c r="B61">
        <v>22.4</v>
      </c>
      <c r="C61">
        <v>8.04</v>
      </c>
      <c r="D61" s="1">
        <f t="shared" si="44"/>
        <v>884.3999999999999</v>
      </c>
      <c r="E61" s="1">
        <f t="shared" si="35"/>
        <v>482.4</v>
      </c>
      <c r="F61" s="1">
        <f t="shared" si="45"/>
        <v>281.4</v>
      </c>
      <c r="G61" s="1">
        <f t="shared" si="46"/>
        <v>1973.82</v>
      </c>
      <c r="H61" s="1">
        <f t="shared" si="36"/>
        <v>197.382</v>
      </c>
      <c r="I61" s="1">
        <f t="shared" si="37"/>
        <v>394.764</v>
      </c>
      <c r="J61" s="1">
        <f t="shared" si="38"/>
        <v>22</v>
      </c>
      <c r="K61" s="1">
        <f t="shared" si="39"/>
        <v>27</v>
      </c>
      <c r="L61" s="1">
        <f t="shared" si="40"/>
        <v>11</v>
      </c>
      <c r="M61" s="1">
        <f t="shared" si="41"/>
        <v>14</v>
      </c>
      <c r="N61" s="8">
        <f t="shared" si="42"/>
        <v>252.08333333333331</v>
      </c>
      <c r="O61" s="8">
        <f t="shared" si="43"/>
        <v>393.75</v>
      </c>
      <c r="P61">
        <v>300</v>
      </c>
      <c r="Q61" s="1">
        <v>0</v>
      </c>
      <c r="R61" s="8">
        <f t="shared" si="47"/>
        <v>2333.8199999999997</v>
      </c>
      <c r="S61" s="8">
        <v>33.52</v>
      </c>
      <c r="T61" s="8">
        <v>35.22</v>
      </c>
      <c r="U61" s="8">
        <v>35.22</v>
      </c>
      <c r="V61" s="8">
        <v>234.21</v>
      </c>
      <c r="W61" s="8">
        <f>X61+2.5</f>
        <v>22.25407380021319</v>
      </c>
      <c r="X61" s="8">
        <f>(AA61/AB61)^0.5</f>
        <v>19.75407380021319</v>
      </c>
      <c r="Y61" s="8">
        <f t="shared" si="50"/>
        <v>0.15</v>
      </c>
      <c r="Z61" s="8">
        <f t="shared" si="51"/>
        <v>546.9</v>
      </c>
      <c r="AA61" s="8">
        <f t="shared" si="52"/>
        <v>5139.001645639057</v>
      </c>
      <c r="AB61" s="8">
        <f>(AA61/2.25)^(1/3)</f>
        <v>13.169382533475458</v>
      </c>
      <c r="AC61" s="8">
        <f t="shared" si="54"/>
        <v>123.39948405526515</v>
      </c>
      <c r="AD61" s="8">
        <f t="shared" si="55"/>
        <v>67.19999999999999</v>
      </c>
      <c r="AE61" s="8">
        <f>(8*6)+AB61</f>
        <v>61.169382533475456</v>
      </c>
      <c r="AF61" s="8">
        <f t="shared" si="56"/>
        <v>96.47999999999999</v>
      </c>
      <c r="AG61" s="8">
        <f t="shared" si="57"/>
        <v>2.77340084209311</v>
      </c>
      <c r="AH61" s="8">
        <f t="shared" si="58"/>
        <v>0.8001121766246209</v>
      </c>
      <c r="AI61" s="8">
        <f t="shared" si="59"/>
        <v>0.04050365432045646</v>
      </c>
      <c r="AJ61" s="8">
        <f t="shared" si="60"/>
        <v>2.689191848505074</v>
      </c>
      <c r="AK61" s="8">
        <f t="shared" si="61"/>
        <v>0.822663227035101</v>
      </c>
      <c r="AL61" s="8">
        <f t="shared" si="62"/>
        <v>0.8671631815650427</v>
      </c>
      <c r="AM61" s="8">
        <f t="shared" si="63"/>
        <v>2.69</v>
      </c>
      <c r="AN61" s="8">
        <f t="shared" si="64"/>
        <v>1.875</v>
      </c>
      <c r="AO61" s="8">
        <f t="shared" si="65"/>
        <v>10.3125</v>
      </c>
      <c r="AP61" s="8">
        <f t="shared" si="66"/>
        <v>723.0719999999999</v>
      </c>
      <c r="AQ61" s="8">
        <f t="shared" si="67"/>
        <v>57538.283873911314</v>
      </c>
    </row>
    <row r="62" spans="1:43" ht="12.75">
      <c r="A62">
        <v>19</v>
      </c>
      <c r="B62">
        <v>22.4</v>
      </c>
      <c r="C62">
        <v>8.04</v>
      </c>
      <c r="D62" s="1">
        <f t="shared" si="44"/>
        <v>884.3999999999999</v>
      </c>
      <c r="E62" s="1">
        <f t="shared" si="35"/>
        <v>482.4</v>
      </c>
      <c r="F62" s="1">
        <f t="shared" si="45"/>
        <v>281.4</v>
      </c>
      <c r="G62" s="1">
        <f t="shared" si="46"/>
        <v>1973.82</v>
      </c>
      <c r="H62" s="1">
        <f t="shared" si="36"/>
        <v>197.382</v>
      </c>
      <c r="I62" s="1">
        <f t="shared" si="37"/>
        <v>394.764</v>
      </c>
      <c r="J62" s="1">
        <f t="shared" si="38"/>
        <v>22</v>
      </c>
      <c r="K62" s="1">
        <f t="shared" si="39"/>
        <v>27</v>
      </c>
      <c r="L62" s="1">
        <f t="shared" si="40"/>
        <v>11</v>
      </c>
      <c r="M62" s="1">
        <f t="shared" si="41"/>
        <v>14</v>
      </c>
      <c r="N62" s="8">
        <f t="shared" si="42"/>
        <v>252.08333333333331</v>
      </c>
      <c r="O62" s="8">
        <f t="shared" si="43"/>
        <v>393.75</v>
      </c>
      <c r="P62">
        <v>300</v>
      </c>
      <c r="Q62" s="1">
        <v>0</v>
      </c>
      <c r="R62" s="8">
        <f t="shared" si="47"/>
        <v>2333.8199999999997</v>
      </c>
      <c r="S62" s="8">
        <v>33.52</v>
      </c>
      <c r="T62" s="8">
        <v>35.22</v>
      </c>
      <c r="U62" s="8">
        <v>35.22</v>
      </c>
      <c r="V62" s="8">
        <v>234.21</v>
      </c>
      <c r="W62" s="8">
        <f>X62+2.5</f>
        <v>22.25407380021319</v>
      </c>
      <c r="X62" s="8">
        <f>(AA62/AB62)^0.5</f>
        <v>19.75407380021319</v>
      </c>
      <c r="Y62" s="8">
        <f t="shared" si="50"/>
        <v>0.15</v>
      </c>
      <c r="Z62" s="8">
        <f t="shared" si="51"/>
        <v>546.9</v>
      </c>
      <c r="AA62" s="8">
        <f t="shared" si="52"/>
        <v>5139.001645639057</v>
      </c>
      <c r="AB62" s="8">
        <f>(AA62/2.25)^(1/3)</f>
        <v>13.169382533475458</v>
      </c>
      <c r="AC62" s="8">
        <f t="shared" si="54"/>
        <v>123.39948405526515</v>
      </c>
      <c r="AD62" s="8">
        <f t="shared" si="55"/>
        <v>67.19999999999999</v>
      </c>
      <c r="AE62" s="8">
        <f>(8*6)+AB62</f>
        <v>61.169382533475456</v>
      </c>
      <c r="AF62" s="8">
        <f t="shared" si="56"/>
        <v>96.47999999999999</v>
      </c>
      <c r="AG62" s="8">
        <f t="shared" si="57"/>
        <v>2.77340084209311</v>
      </c>
      <c r="AH62" s="8">
        <f t="shared" si="58"/>
        <v>0.8001121766246209</v>
      </c>
      <c r="AI62" s="8">
        <f t="shared" si="59"/>
        <v>0.04050365432045646</v>
      </c>
      <c r="AJ62" s="8">
        <f t="shared" si="60"/>
        <v>2.689191848505074</v>
      </c>
      <c r="AK62" s="8">
        <f t="shared" si="61"/>
        <v>0.822663227035101</v>
      </c>
      <c r="AL62" s="8">
        <f t="shared" si="62"/>
        <v>0.8671631815650427</v>
      </c>
      <c r="AM62" s="8">
        <f t="shared" si="63"/>
        <v>2.69</v>
      </c>
      <c r="AN62" s="8">
        <f t="shared" si="64"/>
        <v>1.875</v>
      </c>
      <c r="AO62" s="8">
        <f t="shared" si="65"/>
        <v>10.3125</v>
      </c>
      <c r="AP62" s="8">
        <f t="shared" si="66"/>
        <v>723.0719999999999</v>
      </c>
      <c r="AQ62" s="8">
        <f t="shared" si="67"/>
        <v>57538.283873911314</v>
      </c>
    </row>
    <row r="63" spans="1:43" ht="12.75">
      <c r="A63">
        <v>14</v>
      </c>
      <c r="B63">
        <v>22.4</v>
      </c>
      <c r="C63">
        <v>8.04</v>
      </c>
      <c r="D63" s="1">
        <f t="shared" si="44"/>
        <v>884.3999999999999</v>
      </c>
      <c r="E63" s="1">
        <f t="shared" si="35"/>
        <v>482.4</v>
      </c>
      <c r="F63" s="1">
        <f t="shared" si="45"/>
        <v>281.4</v>
      </c>
      <c r="G63" s="1">
        <f t="shared" si="46"/>
        <v>1973.82</v>
      </c>
      <c r="H63" s="1">
        <f t="shared" si="36"/>
        <v>197.382</v>
      </c>
      <c r="I63" s="1">
        <f t="shared" si="37"/>
        <v>394.764</v>
      </c>
      <c r="J63" s="1">
        <f t="shared" si="38"/>
        <v>22</v>
      </c>
      <c r="K63" s="1">
        <f t="shared" si="39"/>
        <v>27</v>
      </c>
      <c r="L63" s="1">
        <f t="shared" si="40"/>
        <v>11</v>
      </c>
      <c r="M63" s="1">
        <f t="shared" si="41"/>
        <v>14</v>
      </c>
      <c r="N63" s="8">
        <f t="shared" si="42"/>
        <v>252.08333333333331</v>
      </c>
      <c r="O63" s="8">
        <f t="shared" si="43"/>
        <v>393.75</v>
      </c>
      <c r="P63">
        <v>300</v>
      </c>
      <c r="Q63" s="1">
        <v>0</v>
      </c>
      <c r="R63" s="8">
        <f t="shared" si="47"/>
        <v>2333.8199999999997</v>
      </c>
      <c r="S63" s="8">
        <v>33.52</v>
      </c>
      <c r="T63" s="8">
        <v>35.22</v>
      </c>
      <c r="U63" s="8">
        <v>35.22</v>
      </c>
      <c r="V63" s="8">
        <v>234.21</v>
      </c>
      <c r="W63" s="8">
        <f>X63+2.5</f>
        <v>22.25407380021319</v>
      </c>
      <c r="X63" s="8">
        <f>(AA63/AB63)^0.5</f>
        <v>19.75407380021319</v>
      </c>
      <c r="Y63" s="8">
        <f t="shared" si="50"/>
        <v>0.15</v>
      </c>
      <c r="Z63" s="8">
        <f t="shared" si="51"/>
        <v>546.9</v>
      </c>
      <c r="AA63" s="8">
        <f t="shared" si="52"/>
        <v>5139.001645639057</v>
      </c>
      <c r="AB63" s="8">
        <f>(AA63/2.25)^(1/3)</f>
        <v>13.169382533475458</v>
      </c>
      <c r="AC63" s="8">
        <f t="shared" si="54"/>
        <v>123.39948405526515</v>
      </c>
      <c r="AD63" s="8">
        <f t="shared" si="55"/>
        <v>67.19999999999999</v>
      </c>
      <c r="AE63" s="8">
        <f>(8*6)+AB63</f>
        <v>61.169382533475456</v>
      </c>
      <c r="AF63" s="8">
        <f t="shared" si="56"/>
        <v>96.47999999999999</v>
      </c>
      <c r="AG63" s="8">
        <f t="shared" si="57"/>
        <v>2.77340084209311</v>
      </c>
      <c r="AH63" s="8">
        <f t="shared" si="58"/>
        <v>0.8001121766246209</v>
      </c>
      <c r="AI63" s="8">
        <f t="shared" si="59"/>
        <v>0.04050365432045646</v>
      </c>
      <c r="AJ63" s="8">
        <f t="shared" si="60"/>
        <v>2.689191848505074</v>
      </c>
      <c r="AK63" s="8">
        <f t="shared" si="61"/>
        <v>0.822663227035101</v>
      </c>
      <c r="AL63" s="8">
        <f t="shared" si="62"/>
        <v>0.8671631815650427</v>
      </c>
      <c r="AM63" s="8">
        <f t="shared" si="63"/>
        <v>2.69</v>
      </c>
      <c r="AN63" s="8">
        <f t="shared" si="64"/>
        <v>1.875</v>
      </c>
      <c r="AO63" s="8">
        <f t="shared" si="65"/>
        <v>10.3125</v>
      </c>
      <c r="AP63" s="8">
        <f t="shared" si="66"/>
        <v>723.0719999999999</v>
      </c>
      <c r="AQ63" s="8">
        <f t="shared" si="67"/>
        <v>57538.283873911314</v>
      </c>
    </row>
    <row r="64" spans="1:43" ht="12.75">
      <c r="A64">
        <v>32</v>
      </c>
      <c r="B64">
        <v>22.4</v>
      </c>
      <c r="C64">
        <v>8.04</v>
      </c>
      <c r="D64" s="1">
        <f t="shared" si="44"/>
        <v>884.3999999999999</v>
      </c>
      <c r="E64" s="1">
        <f t="shared" si="35"/>
        <v>482.4</v>
      </c>
      <c r="F64" s="1">
        <f t="shared" si="45"/>
        <v>281.4</v>
      </c>
      <c r="G64" s="1">
        <f t="shared" si="46"/>
        <v>1973.82</v>
      </c>
      <c r="H64" s="1">
        <f t="shared" si="36"/>
        <v>197.382</v>
      </c>
      <c r="I64" s="1">
        <f t="shared" si="37"/>
        <v>394.764</v>
      </c>
      <c r="J64" s="1">
        <f t="shared" si="38"/>
        <v>22</v>
      </c>
      <c r="K64" s="1">
        <f t="shared" si="39"/>
        <v>27</v>
      </c>
      <c r="L64" s="1">
        <f t="shared" si="40"/>
        <v>11</v>
      </c>
      <c r="M64" s="1">
        <f t="shared" si="41"/>
        <v>14</v>
      </c>
      <c r="N64" s="8">
        <f t="shared" si="42"/>
        <v>252.08333333333331</v>
      </c>
      <c r="O64" s="8">
        <f t="shared" si="43"/>
        <v>393.75</v>
      </c>
      <c r="P64">
        <v>300</v>
      </c>
      <c r="Q64" s="1">
        <v>0</v>
      </c>
      <c r="R64" s="8">
        <f t="shared" si="47"/>
        <v>2333.8199999999997</v>
      </c>
      <c r="S64" s="8">
        <v>33.52</v>
      </c>
      <c r="T64" s="8">
        <v>35.22</v>
      </c>
      <c r="U64" s="8">
        <v>35.22</v>
      </c>
      <c r="V64" s="8">
        <v>234.21</v>
      </c>
      <c r="W64" s="8">
        <f>X64+2.5</f>
        <v>22.25407380021319</v>
      </c>
      <c r="X64" s="8">
        <f>(AA64/AB64)^0.5</f>
        <v>19.75407380021319</v>
      </c>
      <c r="Y64" s="8">
        <f t="shared" si="50"/>
        <v>0.15</v>
      </c>
      <c r="Z64" s="8">
        <f t="shared" si="51"/>
        <v>546.9</v>
      </c>
      <c r="AA64" s="8">
        <f t="shared" si="52"/>
        <v>5139.001645639057</v>
      </c>
      <c r="AB64" s="8">
        <f>(AA64/2.25)^(1/3)</f>
        <v>13.169382533475458</v>
      </c>
      <c r="AC64" s="8">
        <f t="shared" si="54"/>
        <v>123.39948405526515</v>
      </c>
      <c r="AD64" s="8">
        <f t="shared" si="55"/>
        <v>67.19999999999999</v>
      </c>
      <c r="AE64" s="8">
        <f>(8*6)+AB64</f>
        <v>61.169382533475456</v>
      </c>
      <c r="AF64" s="8">
        <f t="shared" si="56"/>
        <v>96.47999999999999</v>
      </c>
      <c r="AG64" s="8">
        <f t="shared" si="57"/>
        <v>2.77340084209311</v>
      </c>
      <c r="AH64" s="8">
        <f t="shared" si="58"/>
        <v>0.8001121766246209</v>
      </c>
      <c r="AI64" s="8">
        <f t="shared" si="59"/>
        <v>0.04050365432045646</v>
      </c>
      <c r="AJ64" s="8">
        <f t="shared" si="60"/>
        <v>2.689191848505074</v>
      </c>
      <c r="AK64" s="8">
        <f t="shared" si="61"/>
        <v>0.822663227035101</v>
      </c>
      <c r="AL64" s="8">
        <f t="shared" si="62"/>
        <v>0.8671631815650427</v>
      </c>
      <c r="AM64" s="8">
        <f t="shared" si="63"/>
        <v>2.69</v>
      </c>
      <c r="AN64" s="8">
        <f t="shared" si="64"/>
        <v>1.875</v>
      </c>
      <c r="AO64" s="8">
        <f t="shared" si="65"/>
        <v>10.3125</v>
      </c>
      <c r="AP64" s="8">
        <f t="shared" si="66"/>
        <v>723.0719999999999</v>
      </c>
      <c r="AQ64" s="8">
        <f t="shared" si="67"/>
        <v>57538.283873911314</v>
      </c>
    </row>
    <row r="65" spans="4:43" s="17" customFormat="1" ht="12.75">
      <c r="D65" s="18">
        <f aca="true" t="shared" si="69" ref="D65:D90">C65*((0.5*150)+5+10+20+40)</f>
        <v>0</v>
      </c>
      <c r="E65" s="18"/>
      <c r="F65" s="18">
        <f t="shared" si="45"/>
        <v>0</v>
      </c>
      <c r="G65" s="18">
        <f t="shared" si="46"/>
        <v>0</v>
      </c>
      <c r="H65" s="18"/>
      <c r="I65" s="18"/>
      <c r="J65" s="18"/>
      <c r="K65" s="18"/>
      <c r="L65" s="18"/>
      <c r="M65" s="18"/>
      <c r="N65" s="20"/>
      <c r="O65" s="20"/>
      <c r="Q65" s="18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ht="12.75">
      <c r="A66">
        <v>50</v>
      </c>
      <c r="B66">
        <v>13</v>
      </c>
      <c r="C66">
        <v>5.22</v>
      </c>
      <c r="D66" s="1">
        <f t="shared" si="69"/>
        <v>783</v>
      </c>
      <c r="E66" s="1">
        <f aca="true" t="shared" si="70" ref="E66:E90">C66*60</f>
        <v>313.2</v>
      </c>
      <c r="F66" s="1">
        <f t="shared" si="45"/>
        <v>182.7</v>
      </c>
      <c r="G66" s="1">
        <f t="shared" si="46"/>
        <v>1532.0699999999997</v>
      </c>
      <c r="H66" s="1">
        <f aca="true" t="shared" si="71" ref="H66:H90">0.1*MAX(G66:G66)</f>
        <v>153.20699999999997</v>
      </c>
      <c r="I66" s="1">
        <f aca="true" t="shared" si="72" ref="I66:I90">0.2*MAX(G66:G66)</f>
        <v>306.41399999999993</v>
      </c>
      <c r="J66" s="1">
        <f aca="true" t="shared" si="73" ref="J66:J90">ROUND(((0.08*B66)*12),0)</f>
        <v>12</v>
      </c>
      <c r="K66" s="1">
        <f aca="true" t="shared" si="74" ref="K66:K90">ROUND(((0.1*B66)*12),0)</f>
        <v>16</v>
      </c>
      <c r="L66" s="1">
        <f aca="true" t="shared" si="75" ref="L66:L90">ROUND((0.5*J66),0)</f>
        <v>6</v>
      </c>
      <c r="M66" s="1">
        <f aca="true" t="shared" si="76" ref="M66:M90">ROUND((0.5*K66),0)</f>
        <v>8</v>
      </c>
      <c r="N66" s="8">
        <f aca="true" t="shared" si="77" ref="N66:N90">(L66/12)*(J66/12)*150</f>
        <v>75</v>
      </c>
      <c r="O66" s="8">
        <f aca="true" t="shared" si="78" ref="O66:O90">(M66/12)*(K66/12)*150</f>
        <v>133.33333333333331</v>
      </c>
      <c r="P66">
        <v>100</v>
      </c>
      <c r="Q66" s="1">
        <v>0</v>
      </c>
      <c r="R66" s="8">
        <f>(1.2*P66)+G66</f>
        <v>1652.0699999999997</v>
      </c>
      <c r="S66" s="8"/>
      <c r="T66" s="8"/>
      <c r="U66" s="8">
        <f>(R66*B66)/2000</f>
        <v>10.738454999999998</v>
      </c>
      <c r="V66" s="8">
        <f>(0.5*B66)*U66*0.5</f>
        <v>34.899978749999995</v>
      </c>
      <c r="W66" s="8">
        <f aca="true" t="shared" si="79" ref="W66:W90">(B66/16)*12</f>
        <v>9.75</v>
      </c>
      <c r="X66" s="8">
        <f aca="true" t="shared" si="80" ref="X66:X90">W66-2.5</f>
        <v>7.25</v>
      </c>
      <c r="Y66" s="8">
        <f aca="true" t="shared" si="81" ref="Y66:Y90">(60000/4000)*0.01</f>
        <v>0.15</v>
      </c>
      <c r="Z66" s="8">
        <f aca="true" t="shared" si="82" ref="Z66:Z90">4000*Y66*(1-(0.59*Y66))</f>
        <v>546.9</v>
      </c>
      <c r="AA66" s="8">
        <f aca="true" t="shared" si="83" ref="AA66:AA90">(12000*V66)/Z66</f>
        <v>765.7702413603948</v>
      </c>
      <c r="AB66" s="8">
        <f aca="true" t="shared" si="84" ref="AB66:AB90">AA66/(X66^2)</f>
        <v>14.56875607820014</v>
      </c>
      <c r="AC66" s="8">
        <f aca="true" t="shared" si="85" ref="AC66:AC90">0.75*((((2*(4000^0.5)*AB66*X66)+(8*(4000^0.5)*AB66*X66)))/1000)</f>
        <v>50.10161642225637</v>
      </c>
      <c r="AD66" s="8">
        <f aca="true" t="shared" si="86" ref="AD66:AD90">(B66/4)*12</f>
        <v>39</v>
      </c>
      <c r="AE66" s="8">
        <f aca="true" t="shared" si="87" ref="AE66:AE73">((8*6)*2)+AB66</f>
        <v>110.56875607820014</v>
      </c>
      <c r="AF66" s="8">
        <f aca="true" t="shared" si="88" ref="AF66:AF90">C66*12</f>
        <v>62.64</v>
      </c>
      <c r="AG66" s="8">
        <f aca="true" t="shared" si="89" ref="AG66:AG90">(V66*12000)/(0.9*60000*0.95*X66)</f>
        <v>1.1260327888687234</v>
      </c>
      <c r="AH66" s="8">
        <f aca="true" t="shared" si="90" ref="AH66:AH90">(AG66*60000)/(0.85*4000*(MIN(AD66:AF66)))</f>
        <v>0.5095170990356214</v>
      </c>
      <c r="AI66" s="8">
        <f aca="true" t="shared" si="91" ref="AI66:AI90">AH66/X66</f>
        <v>0.07027822055663743</v>
      </c>
      <c r="AJ66" s="8">
        <f aca="true" t="shared" si="92" ref="AJ66:AJ90">(V66*12000)/(0.9*60000*(X66-(AH66/2)))</f>
        <v>1.1086895124683271</v>
      </c>
      <c r="AK66" s="8">
        <f aca="true" t="shared" si="93" ref="AK66:AK90">(3*(4000^0.5)*AB66*X66)/60000</f>
        <v>0.33401077614837577</v>
      </c>
      <c r="AL66" s="8">
        <f aca="true" t="shared" si="94" ref="AL66:AL90">(200*AB66*X66)/60000</f>
        <v>0.3520782718898367</v>
      </c>
      <c r="AM66" s="8">
        <f aca="true" t="shared" si="95" ref="AM66:AM90">ROUND(MAX(AJ66:AL66),2)</f>
        <v>1.11</v>
      </c>
      <c r="AN66" s="8">
        <f aca="true" t="shared" si="96" ref="AN66:AN90">1.875</f>
        <v>1.875</v>
      </c>
      <c r="AO66" s="8">
        <f aca="true" t="shared" si="97" ref="AO66:AO90">(540/(0.6*60))-(2.5*AN66)</f>
        <v>10.3125</v>
      </c>
      <c r="AP66" s="8">
        <f aca="true" t="shared" si="98" ref="AP66:AP77">AM66*(B66*12)</f>
        <v>173.16000000000003</v>
      </c>
      <c r="AQ66" s="8">
        <f aca="true" t="shared" si="99" ref="AQ66:AQ90">(W66-6)*AB66*(12*B66)</f>
        <v>8522.722305747082</v>
      </c>
    </row>
    <row r="67" spans="1:43" ht="12.75">
      <c r="A67">
        <v>51</v>
      </c>
      <c r="B67">
        <v>13</v>
      </c>
      <c r="C67">
        <v>5.22</v>
      </c>
      <c r="D67" s="1">
        <f t="shared" si="69"/>
        <v>783</v>
      </c>
      <c r="E67" s="1">
        <f t="shared" si="70"/>
        <v>313.2</v>
      </c>
      <c r="F67" s="1">
        <f t="shared" si="45"/>
        <v>182.7</v>
      </c>
      <c r="G67" s="1">
        <f t="shared" si="46"/>
        <v>1532.0699999999997</v>
      </c>
      <c r="H67" s="1">
        <f t="shared" si="71"/>
        <v>153.20699999999997</v>
      </c>
      <c r="I67" s="1">
        <f t="shared" si="72"/>
        <v>306.41399999999993</v>
      </c>
      <c r="J67" s="1">
        <f t="shared" si="73"/>
        <v>12</v>
      </c>
      <c r="K67" s="1">
        <f t="shared" si="74"/>
        <v>16</v>
      </c>
      <c r="L67" s="1">
        <f t="shared" si="75"/>
        <v>6</v>
      </c>
      <c r="M67" s="1">
        <f t="shared" si="76"/>
        <v>8</v>
      </c>
      <c r="N67" s="8">
        <f t="shared" si="77"/>
        <v>75</v>
      </c>
      <c r="O67" s="8">
        <f t="shared" si="78"/>
        <v>133.33333333333331</v>
      </c>
      <c r="P67">
        <v>100</v>
      </c>
      <c r="Q67" s="1">
        <v>0</v>
      </c>
      <c r="R67" s="8">
        <f>(1.2*P67)+G67</f>
        <v>1652.0699999999997</v>
      </c>
      <c r="S67" s="8"/>
      <c r="T67" s="8"/>
      <c r="U67" s="8">
        <f>(R67*B67)/2000</f>
        <v>10.738454999999998</v>
      </c>
      <c r="V67" s="8">
        <f>(0.5*B67)*U67*0.5</f>
        <v>34.899978749999995</v>
      </c>
      <c r="W67" s="8">
        <f t="shared" si="79"/>
        <v>9.75</v>
      </c>
      <c r="X67" s="8">
        <f t="shared" si="80"/>
        <v>7.25</v>
      </c>
      <c r="Y67" s="8">
        <f t="shared" si="81"/>
        <v>0.15</v>
      </c>
      <c r="Z67" s="8">
        <f t="shared" si="82"/>
        <v>546.9</v>
      </c>
      <c r="AA67" s="8">
        <f t="shared" si="83"/>
        <v>765.7702413603948</v>
      </c>
      <c r="AB67" s="8">
        <f t="shared" si="84"/>
        <v>14.56875607820014</v>
      </c>
      <c r="AC67" s="8">
        <f t="shared" si="85"/>
        <v>50.10161642225637</v>
      </c>
      <c r="AD67" s="8">
        <f t="shared" si="86"/>
        <v>39</v>
      </c>
      <c r="AE67" s="8">
        <f t="shared" si="87"/>
        <v>110.56875607820014</v>
      </c>
      <c r="AF67" s="8">
        <f t="shared" si="88"/>
        <v>62.64</v>
      </c>
      <c r="AG67" s="8">
        <f t="shared" si="89"/>
        <v>1.1260327888687234</v>
      </c>
      <c r="AH67" s="8">
        <f t="shared" si="90"/>
        <v>0.5095170990356214</v>
      </c>
      <c r="AI67" s="8">
        <f t="shared" si="91"/>
        <v>0.07027822055663743</v>
      </c>
      <c r="AJ67" s="8">
        <f t="shared" si="92"/>
        <v>1.1086895124683271</v>
      </c>
      <c r="AK67" s="8">
        <f t="shared" si="93"/>
        <v>0.33401077614837577</v>
      </c>
      <c r="AL67" s="8">
        <f t="shared" si="94"/>
        <v>0.3520782718898367</v>
      </c>
      <c r="AM67" s="8">
        <f t="shared" si="95"/>
        <v>1.11</v>
      </c>
      <c r="AN67" s="8">
        <f t="shared" si="96"/>
        <v>1.875</v>
      </c>
      <c r="AO67" s="8">
        <f t="shared" si="97"/>
        <v>10.3125</v>
      </c>
      <c r="AP67" s="8">
        <f t="shared" si="98"/>
        <v>173.16000000000003</v>
      </c>
      <c r="AQ67" s="8">
        <f t="shared" si="99"/>
        <v>8522.722305747082</v>
      </c>
    </row>
    <row r="68" spans="1:43" ht="12.75">
      <c r="A68">
        <v>52</v>
      </c>
      <c r="B68">
        <v>13</v>
      </c>
      <c r="C68">
        <v>2.61</v>
      </c>
      <c r="D68" s="1">
        <f t="shared" si="69"/>
        <v>391.5</v>
      </c>
      <c r="E68" s="1">
        <f t="shared" si="70"/>
        <v>156.6</v>
      </c>
      <c r="F68" s="1">
        <f t="shared" si="45"/>
        <v>91.35</v>
      </c>
      <c r="G68" s="1">
        <f t="shared" si="46"/>
        <v>766.0349999999999</v>
      </c>
      <c r="H68" s="1">
        <f t="shared" si="71"/>
        <v>76.60349999999998</v>
      </c>
      <c r="I68" s="1">
        <f t="shared" si="72"/>
        <v>153.20699999999997</v>
      </c>
      <c r="J68" s="1">
        <f t="shared" si="73"/>
        <v>12</v>
      </c>
      <c r="K68" s="1">
        <f t="shared" si="74"/>
        <v>16</v>
      </c>
      <c r="L68" s="1">
        <f t="shared" si="75"/>
        <v>6</v>
      </c>
      <c r="M68" s="1">
        <f t="shared" si="76"/>
        <v>8</v>
      </c>
      <c r="N68" s="8">
        <f t="shared" si="77"/>
        <v>75</v>
      </c>
      <c r="O68" s="8">
        <f t="shared" si="78"/>
        <v>133.33333333333331</v>
      </c>
      <c r="P68">
        <v>100</v>
      </c>
      <c r="Q68" s="1">
        <v>0</v>
      </c>
      <c r="R68" s="8">
        <f>(1.2*(P68+0.64))+G68</f>
        <v>886.8029999999999</v>
      </c>
      <c r="S68" s="8"/>
      <c r="T68" s="8"/>
      <c r="U68" s="8">
        <f>(R68*B68)/2000</f>
        <v>5.764219499999999</v>
      </c>
      <c r="V68" s="8">
        <f>(0.5*B68)*U68*0.5</f>
        <v>18.733713374999997</v>
      </c>
      <c r="W68" s="8">
        <f t="shared" si="79"/>
        <v>9.75</v>
      </c>
      <c r="X68" s="8">
        <f t="shared" si="80"/>
        <v>7.25</v>
      </c>
      <c r="Y68" s="8">
        <f t="shared" si="81"/>
        <v>0.15</v>
      </c>
      <c r="Z68" s="8">
        <f t="shared" si="82"/>
        <v>546.9</v>
      </c>
      <c r="AA68" s="8">
        <f t="shared" si="83"/>
        <v>411.0524053757542</v>
      </c>
      <c r="AB68" s="8">
        <f t="shared" si="84"/>
        <v>7.820259793117796</v>
      </c>
      <c r="AC68" s="8">
        <f t="shared" si="85"/>
        <v>26.893693214032222</v>
      </c>
      <c r="AD68" s="8">
        <f t="shared" si="86"/>
        <v>39</v>
      </c>
      <c r="AE68" s="8">
        <f t="shared" si="87"/>
        <v>103.8202597931178</v>
      </c>
      <c r="AF68" s="8">
        <f t="shared" si="88"/>
        <v>31.32</v>
      </c>
      <c r="AG68" s="8">
        <f t="shared" si="89"/>
        <v>0.6044351966122201</v>
      </c>
      <c r="AH68" s="8">
        <f t="shared" si="90"/>
        <v>0.3405652448795471</v>
      </c>
      <c r="AI68" s="8">
        <f t="shared" si="91"/>
        <v>0.04697451653510994</v>
      </c>
      <c r="AJ68" s="8">
        <f t="shared" si="92"/>
        <v>0.588024520563745</v>
      </c>
      <c r="AK68" s="8">
        <f t="shared" si="93"/>
        <v>0.17929128809354813</v>
      </c>
      <c r="AL68" s="8">
        <f t="shared" si="94"/>
        <v>0.18898961166701342</v>
      </c>
      <c r="AM68" s="8">
        <f t="shared" si="95"/>
        <v>0.59</v>
      </c>
      <c r="AN68" s="8">
        <f t="shared" si="96"/>
        <v>1.875</v>
      </c>
      <c r="AO68" s="8">
        <f t="shared" si="97"/>
        <v>10.3125</v>
      </c>
      <c r="AP68" s="8">
        <f t="shared" si="98"/>
        <v>92.03999999999999</v>
      </c>
      <c r="AQ68" s="8">
        <f t="shared" si="99"/>
        <v>4574.851978973911</v>
      </c>
    </row>
    <row r="69" spans="1:43" ht="12.75">
      <c r="A69" s="6" t="s">
        <v>131</v>
      </c>
      <c r="B69">
        <v>23.21</v>
      </c>
      <c r="C69">
        <v>4.5</v>
      </c>
      <c r="D69" s="1">
        <f t="shared" si="69"/>
        <v>675</v>
      </c>
      <c r="E69" s="1">
        <f t="shared" si="70"/>
        <v>270</v>
      </c>
      <c r="F69" s="1">
        <f t="shared" si="45"/>
        <v>157.5</v>
      </c>
      <c r="G69" s="1">
        <f t="shared" si="46"/>
        <v>1320.75</v>
      </c>
      <c r="H69" s="1">
        <f t="shared" si="71"/>
        <v>132.07500000000002</v>
      </c>
      <c r="I69" s="1">
        <f t="shared" si="72"/>
        <v>264.15000000000003</v>
      </c>
      <c r="J69" s="1">
        <f t="shared" si="73"/>
        <v>22</v>
      </c>
      <c r="K69" s="1">
        <f t="shared" si="74"/>
        <v>28</v>
      </c>
      <c r="L69" s="1">
        <f t="shared" si="75"/>
        <v>11</v>
      </c>
      <c r="M69" s="1">
        <f t="shared" si="76"/>
        <v>14</v>
      </c>
      <c r="N69" s="8">
        <f t="shared" si="77"/>
        <v>252.08333333333331</v>
      </c>
      <c r="O69" s="8">
        <f t="shared" si="78"/>
        <v>408.3333333333334</v>
      </c>
      <c r="P69">
        <v>300</v>
      </c>
      <c r="Q69" s="1">
        <v>0</v>
      </c>
      <c r="R69" s="8">
        <f>(1.2*(P69+0.64))+G69</f>
        <v>1681.518</v>
      </c>
      <c r="S69" s="8">
        <v>35.6</v>
      </c>
      <c r="T69" s="8">
        <v>30.63</v>
      </c>
      <c r="U69" s="8">
        <f>MAX(S69:T69)</f>
        <v>35.6</v>
      </c>
      <c r="V69" s="8">
        <v>224.13</v>
      </c>
      <c r="W69" s="8">
        <f t="shared" si="79"/>
        <v>17.4075</v>
      </c>
      <c r="X69" s="8">
        <f t="shared" si="80"/>
        <v>14.907499999999999</v>
      </c>
      <c r="Y69" s="8">
        <f t="shared" si="81"/>
        <v>0.15</v>
      </c>
      <c r="Z69" s="8">
        <f t="shared" si="82"/>
        <v>546.9</v>
      </c>
      <c r="AA69" s="8">
        <f t="shared" si="83"/>
        <v>4917.82775644542</v>
      </c>
      <c r="AB69" s="8">
        <f t="shared" si="84"/>
        <v>22.12909625094217</v>
      </c>
      <c r="AC69" s="8">
        <f t="shared" si="85"/>
        <v>156.48033054600035</v>
      </c>
      <c r="AD69" s="8">
        <f t="shared" si="86"/>
        <v>69.63</v>
      </c>
      <c r="AE69" s="8">
        <f t="shared" si="87"/>
        <v>118.12909625094217</v>
      </c>
      <c r="AF69" s="8">
        <f t="shared" si="88"/>
        <v>54</v>
      </c>
      <c r="AG69" s="8">
        <f t="shared" si="89"/>
        <v>3.516892180140104</v>
      </c>
      <c r="AH69" s="8">
        <f t="shared" si="90"/>
        <v>1.1493111699804262</v>
      </c>
      <c r="AI69" s="8">
        <f t="shared" si="91"/>
        <v>0.07709617105352515</v>
      </c>
      <c r="AJ69" s="8">
        <f t="shared" si="92"/>
        <v>3.4750022552751374</v>
      </c>
      <c r="AK69" s="8">
        <f t="shared" si="93"/>
        <v>1.0432022036400022</v>
      </c>
      <c r="AL69" s="8">
        <f t="shared" si="94"/>
        <v>1.0996316745364012</v>
      </c>
      <c r="AM69" s="8">
        <f t="shared" si="95"/>
        <v>3.48</v>
      </c>
      <c r="AN69" s="8">
        <f t="shared" si="96"/>
        <v>1.875</v>
      </c>
      <c r="AO69" s="8">
        <f t="shared" si="97"/>
        <v>10.3125</v>
      </c>
      <c r="AP69" s="8">
        <f t="shared" si="98"/>
        <v>969.2496</v>
      </c>
      <c r="AQ69" s="8">
        <f t="shared" si="99"/>
        <v>70308.93859022009</v>
      </c>
    </row>
    <row r="70" spans="1:43" ht="12.75">
      <c r="A70" s="6" t="s">
        <v>132</v>
      </c>
      <c r="B70">
        <v>23.21</v>
      </c>
      <c r="C70">
        <v>4.5</v>
      </c>
      <c r="D70" s="1">
        <f t="shared" si="69"/>
        <v>675</v>
      </c>
      <c r="E70" s="1">
        <f>C70*60</f>
        <v>270</v>
      </c>
      <c r="F70" s="1">
        <f>C70*35</f>
        <v>157.5</v>
      </c>
      <c r="G70" s="1">
        <f>(1.2*D70)+(1.6*E70)+(0.5*F70)</f>
        <v>1320.75</v>
      </c>
      <c r="H70" s="1">
        <f t="shared" si="71"/>
        <v>132.07500000000002</v>
      </c>
      <c r="I70" s="1">
        <f>0.2*MAX(G70:G70)</f>
        <v>264.15000000000003</v>
      </c>
      <c r="J70" s="1">
        <f>ROUND(((0.08*B70)*12),0)</f>
        <v>22</v>
      </c>
      <c r="K70" s="1">
        <f>ROUND(((0.1*B70)*12),0)</f>
        <v>28</v>
      </c>
      <c r="L70" s="1">
        <f>ROUND((0.5*J70),0)</f>
        <v>11</v>
      </c>
      <c r="M70" s="1">
        <f>ROUND((0.5*K70),0)</f>
        <v>14</v>
      </c>
      <c r="N70" s="8">
        <f>(L70/12)*(J70/12)*150</f>
        <v>252.08333333333331</v>
      </c>
      <c r="O70" s="8">
        <f>(M70/12)*(K70/12)*150</f>
        <v>408.3333333333334</v>
      </c>
      <c r="P70">
        <v>300</v>
      </c>
      <c r="Q70" s="1">
        <v>0</v>
      </c>
      <c r="R70" s="8">
        <f>(1.2*(P70+0.64))+G70</f>
        <v>1681.518</v>
      </c>
      <c r="S70" s="8">
        <v>35.6</v>
      </c>
      <c r="T70" s="8">
        <v>30.63</v>
      </c>
      <c r="U70" s="8">
        <f>MAX(S70:T70)</f>
        <v>35.6</v>
      </c>
      <c r="V70" s="8">
        <v>611</v>
      </c>
      <c r="W70" s="8">
        <f>(B70/16)*12</f>
        <v>17.4075</v>
      </c>
      <c r="X70" s="8">
        <f t="shared" si="80"/>
        <v>14.907499999999999</v>
      </c>
      <c r="Y70" s="8">
        <f t="shared" si="81"/>
        <v>0.15</v>
      </c>
      <c r="Z70" s="8">
        <f t="shared" si="82"/>
        <v>546.9</v>
      </c>
      <c r="AA70" s="8">
        <f>(12000*V70)/Z70</f>
        <v>13406.472846955568</v>
      </c>
      <c r="AB70" s="8">
        <f>AA70/(X70^2)</f>
        <v>60.326050994180456</v>
      </c>
      <c r="AC70" s="8">
        <f>0.75*((((2*(4000^0.5)*AB70*X70)+(8*(4000^0.5)*AB70*X70)))/1000)</f>
        <v>426.5804754544514</v>
      </c>
      <c r="AD70" s="8">
        <f>(B70/4)*12</f>
        <v>69.63</v>
      </c>
      <c r="AE70" s="8">
        <f>((8*6)*2)+AB70</f>
        <v>156.32605099418046</v>
      </c>
      <c r="AF70" s="8">
        <f>C70*12</f>
        <v>54</v>
      </c>
      <c r="AG70" s="8">
        <f>(V70*12000)/(0.9*60000*0.95*X70)</f>
        <v>9.587387329075106</v>
      </c>
      <c r="AH70" s="8">
        <f>(AG70*60000)/(0.85*4000*(MIN(AD70:AF70)))</f>
        <v>3.1331331140768324</v>
      </c>
      <c r="AI70" s="8">
        <f>AH70/X70</f>
        <v>0.21017159913310968</v>
      </c>
      <c r="AJ70" s="8">
        <f>(V70*12000)/(0.9*60000*(X70-(AH70/2)))</f>
        <v>10.17753205638032</v>
      </c>
      <c r="AK70" s="8">
        <f>(3*(4000^0.5)*AB70*X70)/60000</f>
        <v>2.8438698363630097</v>
      </c>
      <c r="AL70" s="8">
        <f>(200*AB70*X70)/60000</f>
        <v>2.9977020173191504</v>
      </c>
      <c r="AM70" s="8">
        <f>ROUND(MAX(AJ70:AL70),2)</f>
        <v>10.18</v>
      </c>
      <c r="AN70" s="8">
        <f t="shared" si="96"/>
        <v>1.875</v>
      </c>
      <c r="AO70" s="8">
        <f t="shared" si="97"/>
        <v>10.3125</v>
      </c>
      <c r="AP70" s="8">
        <f>AM70*(B70*12)</f>
        <v>2835.3336</v>
      </c>
      <c r="AQ70" s="8">
        <f>(W70-6)*AB70*(12*B70)</f>
        <v>191668.9487289719</v>
      </c>
    </row>
    <row r="71" spans="1:43" ht="12.75">
      <c r="A71">
        <v>54</v>
      </c>
      <c r="B71">
        <v>23.21</v>
      </c>
      <c r="C71">
        <v>9</v>
      </c>
      <c r="D71" s="1">
        <f t="shared" si="69"/>
        <v>1350</v>
      </c>
      <c r="E71" s="1">
        <f t="shared" si="70"/>
        <v>540</v>
      </c>
      <c r="F71" s="1">
        <f aca="true" t="shared" si="100" ref="F71:F90">C71*35</f>
        <v>315</v>
      </c>
      <c r="G71" s="1">
        <f aca="true" t="shared" si="101" ref="G71:G90">(1.2*D71)+(1.6*E71)+(0.5*F71)</f>
        <v>2641.5</v>
      </c>
      <c r="H71" s="1">
        <f t="shared" si="71"/>
        <v>264.15000000000003</v>
      </c>
      <c r="I71" s="1">
        <f t="shared" si="72"/>
        <v>528.3000000000001</v>
      </c>
      <c r="J71" s="1">
        <f t="shared" si="73"/>
        <v>22</v>
      </c>
      <c r="K71" s="1">
        <f t="shared" si="74"/>
        <v>28</v>
      </c>
      <c r="L71" s="1">
        <f t="shared" si="75"/>
        <v>11</v>
      </c>
      <c r="M71" s="1">
        <f t="shared" si="76"/>
        <v>14</v>
      </c>
      <c r="N71" s="8">
        <f t="shared" si="77"/>
        <v>252.08333333333331</v>
      </c>
      <c r="O71" s="8">
        <f t="shared" si="78"/>
        <v>408.3333333333334</v>
      </c>
      <c r="P71">
        <v>300</v>
      </c>
      <c r="Q71" s="1">
        <v>0</v>
      </c>
      <c r="R71" s="8">
        <f aca="true" t="shared" si="102" ref="R71:R85">(1.2*P71)+G71</f>
        <v>3001.5</v>
      </c>
      <c r="S71" s="8"/>
      <c r="T71" s="8"/>
      <c r="U71" s="8">
        <f>(R71*B71)/2000</f>
        <v>34.8324075</v>
      </c>
      <c r="V71" s="8">
        <f>(0.5*B71)*U71*0.5</f>
        <v>202.11504451875</v>
      </c>
      <c r="W71" s="8">
        <f t="shared" si="79"/>
        <v>17.4075</v>
      </c>
      <c r="X71" s="8">
        <f t="shared" si="80"/>
        <v>14.907499999999999</v>
      </c>
      <c r="Y71" s="8">
        <f t="shared" si="81"/>
        <v>0.15</v>
      </c>
      <c r="Z71" s="8">
        <f t="shared" si="82"/>
        <v>546.9</v>
      </c>
      <c r="AA71" s="8">
        <f t="shared" si="83"/>
        <v>4434.778815551289</v>
      </c>
      <c r="AB71" s="8">
        <f t="shared" si="84"/>
        <v>19.95548687778914</v>
      </c>
      <c r="AC71" s="8">
        <f t="shared" si="85"/>
        <v>141.11019932455977</v>
      </c>
      <c r="AD71" s="8">
        <f t="shared" si="86"/>
        <v>69.63</v>
      </c>
      <c r="AE71" s="8">
        <f t="shared" si="87"/>
        <v>115.95548687778914</v>
      </c>
      <c r="AF71" s="8">
        <f t="shared" si="88"/>
        <v>108</v>
      </c>
      <c r="AG71" s="8">
        <f t="shared" si="89"/>
        <v>3.1714488000564893</v>
      </c>
      <c r="AH71" s="8">
        <f t="shared" si="90"/>
        <v>0.803773424248293</v>
      </c>
      <c r="AI71" s="8">
        <f t="shared" si="91"/>
        <v>0.053917385493764416</v>
      </c>
      <c r="AJ71" s="8">
        <f t="shared" si="92"/>
        <v>3.096349905800991</v>
      </c>
      <c r="AK71" s="8">
        <f t="shared" si="93"/>
        <v>0.9407346621637316</v>
      </c>
      <c r="AL71" s="8">
        <f t="shared" si="94"/>
        <v>0.9916214021021388</v>
      </c>
      <c r="AM71" s="8">
        <f t="shared" si="95"/>
        <v>3.1</v>
      </c>
      <c r="AN71" s="8">
        <f t="shared" si="96"/>
        <v>1.875</v>
      </c>
      <c r="AO71" s="8">
        <f t="shared" si="97"/>
        <v>10.3125</v>
      </c>
      <c r="AP71" s="8">
        <f t="shared" si="98"/>
        <v>863.4119999999999</v>
      </c>
      <c r="AQ71" s="8">
        <f t="shared" si="99"/>
        <v>63402.91015583988</v>
      </c>
    </row>
    <row r="72" spans="1:43" ht="12.75">
      <c r="A72" s="6" t="s">
        <v>88</v>
      </c>
      <c r="B72">
        <v>25</v>
      </c>
      <c r="C72">
        <v>7.38</v>
      </c>
      <c r="D72" s="1">
        <f t="shared" si="69"/>
        <v>1107</v>
      </c>
      <c r="E72" s="1">
        <f t="shared" si="70"/>
        <v>442.8</v>
      </c>
      <c r="F72" s="1">
        <f t="shared" si="100"/>
        <v>258.3</v>
      </c>
      <c r="G72" s="1">
        <f t="shared" si="101"/>
        <v>2166.0299999999997</v>
      </c>
      <c r="H72" s="1">
        <f t="shared" si="71"/>
        <v>216.60299999999998</v>
      </c>
      <c r="I72" s="1">
        <f t="shared" si="72"/>
        <v>433.20599999999996</v>
      </c>
      <c r="J72" s="1">
        <f t="shared" si="73"/>
        <v>24</v>
      </c>
      <c r="K72" s="1">
        <f t="shared" si="74"/>
        <v>30</v>
      </c>
      <c r="L72" s="1">
        <f t="shared" si="75"/>
        <v>12</v>
      </c>
      <c r="M72" s="1">
        <f t="shared" si="76"/>
        <v>15</v>
      </c>
      <c r="N72" s="8">
        <f t="shared" si="77"/>
        <v>300</v>
      </c>
      <c r="O72" s="8">
        <f t="shared" si="78"/>
        <v>468.75</v>
      </c>
      <c r="P72">
        <v>300</v>
      </c>
      <c r="Q72" s="1">
        <v>0</v>
      </c>
      <c r="R72" s="8">
        <f t="shared" si="102"/>
        <v>2526.0299999999997</v>
      </c>
      <c r="S72" s="8">
        <v>27.95</v>
      </c>
      <c r="T72" s="8">
        <v>47.68</v>
      </c>
      <c r="U72" s="8">
        <v>30.77</v>
      </c>
      <c r="V72" s="8">
        <v>154.42</v>
      </c>
      <c r="W72" s="8">
        <f t="shared" si="79"/>
        <v>18.75</v>
      </c>
      <c r="X72" s="8">
        <f t="shared" si="80"/>
        <v>16.25</v>
      </c>
      <c r="Y72" s="8">
        <f t="shared" si="81"/>
        <v>0.15</v>
      </c>
      <c r="Z72" s="8">
        <f t="shared" si="82"/>
        <v>546.9</v>
      </c>
      <c r="AA72" s="8">
        <f t="shared" si="83"/>
        <v>3388.261108063631</v>
      </c>
      <c r="AB72" s="8">
        <f t="shared" si="84"/>
        <v>12.831284669590083</v>
      </c>
      <c r="AC72" s="8">
        <f t="shared" si="85"/>
        <v>98.9042068508952</v>
      </c>
      <c r="AD72" s="8">
        <f t="shared" si="86"/>
        <v>75</v>
      </c>
      <c r="AE72" s="8">
        <f t="shared" si="87"/>
        <v>108.83128466959008</v>
      </c>
      <c r="AF72" s="8">
        <f t="shared" si="88"/>
        <v>88.56</v>
      </c>
      <c r="AG72" s="8">
        <f t="shared" si="89"/>
        <v>2.2228699955015743</v>
      </c>
      <c r="AH72" s="8">
        <f t="shared" si="90"/>
        <v>0.5230282342356646</v>
      </c>
      <c r="AI72" s="8">
        <f t="shared" si="91"/>
        <v>0.032186352876040894</v>
      </c>
      <c r="AJ72" s="8">
        <f t="shared" si="92"/>
        <v>2.1462667451390742</v>
      </c>
      <c r="AK72" s="8">
        <f t="shared" si="93"/>
        <v>0.659361379005968</v>
      </c>
      <c r="AL72" s="8">
        <f t="shared" si="94"/>
        <v>0.6950279196027962</v>
      </c>
      <c r="AM72" s="8">
        <f t="shared" si="95"/>
        <v>2.15</v>
      </c>
      <c r="AN72" s="8">
        <f t="shared" si="96"/>
        <v>1.875</v>
      </c>
      <c r="AO72" s="8">
        <f t="shared" si="97"/>
        <v>10.3125</v>
      </c>
      <c r="AP72" s="8">
        <f t="shared" si="98"/>
        <v>645</v>
      </c>
      <c r="AQ72" s="8">
        <f t="shared" si="99"/>
        <v>49079.66386118207</v>
      </c>
    </row>
    <row r="73" spans="1:43" ht="12.75">
      <c r="A73" s="6" t="s">
        <v>89</v>
      </c>
      <c r="B73">
        <v>25</v>
      </c>
      <c r="C73">
        <v>2.88</v>
      </c>
      <c r="D73" s="1">
        <f t="shared" si="69"/>
        <v>432</v>
      </c>
      <c r="E73" s="1">
        <f t="shared" si="70"/>
        <v>172.79999999999998</v>
      </c>
      <c r="F73" s="1">
        <f t="shared" si="100"/>
        <v>100.8</v>
      </c>
      <c r="G73" s="1">
        <f t="shared" si="101"/>
        <v>845.2799999999999</v>
      </c>
      <c r="H73" s="1">
        <f t="shared" si="71"/>
        <v>84.52799999999999</v>
      </c>
      <c r="I73" s="1">
        <f t="shared" si="72"/>
        <v>169.05599999999998</v>
      </c>
      <c r="J73" s="1">
        <f t="shared" si="73"/>
        <v>24</v>
      </c>
      <c r="K73" s="1">
        <f t="shared" si="74"/>
        <v>30</v>
      </c>
      <c r="L73" s="1">
        <f t="shared" si="75"/>
        <v>12</v>
      </c>
      <c r="M73" s="1">
        <f t="shared" si="76"/>
        <v>15</v>
      </c>
      <c r="N73" s="8">
        <f t="shared" si="77"/>
        <v>300</v>
      </c>
      <c r="O73" s="8">
        <f t="shared" si="78"/>
        <v>468.75</v>
      </c>
      <c r="P73">
        <v>300</v>
      </c>
      <c r="Q73" s="1">
        <v>0</v>
      </c>
      <c r="R73" s="8">
        <f t="shared" si="102"/>
        <v>1205.2799999999997</v>
      </c>
      <c r="S73" s="8">
        <v>27.95</v>
      </c>
      <c r="T73" s="8">
        <v>47.68</v>
      </c>
      <c r="U73" s="8">
        <v>30.77</v>
      </c>
      <c r="V73" s="8">
        <v>32.66</v>
      </c>
      <c r="W73" s="8">
        <f t="shared" si="79"/>
        <v>18.75</v>
      </c>
      <c r="X73" s="8">
        <f t="shared" si="80"/>
        <v>16.25</v>
      </c>
      <c r="Y73" s="8">
        <f t="shared" si="81"/>
        <v>0.15</v>
      </c>
      <c r="Z73" s="8">
        <f t="shared" si="82"/>
        <v>546.9</v>
      </c>
      <c r="AA73" s="8">
        <f t="shared" si="83"/>
        <v>716.6209544706527</v>
      </c>
      <c r="AB73" s="8">
        <f t="shared" si="84"/>
        <v>2.7138308334983297</v>
      </c>
      <c r="AC73" s="8">
        <f t="shared" si="85"/>
        <v>20.918348631979256</v>
      </c>
      <c r="AD73" s="8">
        <f t="shared" si="86"/>
        <v>75</v>
      </c>
      <c r="AE73" s="8">
        <f t="shared" si="87"/>
        <v>98.71383083349833</v>
      </c>
      <c r="AF73" s="8">
        <f t="shared" si="88"/>
        <v>34.56</v>
      </c>
      <c r="AG73" s="8">
        <f t="shared" si="89"/>
        <v>0.4701394511920827</v>
      </c>
      <c r="AH73" s="8">
        <f t="shared" si="90"/>
        <v>0.24006303676066312</v>
      </c>
      <c r="AI73" s="8">
        <f t="shared" si="91"/>
        <v>0.014773109954502346</v>
      </c>
      <c r="AJ73" s="8">
        <f t="shared" si="92"/>
        <v>0.4499561041330068</v>
      </c>
      <c r="AK73" s="8">
        <f t="shared" si="93"/>
        <v>0.1394556575465284</v>
      </c>
      <c r="AL73" s="8">
        <f t="shared" si="94"/>
        <v>0.1469991701478262</v>
      </c>
      <c r="AM73" s="8">
        <f t="shared" si="95"/>
        <v>0.45</v>
      </c>
      <c r="AN73" s="8">
        <f t="shared" si="96"/>
        <v>1.875</v>
      </c>
      <c r="AO73" s="8">
        <f t="shared" si="97"/>
        <v>10.3125</v>
      </c>
      <c r="AP73" s="8">
        <f t="shared" si="98"/>
        <v>135</v>
      </c>
      <c r="AQ73" s="8">
        <f t="shared" si="99"/>
        <v>10380.40293813111</v>
      </c>
    </row>
    <row r="74" spans="1:43" ht="12.75">
      <c r="A74">
        <v>56</v>
      </c>
      <c r="B74">
        <v>25</v>
      </c>
      <c r="C74">
        <v>5.75</v>
      </c>
      <c r="D74" s="1">
        <f t="shared" si="69"/>
        <v>862.5</v>
      </c>
      <c r="E74" s="1">
        <f t="shared" si="70"/>
        <v>345</v>
      </c>
      <c r="F74" s="1">
        <f t="shared" si="100"/>
        <v>201.25</v>
      </c>
      <c r="G74" s="1">
        <f t="shared" si="101"/>
        <v>1687.625</v>
      </c>
      <c r="H74" s="1">
        <f t="shared" si="71"/>
        <v>168.76250000000002</v>
      </c>
      <c r="I74" s="1">
        <f t="shared" si="72"/>
        <v>337.52500000000003</v>
      </c>
      <c r="J74" s="1">
        <f t="shared" si="73"/>
        <v>24</v>
      </c>
      <c r="K74" s="1">
        <f t="shared" si="74"/>
        <v>30</v>
      </c>
      <c r="L74" s="1">
        <f t="shared" si="75"/>
        <v>12</v>
      </c>
      <c r="M74" s="1">
        <f t="shared" si="76"/>
        <v>15</v>
      </c>
      <c r="N74" s="8">
        <f t="shared" si="77"/>
        <v>300</v>
      </c>
      <c r="O74" s="8">
        <f t="shared" si="78"/>
        <v>468.75</v>
      </c>
      <c r="P74">
        <v>300</v>
      </c>
      <c r="Q74" s="1">
        <v>0</v>
      </c>
      <c r="R74" s="8">
        <f t="shared" si="102"/>
        <v>2047.625</v>
      </c>
      <c r="S74" s="8"/>
      <c r="T74" s="8"/>
      <c r="U74" s="8">
        <f>(R74*B74)/2000</f>
        <v>25.5953125</v>
      </c>
      <c r="V74" s="8">
        <f>(0.5*B74)*U74*0.5</f>
        <v>159.970703125</v>
      </c>
      <c r="W74" s="8">
        <f t="shared" si="79"/>
        <v>18.75</v>
      </c>
      <c r="X74" s="8">
        <f t="shared" si="80"/>
        <v>16.25</v>
      </c>
      <c r="Y74" s="8">
        <f t="shared" si="81"/>
        <v>0.15</v>
      </c>
      <c r="Z74" s="8">
        <f t="shared" si="82"/>
        <v>546.9</v>
      </c>
      <c r="AA74" s="8">
        <f t="shared" si="83"/>
        <v>3510.0538261108063</v>
      </c>
      <c r="AB74" s="8">
        <f t="shared" si="84"/>
        <v>13.292511530833822</v>
      </c>
      <c r="AC74" s="8">
        <f t="shared" si="85"/>
        <v>102.45936738737306</v>
      </c>
      <c r="AD74" s="8">
        <f t="shared" si="86"/>
        <v>75</v>
      </c>
      <c r="AE74" s="8">
        <f>((8*6))+AB74</f>
        <v>61.29251153083382</v>
      </c>
      <c r="AF74" s="8">
        <f t="shared" si="88"/>
        <v>69</v>
      </c>
      <c r="AG74" s="8">
        <f t="shared" si="89"/>
        <v>2.302772154745839</v>
      </c>
      <c r="AH74" s="8">
        <f t="shared" si="90"/>
        <v>0.6630035979443012</v>
      </c>
      <c r="AI74" s="8">
        <f t="shared" si="91"/>
        <v>0.040800221411956994</v>
      </c>
      <c r="AJ74" s="8">
        <f t="shared" si="92"/>
        <v>2.2331908883586458</v>
      </c>
      <c r="AK74" s="8">
        <f t="shared" si="93"/>
        <v>0.6830624492491537</v>
      </c>
      <c r="AL74" s="8">
        <f t="shared" si="94"/>
        <v>0.7200110412534987</v>
      </c>
      <c r="AM74" s="8">
        <f t="shared" si="95"/>
        <v>2.23</v>
      </c>
      <c r="AN74" s="8">
        <f t="shared" si="96"/>
        <v>1.875</v>
      </c>
      <c r="AO74" s="8">
        <f t="shared" si="97"/>
        <v>10.3125</v>
      </c>
      <c r="AP74" s="8">
        <f t="shared" si="98"/>
        <v>669</v>
      </c>
      <c r="AQ74" s="8">
        <f t="shared" si="99"/>
        <v>50843.85660543937</v>
      </c>
    </row>
    <row r="75" spans="1:43" ht="12.75">
      <c r="A75" s="6" t="s">
        <v>90</v>
      </c>
      <c r="B75">
        <v>25</v>
      </c>
      <c r="C75">
        <v>7.38</v>
      </c>
      <c r="D75" s="1">
        <f t="shared" si="69"/>
        <v>1107</v>
      </c>
      <c r="E75" s="1">
        <f t="shared" si="70"/>
        <v>442.8</v>
      </c>
      <c r="F75" s="1">
        <f t="shared" si="100"/>
        <v>258.3</v>
      </c>
      <c r="G75" s="1">
        <f t="shared" si="101"/>
        <v>2166.0299999999997</v>
      </c>
      <c r="H75" s="1">
        <f t="shared" si="71"/>
        <v>216.60299999999998</v>
      </c>
      <c r="I75" s="1">
        <f t="shared" si="72"/>
        <v>433.20599999999996</v>
      </c>
      <c r="J75" s="1">
        <f t="shared" si="73"/>
        <v>24</v>
      </c>
      <c r="K75" s="1">
        <f t="shared" si="74"/>
        <v>30</v>
      </c>
      <c r="L75" s="1">
        <f t="shared" si="75"/>
        <v>12</v>
      </c>
      <c r="M75" s="1">
        <f t="shared" si="76"/>
        <v>15</v>
      </c>
      <c r="N75" s="8">
        <f t="shared" si="77"/>
        <v>300</v>
      </c>
      <c r="O75" s="8">
        <f t="shared" si="78"/>
        <v>468.75</v>
      </c>
      <c r="P75">
        <v>300</v>
      </c>
      <c r="Q75" s="1">
        <v>0</v>
      </c>
      <c r="R75" s="8">
        <f t="shared" si="102"/>
        <v>2526.0299999999997</v>
      </c>
      <c r="S75" s="8">
        <v>27.95</v>
      </c>
      <c r="T75" s="8">
        <v>47.68</v>
      </c>
      <c r="U75" s="8">
        <v>30.77</v>
      </c>
      <c r="V75" s="8">
        <v>154.42</v>
      </c>
      <c r="W75" s="8">
        <f t="shared" si="79"/>
        <v>18.75</v>
      </c>
      <c r="X75" s="8">
        <f t="shared" si="80"/>
        <v>16.25</v>
      </c>
      <c r="Y75" s="8">
        <f t="shared" si="81"/>
        <v>0.15</v>
      </c>
      <c r="Z75" s="8">
        <f t="shared" si="82"/>
        <v>546.9</v>
      </c>
      <c r="AA75" s="8">
        <f t="shared" si="83"/>
        <v>3388.261108063631</v>
      </c>
      <c r="AB75" s="8">
        <f t="shared" si="84"/>
        <v>12.831284669590083</v>
      </c>
      <c r="AC75" s="8">
        <f t="shared" si="85"/>
        <v>98.9042068508952</v>
      </c>
      <c r="AD75" s="8">
        <f t="shared" si="86"/>
        <v>75</v>
      </c>
      <c r="AE75" s="8">
        <f aca="true" t="shared" si="103" ref="AE75:AE90">((8*6)*2)+AB75</f>
        <v>108.83128466959008</v>
      </c>
      <c r="AF75" s="8">
        <f t="shared" si="88"/>
        <v>88.56</v>
      </c>
      <c r="AG75" s="8">
        <f t="shared" si="89"/>
        <v>2.2228699955015743</v>
      </c>
      <c r="AH75" s="8">
        <f t="shared" si="90"/>
        <v>0.5230282342356646</v>
      </c>
      <c r="AI75" s="8">
        <f t="shared" si="91"/>
        <v>0.032186352876040894</v>
      </c>
      <c r="AJ75" s="8">
        <f t="shared" si="92"/>
        <v>2.1462667451390742</v>
      </c>
      <c r="AK75" s="8">
        <f t="shared" si="93"/>
        <v>0.659361379005968</v>
      </c>
      <c r="AL75" s="8">
        <f t="shared" si="94"/>
        <v>0.6950279196027962</v>
      </c>
      <c r="AM75" s="8">
        <f t="shared" si="95"/>
        <v>2.15</v>
      </c>
      <c r="AN75" s="8">
        <f t="shared" si="96"/>
        <v>1.875</v>
      </c>
      <c r="AO75" s="8">
        <f t="shared" si="97"/>
        <v>10.3125</v>
      </c>
      <c r="AP75" s="8">
        <f t="shared" si="98"/>
        <v>645</v>
      </c>
      <c r="AQ75" s="8">
        <f t="shared" si="99"/>
        <v>49079.66386118207</v>
      </c>
    </row>
    <row r="76" spans="1:43" ht="12.75">
      <c r="A76" s="6" t="s">
        <v>91</v>
      </c>
      <c r="B76">
        <v>25</v>
      </c>
      <c r="C76">
        <v>2.88</v>
      </c>
      <c r="D76" s="1">
        <f t="shared" si="69"/>
        <v>432</v>
      </c>
      <c r="E76" s="1">
        <f t="shared" si="70"/>
        <v>172.79999999999998</v>
      </c>
      <c r="F76" s="1">
        <f t="shared" si="100"/>
        <v>100.8</v>
      </c>
      <c r="G76" s="1">
        <f t="shared" si="101"/>
        <v>845.2799999999999</v>
      </c>
      <c r="H76" s="1">
        <f t="shared" si="71"/>
        <v>84.52799999999999</v>
      </c>
      <c r="I76" s="1">
        <f t="shared" si="72"/>
        <v>169.05599999999998</v>
      </c>
      <c r="J76" s="1">
        <f t="shared" si="73"/>
        <v>24</v>
      </c>
      <c r="K76" s="1">
        <f t="shared" si="74"/>
        <v>30</v>
      </c>
      <c r="L76" s="1">
        <f t="shared" si="75"/>
        <v>12</v>
      </c>
      <c r="M76" s="1">
        <f t="shared" si="76"/>
        <v>15</v>
      </c>
      <c r="N76" s="8">
        <f t="shared" si="77"/>
        <v>300</v>
      </c>
      <c r="O76" s="8">
        <f t="shared" si="78"/>
        <v>468.75</v>
      </c>
      <c r="P76">
        <v>300</v>
      </c>
      <c r="Q76" s="1">
        <v>0</v>
      </c>
      <c r="R76" s="8">
        <f t="shared" si="102"/>
        <v>1205.2799999999997</v>
      </c>
      <c r="S76" s="8">
        <v>27.95</v>
      </c>
      <c r="T76" s="8">
        <v>47.68</v>
      </c>
      <c r="U76" s="8">
        <v>30.77</v>
      </c>
      <c r="V76" s="8">
        <v>32.66</v>
      </c>
      <c r="W76" s="8">
        <f t="shared" si="79"/>
        <v>18.75</v>
      </c>
      <c r="X76" s="8">
        <f t="shared" si="80"/>
        <v>16.25</v>
      </c>
      <c r="Y76" s="8">
        <f t="shared" si="81"/>
        <v>0.15</v>
      </c>
      <c r="Z76" s="8">
        <f t="shared" si="82"/>
        <v>546.9</v>
      </c>
      <c r="AA76" s="8">
        <f t="shared" si="83"/>
        <v>716.6209544706527</v>
      </c>
      <c r="AB76" s="8">
        <f t="shared" si="84"/>
        <v>2.7138308334983297</v>
      </c>
      <c r="AC76" s="8">
        <f t="shared" si="85"/>
        <v>20.918348631979256</v>
      </c>
      <c r="AD76" s="8">
        <f t="shared" si="86"/>
        <v>75</v>
      </c>
      <c r="AE76" s="8">
        <f t="shared" si="103"/>
        <v>98.71383083349833</v>
      </c>
      <c r="AF76" s="8">
        <f t="shared" si="88"/>
        <v>34.56</v>
      </c>
      <c r="AG76" s="8">
        <f t="shared" si="89"/>
        <v>0.4701394511920827</v>
      </c>
      <c r="AH76" s="8">
        <f t="shared" si="90"/>
        <v>0.24006303676066312</v>
      </c>
      <c r="AI76" s="8">
        <f t="shared" si="91"/>
        <v>0.014773109954502346</v>
      </c>
      <c r="AJ76" s="8">
        <f t="shared" si="92"/>
        <v>0.4499561041330068</v>
      </c>
      <c r="AK76" s="8">
        <f t="shared" si="93"/>
        <v>0.1394556575465284</v>
      </c>
      <c r="AL76" s="8">
        <f t="shared" si="94"/>
        <v>0.1469991701478262</v>
      </c>
      <c r="AM76" s="8">
        <f t="shared" si="95"/>
        <v>0.45</v>
      </c>
      <c r="AN76" s="8">
        <f t="shared" si="96"/>
        <v>1.875</v>
      </c>
      <c r="AO76" s="8">
        <f t="shared" si="97"/>
        <v>10.3125</v>
      </c>
      <c r="AP76" s="8">
        <f t="shared" si="98"/>
        <v>135</v>
      </c>
      <c r="AQ76" s="8">
        <f t="shared" si="99"/>
        <v>10380.40293813111</v>
      </c>
    </row>
    <row r="77" spans="1:43" ht="12.75">
      <c r="A77">
        <v>58</v>
      </c>
      <c r="B77">
        <v>23.21</v>
      </c>
      <c r="C77">
        <v>8.88</v>
      </c>
      <c r="D77" s="1">
        <f t="shared" si="69"/>
        <v>1332.0000000000002</v>
      </c>
      <c r="E77" s="1">
        <f t="shared" si="70"/>
        <v>532.8000000000001</v>
      </c>
      <c r="F77" s="1">
        <f t="shared" si="100"/>
        <v>310.8</v>
      </c>
      <c r="G77" s="1">
        <f t="shared" si="101"/>
        <v>2606.2800000000007</v>
      </c>
      <c r="H77" s="1">
        <f t="shared" si="71"/>
        <v>260.6280000000001</v>
      </c>
      <c r="I77" s="1">
        <f t="shared" si="72"/>
        <v>521.2560000000002</v>
      </c>
      <c r="J77" s="1">
        <f t="shared" si="73"/>
        <v>22</v>
      </c>
      <c r="K77" s="1">
        <f t="shared" si="74"/>
        <v>28</v>
      </c>
      <c r="L77" s="1">
        <f t="shared" si="75"/>
        <v>11</v>
      </c>
      <c r="M77" s="1">
        <f t="shared" si="76"/>
        <v>14</v>
      </c>
      <c r="N77" s="8">
        <f t="shared" si="77"/>
        <v>252.08333333333331</v>
      </c>
      <c r="O77" s="8">
        <f t="shared" si="78"/>
        <v>408.3333333333334</v>
      </c>
      <c r="P77">
        <v>300</v>
      </c>
      <c r="Q77" s="1">
        <v>0</v>
      </c>
      <c r="R77" s="8">
        <f t="shared" si="102"/>
        <v>2966.2800000000007</v>
      </c>
      <c r="S77" s="8"/>
      <c r="T77" s="8"/>
      <c r="U77" s="8">
        <f>(R77*B77)/2000</f>
        <v>34.42367940000001</v>
      </c>
      <c r="V77" s="8">
        <f>(0.5*B77)*U77*0.5</f>
        <v>199.7433997185001</v>
      </c>
      <c r="W77" s="8">
        <f t="shared" si="79"/>
        <v>17.4075</v>
      </c>
      <c r="X77" s="8">
        <f t="shared" si="80"/>
        <v>14.907499999999999</v>
      </c>
      <c r="Y77" s="8">
        <f t="shared" si="81"/>
        <v>0.15</v>
      </c>
      <c r="Z77" s="8">
        <f t="shared" si="82"/>
        <v>546.9</v>
      </c>
      <c r="AA77" s="8">
        <f t="shared" si="83"/>
        <v>4382.740531398796</v>
      </c>
      <c r="AB77" s="8">
        <f t="shared" si="84"/>
        <v>19.721326542011795</v>
      </c>
      <c r="AC77" s="8">
        <f t="shared" si="85"/>
        <v>139.45439348740803</v>
      </c>
      <c r="AD77" s="8">
        <f t="shared" si="86"/>
        <v>69.63</v>
      </c>
      <c r="AE77" s="8">
        <f t="shared" si="103"/>
        <v>115.7213265420118</v>
      </c>
      <c r="AF77" s="8">
        <f t="shared" si="88"/>
        <v>106.56</v>
      </c>
      <c r="AG77" s="8">
        <f t="shared" si="89"/>
        <v>3.1342345982447335</v>
      </c>
      <c r="AH77" s="8">
        <f t="shared" si="90"/>
        <v>0.7943418400397227</v>
      </c>
      <c r="AI77" s="8">
        <f t="shared" si="91"/>
        <v>0.053284711724952055</v>
      </c>
      <c r="AJ77" s="8">
        <f t="shared" si="92"/>
        <v>3.0590224325723874</v>
      </c>
      <c r="AK77" s="8">
        <f t="shared" si="93"/>
        <v>0.9296959565827202</v>
      </c>
      <c r="AL77" s="8">
        <f t="shared" si="94"/>
        <v>0.9799855847501361</v>
      </c>
      <c r="AM77" s="8">
        <f t="shared" si="95"/>
        <v>3.06</v>
      </c>
      <c r="AN77" s="8">
        <f t="shared" si="96"/>
        <v>1.875</v>
      </c>
      <c r="AO77" s="8">
        <f t="shared" si="97"/>
        <v>10.3125</v>
      </c>
      <c r="AP77" s="8">
        <f t="shared" si="98"/>
        <v>852.2711999999999</v>
      </c>
      <c r="AQ77" s="8">
        <f t="shared" si="99"/>
        <v>62658.93197969843</v>
      </c>
    </row>
    <row r="78" spans="1:43" ht="12.75">
      <c r="A78">
        <v>59</v>
      </c>
      <c r="B78">
        <v>23.21</v>
      </c>
      <c r="C78">
        <v>9.5</v>
      </c>
      <c r="D78" s="1">
        <f t="shared" si="69"/>
        <v>1425</v>
      </c>
      <c r="E78" s="1">
        <f t="shared" si="70"/>
        <v>570</v>
      </c>
      <c r="F78" s="1">
        <f t="shared" si="100"/>
        <v>332.5</v>
      </c>
      <c r="G78" s="1">
        <f t="shared" si="101"/>
        <v>2788.25</v>
      </c>
      <c r="H78" s="1">
        <f t="shared" si="71"/>
        <v>278.825</v>
      </c>
      <c r="I78" s="1">
        <f t="shared" si="72"/>
        <v>557.65</v>
      </c>
      <c r="J78" s="1">
        <f t="shared" si="73"/>
        <v>22</v>
      </c>
      <c r="K78" s="1">
        <f t="shared" si="74"/>
        <v>28</v>
      </c>
      <c r="L78" s="1">
        <f t="shared" si="75"/>
        <v>11</v>
      </c>
      <c r="M78" s="1">
        <f t="shared" si="76"/>
        <v>14</v>
      </c>
      <c r="N78" s="8">
        <f t="shared" si="77"/>
        <v>252.08333333333331</v>
      </c>
      <c r="O78" s="8">
        <f t="shared" si="78"/>
        <v>408.3333333333334</v>
      </c>
      <c r="P78">
        <v>300</v>
      </c>
      <c r="Q78" s="1">
        <v>0</v>
      </c>
      <c r="R78" s="8">
        <f t="shared" si="102"/>
        <v>3148.25</v>
      </c>
      <c r="S78" s="8"/>
      <c r="T78" s="8"/>
      <c r="U78" s="8">
        <f>(R78*B78)/2000</f>
        <v>36.535441250000005</v>
      </c>
      <c r="V78" s="8">
        <f>(0.5*B78)*U78*0.5</f>
        <v>211.99689785312503</v>
      </c>
      <c r="W78" s="8">
        <f t="shared" si="79"/>
        <v>17.4075</v>
      </c>
      <c r="X78" s="8">
        <f t="shared" si="80"/>
        <v>14.907499999999999</v>
      </c>
      <c r="Y78" s="8">
        <f t="shared" si="81"/>
        <v>0.15</v>
      </c>
      <c r="Z78" s="8">
        <f t="shared" si="82"/>
        <v>546.9</v>
      </c>
      <c r="AA78" s="8">
        <f t="shared" si="83"/>
        <v>4651.604999520023</v>
      </c>
      <c r="AB78" s="8">
        <f t="shared" si="84"/>
        <v>20.931154943528128</v>
      </c>
      <c r="AC78" s="8">
        <f t="shared" si="85"/>
        <v>148.00939031269206</v>
      </c>
      <c r="AD78" s="8">
        <f t="shared" si="86"/>
        <v>69.63</v>
      </c>
      <c r="AE78" s="8">
        <f t="shared" si="103"/>
        <v>116.93115494352813</v>
      </c>
      <c r="AF78" s="8">
        <f t="shared" si="88"/>
        <v>114</v>
      </c>
      <c r="AG78" s="8">
        <f t="shared" si="89"/>
        <v>3.326507974272145</v>
      </c>
      <c r="AH78" s="8">
        <f t="shared" si="90"/>
        <v>0.8430716917840042</v>
      </c>
      <c r="AI78" s="8">
        <f t="shared" si="91"/>
        <v>0.05655352619714937</v>
      </c>
      <c r="AJ78" s="8">
        <f t="shared" si="92"/>
        <v>3.2521426426268705</v>
      </c>
      <c r="AK78" s="8">
        <f t="shared" si="93"/>
        <v>0.9867292687512804</v>
      </c>
      <c r="AL78" s="8">
        <f t="shared" si="94"/>
        <v>1.0401039744021519</v>
      </c>
      <c r="AM78" s="8">
        <f t="shared" si="95"/>
        <v>3.25</v>
      </c>
      <c r="AN78" s="8">
        <f t="shared" si="96"/>
        <v>1.875</v>
      </c>
      <c r="AO78" s="8">
        <f t="shared" si="97"/>
        <v>10.3125</v>
      </c>
      <c r="AP78" s="8">
        <f>AM78*B78</f>
        <v>75.4325</v>
      </c>
      <c r="AQ78" s="8">
        <f t="shared" si="99"/>
        <v>66502.8192230961</v>
      </c>
    </row>
    <row r="79" spans="1:43" ht="12.75">
      <c r="A79">
        <v>60</v>
      </c>
      <c r="B79">
        <v>23.21</v>
      </c>
      <c r="C79">
        <v>8.88</v>
      </c>
      <c r="D79" s="1">
        <f t="shared" si="69"/>
        <v>1332.0000000000002</v>
      </c>
      <c r="E79" s="1">
        <f t="shared" si="70"/>
        <v>532.8000000000001</v>
      </c>
      <c r="F79" s="1">
        <f t="shared" si="100"/>
        <v>310.8</v>
      </c>
      <c r="G79" s="1">
        <f t="shared" si="101"/>
        <v>2606.2800000000007</v>
      </c>
      <c r="H79" s="1">
        <f t="shared" si="71"/>
        <v>260.6280000000001</v>
      </c>
      <c r="I79" s="1">
        <f t="shared" si="72"/>
        <v>521.2560000000002</v>
      </c>
      <c r="J79" s="1">
        <f t="shared" si="73"/>
        <v>22</v>
      </c>
      <c r="K79" s="1">
        <f t="shared" si="74"/>
        <v>28</v>
      </c>
      <c r="L79" s="1">
        <f t="shared" si="75"/>
        <v>11</v>
      </c>
      <c r="M79" s="1">
        <f t="shared" si="76"/>
        <v>14</v>
      </c>
      <c r="N79" s="8">
        <f t="shared" si="77"/>
        <v>252.08333333333331</v>
      </c>
      <c r="O79" s="8">
        <f t="shared" si="78"/>
        <v>408.3333333333334</v>
      </c>
      <c r="P79">
        <v>300</v>
      </c>
      <c r="Q79" s="1">
        <v>0</v>
      </c>
      <c r="R79" s="8">
        <f t="shared" si="102"/>
        <v>2966.2800000000007</v>
      </c>
      <c r="S79" s="8"/>
      <c r="T79" s="8"/>
      <c r="U79" s="8">
        <f>(R79*B79)/2000</f>
        <v>34.42367940000001</v>
      </c>
      <c r="V79" s="8">
        <f>(0.5*B79)*U79*0.5</f>
        <v>199.7433997185001</v>
      </c>
      <c r="W79" s="8">
        <f t="shared" si="79"/>
        <v>17.4075</v>
      </c>
      <c r="X79" s="8">
        <f t="shared" si="80"/>
        <v>14.907499999999999</v>
      </c>
      <c r="Y79" s="8">
        <f t="shared" si="81"/>
        <v>0.15</v>
      </c>
      <c r="Z79" s="8">
        <f t="shared" si="82"/>
        <v>546.9</v>
      </c>
      <c r="AA79" s="8">
        <f t="shared" si="83"/>
        <v>4382.740531398796</v>
      </c>
      <c r="AB79" s="8">
        <f t="shared" si="84"/>
        <v>19.721326542011795</v>
      </c>
      <c r="AC79" s="8">
        <f t="shared" si="85"/>
        <v>139.45439348740803</v>
      </c>
      <c r="AD79" s="8">
        <f t="shared" si="86"/>
        <v>69.63</v>
      </c>
      <c r="AE79" s="8">
        <f t="shared" si="103"/>
        <v>115.7213265420118</v>
      </c>
      <c r="AF79" s="8">
        <f t="shared" si="88"/>
        <v>106.56</v>
      </c>
      <c r="AG79" s="8">
        <f t="shared" si="89"/>
        <v>3.1342345982447335</v>
      </c>
      <c r="AH79" s="8">
        <f t="shared" si="90"/>
        <v>0.7943418400397227</v>
      </c>
      <c r="AI79" s="8">
        <f t="shared" si="91"/>
        <v>0.053284711724952055</v>
      </c>
      <c r="AJ79" s="8">
        <f t="shared" si="92"/>
        <v>3.0590224325723874</v>
      </c>
      <c r="AK79" s="8">
        <f t="shared" si="93"/>
        <v>0.9296959565827202</v>
      </c>
      <c r="AL79" s="8">
        <f t="shared" si="94"/>
        <v>0.9799855847501361</v>
      </c>
      <c r="AM79" s="8">
        <f t="shared" si="95"/>
        <v>3.06</v>
      </c>
      <c r="AN79" s="8">
        <f t="shared" si="96"/>
        <v>1.875</v>
      </c>
      <c r="AO79" s="8">
        <f t="shared" si="97"/>
        <v>10.3125</v>
      </c>
      <c r="AP79" s="8">
        <f>AM79*B79</f>
        <v>71.0226</v>
      </c>
      <c r="AQ79" s="8">
        <f t="shared" si="99"/>
        <v>62658.93197969843</v>
      </c>
    </row>
    <row r="80" spans="1:43" ht="12.75">
      <c r="A80" s="6" t="s">
        <v>92</v>
      </c>
      <c r="B80">
        <v>25</v>
      </c>
      <c r="C80">
        <v>7.38</v>
      </c>
      <c r="D80" s="1">
        <f t="shared" si="69"/>
        <v>1107</v>
      </c>
      <c r="E80" s="1">
        <f t="shared" si="70"/>
        <v>442.8</v>
      </c>
      <c r="F80" s="1">
        <f t="shared" si="100"/>
        <v>258.3</v>
      </c>
      <c r="G80" s="1">
        <f t="shared" si="101"/>
        <v>2166.0299999999997</v>
      </c>
      <c r="H80" s="1">
        <f t="shared" si="71"/>
        <v>216.60299999999998</v>
      </c>
      <c r="I80" s="1">
        <f t="shared" si="72"/>
        <v>433.20599999999996</v>
      </c>
      <c r="J80" s="1">
        <f t="shared" si="73"/>
        <v>24</v>
      </c>
      <c r="K80" s="1">
        <f t="shared" si="74"/>
        <v>30</v>
      </c>
      <c r="L80" s="1">
        <f t="shared" si="75"/>
        <v>12</v>
      </c>
      <c r="M80" s="1">
        <f t="shared" si="76"/>
        <v>15</v>
      </c>
      <c r="N80" s="8">
        <f t="shared" si="77"/>
        <v>300</v>
      </c>
      <c r="O80" s="8">
        <f t="shared" si="78"/>
        <v>468.75</v>
      </c>
      <c r="P80">
        <v>300</v>
      </c>
      <c r="Q80" s="1">
        <v>0</v>
      </c>
      <c r="R80" s="8">
        <f t="shared" si="102"/>
        <v>2526.0299999999997</v>
      </c>
      <c r="S80" s="8">
        <v>27.95</v>
      </c>
      <c r="T80" s="8">
        <v>47.68</v>
      </c>
      <c r="U80" s="8">
        <v>30.77</v>
      </c>
      <c r="V80" s="8">
        <v>154.42</v>
      </c>
      <c r="W80" s="8">
        <f t="shared" si="79"/>
        <v>18.75</v>
      </c>
      <c r="X80" s="8">
        <f t="shared" si="80"/>
        <v>16.25</v>
      </c>
      <c r="Y80" s="8">
        <f t="shared" si="81"/>
        <v>0.15</v>
      </c>
      <c r="Z80" s="8">
        <f t="shared" si="82"/>
        <v>546.9</v>
      </c>
      <c r="AA80" s="8">
        <f t="shared" si="83"/>
        <v>3388.261108063631</v>
      </c>
      <c r="AB80" s="8">
        <f t="shared" si="84"/>
        <v>12.831284669590083</v>
      </c>
      <c r="AC80" s="8">
        <f t="shared" si="85"/>
        <v>98.9042068508952</v>
      </c>
      <c r="AD80" s="8">
        <f t="shared" si="86"/>
        <v>75</v>
      </c>
      <c r="AE80" s="8">
        <f t="shared" si="103"/>
        <v>108.83128466959008</v>
      </c>
      <c r="AF80" s="8">
        <f t="shared" si="88"/>
        <v>88.56</v>
      </c>
      <c r="AG80" s="8">
        <f t="shared" si="89"/>
        <v>2.2228699955015743</v>
      </c>
      <c r="AH80" s="8">
        <f t="shared" si="90"/>
        <v>0.5230282342356646</v>
      </c>
      <c r="AI80" s="8">
        <f t="shared" si="91"/>
        <v>0.032186352876040894</v>
      </c>
      <c r="AJ80" s="8">
        <f t="shared" si="92"/>
        <v>2.1462667451390742</v>
      </c>
      <c r="AK80" s="8">
        <f t="shared" si="93"/>
        <v>0.659361379005968</v>
      </c>
      <c r="AL80" s="8">
        <f t="shared" si="94"/>
        <v>0.6950279196027962</v>
      </c>
      <c r="AM80" s="8">
        <f t="shared" si="95"/>
        <v>2.15</v>
      </c>
      <c r="AN80" s="8">
        <f t="shared" si="96"/>
        <v>1.875</v>
      </c>
      <c r="AO80" s="8">
        <f t="shared" si="97"/>
        <v>10.3125</v>
      </c>
      <c r="AP80" s="8">
        <f>AM80*(B80*12)</f>
        <v>645</v>
      </c>
      <c r="AQ80" s="8">
        <f t="shared" si="99"/>
        <v>49079.66386118207</v>
      </c>
    </row>
    <row r="81" spans="1:43" ht="12.75">
      <c r="A81" s="6" t="s">
        <v>93</v>
      </c>
      <c r="B81">
        <v>25</v>
      </c>
      <c r="C81">
        <v>2.88</v>
      </c>
      <c r="D81" s="1">
        <f t="shared" si="69"/>
        <v>432</v>
      </c>
      <c r="E81" s="1">
        <f t="shared" si="70"/>
        <v>172.79999999999998</v>
      </c>
      <c r="F81" s="1">
        <f t="shared" si="100"/>
        <v>100.8</v>
      </c>
      <c r="G81" s="1">
        <f t="shared" si="101"/>
        <v>845.2799999999999</v>
      </c>
      <c r="H81" s="1">
        <f t="shared" si="71"/>
        <v>84.52799999999999</v>
      </c>
      <c r="I81" s="1">
        <f t="shared" si="72"/>
        <v>169.05599999999998</v>
      </c>
      <c r="J81" s="1">
        <f t="shared" si="73"/>
        <v>24</v>
      </c>
      <c r="K81" s="1">
        <f t="shared" si="74"/>
        <v>30</v>
      </c>
      <c r="L81" s="1">
        <f t="shared" si="75"/>
        <v>12</v>
      </c>
      <c r="M81" s="1">
        <f t="shared" si="76"/>
        <v>15</v>
      </c>
      <c r="N81" s="8">
        <f t="shared" si="77"/>
        <v>300</v>
      </c>
      <c r="O81" s="8">
        <f t="shared" si="78"/>
        <v>468.75</v>
      </c>
      <c r="P81">
        <v>300</v>
      </c>
      <c r="Q81" s="1">
        <v>0</v>
      </c>
      <c r="R81" s="8">
        <f t="shared" si="102"/>
        <v>1205.2799999999997</v>
      </c>
      <c r="S81" s="8">
        <v>27.95</v>
      </c>
      <c r="T81" s="8">
        <v>47.68</v>
      </c>
      <c r="U81" s="8">
        <v>30.77</v>
      </c>
      <c r="V81" s="8">
        <v>32.66</v>
      </c>
      <c r="W81" s="8">
        <f t="shared" si="79"/>
        <v>18.75</v>
      </c>
      <c r="X81" s="8">
        <f t="shared" si="80"/>
        <v>16.25</v>
      </c>
      <c r="Y81" s="8">
        <f t="shared" si="81"/>
        <v>0.15</v>
      </c>
      <c r="Z81" s="8">
        <f t="shared" si="82"/>
        <v>546.9</v>
      </c>
      <c r="AA81" s="8">
        <f t="shared" si="83"/>
        <v>716.6209544706527</v>
      </c>
      <c r="AB81" s="8">
        <f t="shared" si="84"/>
        <v>2.7138308334983297</v>
      </c>
      <c r="AC81" s="8">
        <f t="shared" si="85"/>
        <v>20.918348631979256</v>
      </c>
      <c r="AD81" s="8">
        <f t="shared" si="86"/>
        <v>75</v>
      </c>
      <c r="AE81" s="8">
        <f t="shared" si="103"/>
        <v>98.71383083349833</v>
      </c>
      <c r="AF81" s="8">
        <f t="shared" si="88"/>
        <v>34.56</v>
      </c>
      <c r="AG81" s="8">
        <f t="shared" si="89"/>
        <v>0.4701394511920827</v>
      </c>
      <c r="AH81" s="8">
        <f t="shared" si="90"/>
        <v>0.24006303676066312</v>
      </c>
      <c r="AI81" s="8">
        <f t="shared" si="91"/>
        <v>0.014773109954502346</v>
      </c>
      <c r="AJ81" s="8">
        <f t="shared" si="92"/>
        <v>0.4499561041330068</v>
      </c>
      <c r="AK81" s="8">
        <f t="shared" si="93"/>
        <v>0.1394556575465284</v>
      </c>
      <c r="AL81" s="8">
        <f t="shared" si="94"/>
        <v>0.1469991701478262</v>
      </c>
      <c r="AM81" s="8">
        <f t="shared" si="95"/>
        <v>0.45</v>
      </c>
      <c r="AN81" s="8">
        <f t="shared" si="96"/>
        <v>1.875</v>
      </c>
      <c r="AO81" s="8">
        <f t="shared" si="97"/>
        <v>10.3125</v>
      </c>
      <c r="AP81" s="8">
        <f>AM81*(B81*12)</f>
        <v>135</v>
      </c>
      <c r="AQ81" s="8">
        <f t="shared" si="99"/>
        <v>10380.40293813111</v>
      </c>
    </row>
    <row r="82" spans="1:43" ht="12.75">
      <c r="A82">
        <v>62</v>
      </c>
      <c r="B82">
        <v>25</v>
      </c>
      <c r="C82">
        <v>5.75</v>
      </c>
      <c r="D82" s="1">
        <f t="shared" si="69"/>
        <v>862.5</v>
      </c>
      <c r="E82" s="1">
        <f t="shared" si="70"/>
        <v>345</v>
      </c>
      <c r="F82" s="1">
        <f t="shared" si="100"/>
        <v>201.25</v>
      </c>
      <c r="G82" s="1">
        <f t="shared" si="101"/>
        <v>1687.625</v>
      </c>
      <c r="H82" s="1">
        <f t="shared" si="71"/>
        <v>168.76250000000002</v>
      </c>
      <c r="I82" s="1">
        <f t="shared" si="72"/>
        <v>337.52500000000003</v>
      </c>
      <c r="J82" s="1">
        <f t="shared" si="73"/>
        <v>24</v>
      </c>
      <c r="K82" s="1">
        <f t="shared" si="74"/>
        <v>30</v>
      </c>
      <c r="L82" s="1">
        <f t="shared" si="75"/>
        <v>12</v>
      </c>
      <c r="M82" s="1">
        <f t="shared" si="76"/>
        <v>15</v>
      </c>
      <c r="N82" s="8">
        <f t="shared" si="77"/>
        <v>300</v>
      </c>
      <c r="O82" s="8">
        <f t="shared" si="78"/>
        <v>468.75</v>
      </c>
      <c r="P82">
        <v>300</v>
      </c>
      <c r="Q82" s="1">
        <v>0</v>
      </c>
      <c r="R82" s="8">
        <f t="shared" si="102"/>
        <v>2047.625</v>
      </c>
      <c r="S82" s="8"/>
      <c r="T82" s="8"/>
      <c r="U82" s="8">
        <f>(R82*B82)/2000</f>
        <v>25.5953125</v>
      </c>
      <c r="V82" s="8">
        <f>(0.5*B82)*U82*0.5</f>
        <v>159.970703125</v>
      </c>
      <c r="W82" s="8">
        <f t="shared" si="79"/>
        <v>18.75</v>
      </c>
      <c r="X82" s="8">
        <f t="shared" si="80"/>
        <v>16.25</v>
      </c>
      <c r="Y82" s="8">
        <f t="shared" si="81"/>
        <v>0.15</v>
      </c>
      <c r="Z82" s="8">
        <f t="shared" si="82"/>
        <v>546.9</v>
      </c>
      <c r="AA82" s="8">
        <f t="shared" si="83"/>
        <v>3510.0538261108063</v>
      </c>
      <c r="AB82" s="8">
        <f t="shared" si="84"/>
        <v>13.292511530833822</v>
      </c>
      <c r="AC82" s="8">
        <f t="shared" si="85"/>
        <v>102.45936738737306</v>
      </c>
      <c r="AD82" s="8">
        <f t="shared" si="86"/>
        <v>75</v>
      </c>
      <c r="AE82" s="8">
        <f t="shared" si="103"/>
        <v>109.29251153083382</v>
      </c>
      <c r="AF82" s="8">
        <f t="shared" si="88"/>
        <v>69</v>
      </c>
      <c r="AG82" s="8">
        <f t="shared" si="89"/>
        <v>2.302772154745839</v>
      </c>
      <c r="AH82" s="8">
        <f t="shared" si="90"/>
        <v>0.5889442851012375</v>
      </c>
      <c r="AI82" s="8">
        <f t="shared" si="91"/>
        <v>0.03624272523699923</v>
      </c>
      <c r="AJ82" s="8">
        <f t="shared" si="92"/>
        <v>2.22800808951561</v>
      </c>
      <c r="AK82" s="8">
        <f t="shared" si="93"/>
        <v>0.6830624492491537</v>
      </c>
      <c r="AL82" s="8">
        <f t="shared" si="94"/>
        <v>0.7200110412534987</v>
      </c>
      <c r="AM82" s="8">
        <f t="shared" si="95"/>
        <v>2.23</v>
      </c>
      <c r="AN82" s="8">
        <f t="shared" si="96"/>
        <v>1.875</v>
      </c>
      <c r="AO82" s="8">
        <f t="shared" si="97"/>
        <v>10.3125</v>
      </c>
      <c r="AP82" s="8">
        <f>AM82*B82</f>
        <v>55.75</v>
      </c>
      <c r="AQ82" s="8">
        <f t="shared" si="99"/>
        <v>50843.85660543937</v>
      </c>
    </row>
    <row r="83" spans="1:43" ht="12.75">
      <c r="A83" s="6" t="s">
        <v>94</v>
      </c>
      <c r="B83">
        <v>25</v>
      </c>
      <c r="C83">
        <v>7.38</v>
      </c>
      <c r="D83" s="1">
        <f t="shared" si="69"/>
        <v>1107</v>
      </c>
      <c r="E83" s="1">
        <f t="shared" si="70"/>
        <v>442.8</v>
      </c>
      <c r="F83" s="1">
        <f t="shared" si="100"/>
        <v>258.3</v>
      </c>
      <c r="G83" s="1">
        <f t="shared" si="101"/>
        <v>2166.0299999999997</v>
      </c>
      <c r="H83" s="1">
        <f t="shared" si="71"/>
        <v>216.60299999999998</v>
      </c>
      <c r="I83" s="1">
        <f t="shared" si="72"/>
        <v>433.20599999999996</v>
      </c>
      <c r="J83" s="1">
        <f t="shared" si="73"/>
        <v>24</v>
      </c>
      <c r="K83" s="1">
        <f t="shared" si="74"/>
        <v>30</v>
      </c>
      <c r="L83" s="1">
        <f t="shared" si="75"/>
        <v>12</v>
      </c>
      <c r="M83" s="1">
        <f t="shared" si="76"/>
        <v>15</v>
      </c>
      <c r="N83" s="8">
        <f t="shared" si="77"/>
        <v>300</v>
      </c>
      <c r="O83" s="8">
        <f t="shared" si="78"/>
        <v>468.75</v>
      </c>
      <c r="P83">
        <v>300</v>
      </c>
      <c r="Q83" s="1">
        <v>0</v>
      </c>
      <c r="R83" s="8">
        <f t="shared" si="102"/>
        <v>2526.0299999999997</v>
      </c>
      <c r="S83" s="8">
        <v>27.95</v>
      </c>
      <c r="T83" s="8">
        <v>47.68</v>
      </c>
      <c r="U83" s="8">
        <v>30.77</v>
      </c>
      <c r="V83" s="8">
        <v>154.42</v>
      </c>
      <c r="W83" s="8">
        <f t="shared" si="79"/>
        <v>18.75</v>
      </c>
      <c r="X83" s="8">
        <f t="shared" si="80"/>
        <v>16.25</v>
      </c>
      <c r="Y83" s="8">
        <f t="shared" si="81"/>
        <v>0.15</v>
      </c>
      <c r="Z83" s="8">
        <f t="shared" si="82"/>
        <v>546.9</v>
      </c>
      <c r="AA83" s="8">
        <f t="shared" si="83"/>
        <v>3388.261108063631</v>
      </c>
      <c r="AB83" s="8">
        <f t="shared" si="84"/>
        <v>12.831284669590083</v>
      </c>
      <c r="AC83" s="8">
        <f t="shared" si="85"/>
        <v>98.9042068508952</v>
      </c>
      <c r="AD83" s="8">
        <f t="shared" si="86"/>
        <v>75</v>
      </c>
      <c r="AE83" s="8">
        <f t="shared" si="103"/>
        <v>108.83128466959008</v>
      </c>
      <c r="AF83" s="8">
        <f t="shared" si="88"/>
        <v>88.56</v>
      </c>
      <c r="AG83" s="8">
        <f t="shared" si="89"/>
        <v>2.2228699955015743</v>
      </c>
      <c r="AH83" s="8">
        <f t="shared" si="90"/>
        <v>0.5230282342356646</v>
      </c>
      <c r="AI83" s="8">
        <f t="shared" si="91"/>
        <v>0.032186352876040894</v>
      </c>
      <c r="AJ83" s="8">
        <f t="shared" si="92"/>
        <v>2.1462667451390742</v>
      </c>
      <c r="AK83" s="8">
        <f t="shared" si="93"/>
        <v>0.659361379005968</v>
      </c>
      <c r="AL83" s="8">
        <f t="shared" si="94"/>
        <v>0.6950279196027962</v>
      </c>
      <c r="AM83" s="8">
        <f t="shared" si="95"/>
        <v>2.15</v>
      </c>
      <c r="AN83" s="8">
        <f t="shared" si="96"/>
        <v>1.875</v>
      </c>
      <c r="AO83" s="8">
        <f t="shared" si="97"/>
        <v>10.3125</v>
      </c>
      <c r="AP83" s="8">
        <f aca="true" t="shared" si="104" ref="AP83:AP88">AM83*(B83*12)</f>
        <v>645</v>
      </c>
      <c r="AQ83" s="8">
        <f t="shared" si="99"/>
        <v>49079.66386118207</v>
      </c>
    </row>
    <row r="84" spans="1:43" ht="12.75">
      <c r="A84" s="6" t="s">
        <v>95</v>
      </c>
      <c r="B84">
        <v>25</v>
      </c>
      <c r="C84">
        <v>2.88</v>
      </c>
      <c r="D84" s="1">
        <f t="shared" si="69"/>
        <v>432</v>
      </c>
      <c r="E84" s="1">
        <f t="shared" si="70"/>
        <v>172.79999999999998</v>
      </c>
      <c r="F84" s="1">
        <f t="shared" si="100"/>
        <v>100.8</v>
      </c>
      <c r="G84" s="1">
        <f t="shared" si="101"/>
        <v>845.2799999999999</v>
      </c>
      <c r="H84" s="1">
        <f t="shared" si="71"/>
        <v>84.52799999999999</v>
      </c>
      <c r="I84" s="1">
        <f t="shared" si="72"/>
        <v>169.05599999999998</v>
      </c>
      <c r="J84" s="1">
        <f t="shared" si="73"/>
        <v>24</v>
      </c>
      <c r="K84" s="1">
        <f t="shared" si="74"/>
        <v>30</v>
      </c>
      <c r="L84" s="1">
        <f t="shared" si="75"/>
        <v>12</v>
      </c>
      <c r="M84" s="1">
        <f t="shared" si="76"/>
        <v>15</v>
      </c>
      <c r="N84" s="8">
        <f t="shared" si="77"/>
        <v>300</v>
      </c>
      <c r="O84" s="8">
        <f t="shared" si="78"/>
        <v>468.75</v>
      </c>
      <c r="P84">
        <v>300</v>
      </c>
      <c r="Q84" s="1">
        <v>0</v>
      </c>
      <c r="R84" s="8">
        <f t="shared" si="102"/>
        <v>1205.2799999999997</v>
      </c>
      <c r="S84" s="8">
        <v>27.95</v>
      </c>
      <c r="T84" s="8">
        <v>47.68</v>
      </c>
      <c r="U84" s="8">
        <v>30.77</v>
      </c>
      <c r="V84" s="8">
        <v>32.66</v>
      </c>
      <c r="W84" s="8">
        <f t="shared" si="79"/>
        <v>18.75</v>
      </c>
      <c r="X84" s="8">
        <f t="shared" si="80"/>
        <v>16.25</v>
      </c>
      <c r="Y84" s="8">
        <f t="shared" si="81"/>
        <v>0.15</v>
      </c>
      <c r="Z84" s="8">
        <f t="shared" si="82"/>
        <v>546.9</v>
      </c>
      <c r="AA84" s="8">
        <f t="shared" si="83"/>
        <v>716.6209544706527</v>
      </c>
      <c r="AB84" s="8">
        <f t="shared" si="84"/>
        <v>2.7138308334983297</v>
      </c>
      <c r="AC84" s="8">
        <f t="shared" si="85"/>
        <v>20.918348631979256</v>
      </c>
      <c r="AD84" s="8">
        <f t="shared" si="86"/>
        <v>75</v>
      </c>
      <c r="AE84" s="8">
        <f t="shared" si="103"/>
        <v>98.71383083349833</v>
      </c>
      <c r="AF84" s="8">
        <f t="shared" si="88"/>
        <v>34.56</v>
      </c>
      <c r="AG84" s="8">
        <f t="shared" si="89"/>
        <v>0.4701394511920827</v>
      </c>
      <c r="AH84" s="8">
        <f t="shared" si="90"/>
        <v>0.24006303676066312</v>
      </c>
      <c r="AI84" s="8">
        <f t="shared" si="91"/>
        <v>0.014773109954502346</v>
      </c>
      <c r="AJ84" s="8">
        <f t="shared" si="92"/>
        <v>0.4499561041330068</v>
      </c>
      <c r="AK84" s="8">
        <f t="shared" si="93"/>
        <v>0.1394556575465284</v>
      </c>
      <c r="AL84" s="8">
        <f t="shared" si="94"/>
        <v>0.1469991701478262</v>
      </c>
      <c r="AM84" s="8">
        <f t="shared" si="95"/>
        <v>0.45</v>
      </c>
      <c r="AN84" s="8">
        <f t="shared" si="96"/>
        <v>1.875</v>
      </c>
      <c r="AO84" s="8">
        <f t="shared" si="97"/>
        <v>10.3125</v>
      </c>
      <c r="AP84" s="8">
        <f t="shared" si="104"/>
        <v>135</v>
      </c>
      <c r="AQ84" s="8">
        <f t="shared" si="99"/>
        <v>10380.40293813111</v>
      </c>
    </row>
    <row r="85" spans="1:43" ht="12.75">
      <c r="A85">
        <v>64</v>
      </c>
      <c r="B85">
        <v>23.21</v>
      </c>
      <c r="C85">
        <v>9</v>
      </c>
      <c r="D85" s="1">
        <f t="shared" si="69"/>
        <v>1350</v>
      </c>
      <c r="E85" s="1">
        <f t="shared" si="70"/>
        <v>540</v>
      </c>
      <c r="F85" s="1">
        <f t="shared" si="100"/>
        <v>315</v>
      </c>
      <c r="G85" s="1">
        <f t="shared" si="101"/>
        <v>2641.5</v>
      </c>
      <c r="H85" s="1">
        <f t="shared" si="71"/>
        <v>264.15000000000003</v>
      </c>
      <c r="I85" s="1">
        <f t="shared" si="72"/>
        <v>528.3000000000001</v>
      </c>
      <c r="J85" s="1">
        <f t="shared" si="73"/>
        <v>22</v>
      </c>
      <c r="K85" s="1">
        <f t="shared" si="74"/>
        <v>28</v>
      </c>
      <c r="L85" s="1">
        <f t="shared" si="75"/>
        <v>11</v>
      </c>
      <c r="M85" s="1">
        <f t="shared" si="76"/>
        <v>14</v>
      </c>
      <c r="N85" s="8">
        <f t="shared" si="77"/>
        <v>252.08333333333331</v>
      </c>
      <c r="O85" s="8">
        <f t="shared" si="78"/>
        <v>408.3333333333334</v>
      </c>
      <c r="P85">
        <v>300</v>
      </c>
      <c r="Q85" s="1">
        <v>0</v>
      </c>
      <c r="R85" s="8">
        <f t="shared" si="102"/>
        <v>3001.5</v>
      </c>
      <c r="S85" s="8"/>
      <c r="T85" s="8"/>
      <c r="U85" s="8">
        <f>(R85*B85)/2000</f>
        <v>34.8324075</v>
      </c>
      <c r="V85" s="8">
        <f>(0.5*B85)*U85*0.5</f>
        <v>202.11504451875</v>
      </c>
      <c r="W85" s="8">
        <f t="shared" si="79"/>
        <v>17.4075</v>
      </c>
      <c r="X85" s="8">
        <f t="shared" si="80"/>
        <v>14.907499999999999</v>
      </c>
      <c r="Y85" s="8">
        <f t="shared" si="81"/>
        <v>0.15</v>
      </c>
      <c r="Z85" s="8">
        <f t="shared" si="82"/>
        <v>546.9</v>
      </c>
      <c r="AA85" s="8">
        <f t="shared" si="83"/>
        <v>4434.778815551289</v>
      </c>
      <c r="AB85" s="8">
        <f t="shared" si="84"/>
        <v>19.95548687778914</v>
      </c>
      <c r="AC85" s="8">
        <f t="shared" si="85"/>
        <v>141.11019932455977</v>
      </c>
      <c r="AD85" s="8">
        <f t="shared" si="86"/>
        <v>69.63</v>
      </c>
      <c r="AE85" s="8">
        <f t="shared" si="103"/>
        <v>115.95548687778914</v>
      </c>
      <c r="AF85" s="8">
        <f t="shared" si="88"/>
        <v>108</v>
      </c>
      <c r="AG85" s="8">
        <f t="shared" si="89"/>
        <v>3.1714488000564893</v>
      </c>
      <c r="AH85" s="8">
        <f t="shared" si="90"/>
        <v>0.803773424248293</v>
      </c>
      <c r="AI85" s="8">
        <f t="shared" si="91"/>
        <v>0.053917385493764416</v>
      </c>
      <c r="AJ85" s="8">
        <f t="shared" si="92"/>
        <v>3.096349905800991</v>
      </c>
      <c r="AK85" s="8">
        <f t="shared" si="93"/>
        <v>0.9407346621637316</v>
      </c>
      <c r="AL85" s="8">
        <f t="shared" si="94"/>
        <v>0.9916214021021388</v>
      </c>
      <c r="AM85" s="8">
        <f t="shared" si="95"/>
        <v>3.1</v>
      </c>
      <c r="AN85" s="8">
        <f t="shared" si="96"/>
        <v>1.875</v>
      </c>
      <c r="AO85" s="8">
        <f t="shared" si="97"/>
        <v>10.3125</v>
      </c>
      <c r="AP85" s="8">
        <f t="shared" si="104"/>
        <v>863.4119999999999</v>
      </c>
      <c r="AQ85" s="8">
        <f t="shared" si="99"/>
        <v>63402.91015583988</v>
      </c>
    </row>
    <row r="86" spans="1:43" ht="12.75">
      <c r="A86" s="6" t="s">
        <v>129</v>
      </c>
      <c r="B86">
        <v>23.21</v>
      </c>
      <c r="C86">
        <v>4.5</v>
      </c>
      <c r="D86" s="1">
        <f t="shared" si="69"/>
        <v>675</v>
      </c>
      <c r="E86" s="1">
        <f t="shared" si="70"/>
        <v>270</v>
      </c>
      <c r="F86" s="1">
        <f t="shared" si="100"/>
        <v>157.5</v>
      </c>
      <c r="G86" s="1">
        <f t="shared" si="101"/>
        <v>1320.75</v>
      </c>
      <c r="H86" s="1">
        <f t="shared" si="71"/>
        <v>132.07500000000002</v>
      </c>
      <c r="I86" s="1">
        <f t="shared" si="72"/>
        <v>264.15000000000003</v>
      </c>
      <c r="J86" s="1">
        <f t="shared" si="73"/>
        <v>22</v>
      </c>
      <c r="K86" s="1">
        <f t="shared" si="74"/>
        <v>28</v>
      </c>
      <c r="L86" s="1">
        <f t="shared" si="75"/>
        <v>11</v>
      </c>
      <c r="M86" s="1">
        <f t="shared" si="76"/>
        <v>14</v>
      </c>
      <c r="N86" s="8">
        <f t="shared" si="77"/>
        <v>252.08333333333331</v>
      </c>
      <c r="O86" s="8">
        <f t="shared" si="78"/>
        <v>408.3333333333334</v>
      </c>
      <c r="P86">
        <v>300</v>
      </c>
      <c r="Q86" s="1">
        <v>0</v>
      </c>
      <c r="R86" s="8">
        <f>(1.2*(P86+0.64))+G86</f>
        <v>1681.518</v>
      </c>
      <c r="S86" s="8">
        <v>35.6</v>
      </c>
      <c r="T86" s="8">
        <v>30.63</v>
      </c>
      <c r="U86" s="8">
        <f>MAX(S86:T86)</f>
        <v>35.6</v>
      </c>
      <c r="V86" s="8">
        <v>224.13</v>
      </c>
      <c r="W86" s="8">
        <f t="shared" si="79"/>
        <v>17.4075</v>
      </c>
      <c r="X86" s="8">
        <f t="shared" si="80"/>
        <v>14.907499999999999</v>
      </c>
      <c r="Y86" s="8">
        <f t="shared" si="81"/>
        <v>0.15</v>
      </c>
      <c r="Z86" s="8">
        <f t="shared" si="82"/>
        <v>546.9</v>
      </c>
      <c r="AA86" s="8">
        <f t="shared" si="83"/>
        <v>4917.82775644542</v>
      </c>
      <c r="AB86" s="8">
        <f t="shared" si="84"/>
        <v>22.12909625094217</v>
      </c>
      <c r="AC86" s="8">
        <f t="shared" si="85"/>
        <v>156.48033054600035</v>
      </c>
      <c r="AD86" s="8">
        <f t="shared" si="86"/>
        <v>69.63</v>
      </c>
      <c r="AE86" s="8">
        <f t="shared" si="103"/>
        <v>118.12909625094217</v>
      </c>
      <c r="AF86" s="8">
        <f t="shared" si="88"/>
        <v>54</v>
      </c>
      <c r="AG86" s="8">
        <f t="shared" si="89"/>
        <v>3.516892180140104</v>
      </c>
      <c r="AH86" s="8">
        <f t="shared" si="90"/>
        <v>1.1493111699804262</v>
      </c>
      <c r="AI86" s="8">
        <f t="shared" si="91"/>
        <v>0.07709617105352515</v>
      </c>
      <c r="AJ86" s="8">
        <f t="shared" si="92"/>
        <v>3.4750022552751374</v>
      </c>
      <c r="AK86" s="8">
        <f t="shared" si="93"/>
        <v>1.0432022036400022</v>
      </c>
      <c r="AL86" s="8">
        <f t="shared" si="94"/>
        <v>1.0996316745364012</v>
      </c>
      <c r="AM86" s="8">
        <f t="shared" si="95"/>
        <v>3.48</v>
      </c>
      <c r="AN86" s="8">
        <f t="shared" si="96"/>
        <v>1.875</v>
      </c>
      <c r="AO86" s="8">
        <f t="shared" si="97"/>
        <v>10.3125</v>
      </c>
      <c r="AP86" s="8">
        <f t="shared" si="104"/>
        <v>969.2496</v>
      </c>
      <c r="AQ86" s="8">
        <f t="shared" si="99"/>
        <v>70308.93859022009</v>
      </c>
    </row>
    <row r="87" spans="1:43" ht="12.75">
      <c r="A87" s="6" t="s">
        <v>130</v>
      </c>
      <c r="B87">
        <v>23.21</v>
      </c>
      <c r="C87">
        <v>4.5</v>
      </c>
      <c r="D87" s="1">
        <f t="shared" si="69"/>
        <v>675</v>
      </c>
      <c r="E87" s="1">
        <f>C87*60</f>
        <v>270</v>
      </c>
      <c r="F87" s="1">
        <f>C87*35</f>
        <v>157.5</v>
      </c>
      <c r="G87" s="1">
        <f>(1.2*D87)+(1.6*E87)+(0.5*F87)</f>
        <v>1320.75</v>
      </c>
      <c r="H87" s="1">
        <f t="shared" si="71"/>
        <v>132.07500000000002</v>
      </c>
      <c r="I87" s="1">
        <f>0.2*MAX(G87:G87)</f>
        <v>264.15000000000003</v>
      </c>
      <c r="J87" s="1">
        <f>ROUND(((0.08*B87)*12),0)</f>
        <v>22</v>
      </c>
      <c r="K87" s="1">
        <f>ROUND(((0.1*B87)*12),0)</f>
        <v>28</v>
      </c>
      <c r="L87" s="1">
        <f>ROUND((0.5*J87),0)</f>
        <v>11</v>
      </c>
      <c r="M87" s="1">
        <f>ROUND((0.5*K87),0)</f>
        <v>14</v>
      </c>
      <c r="N87" s="8">
        <f>(L87/12)*(J87/12)*150</f>
        <v>252.08333333333331</v>
      </c>
      <c r="O87" s="8">
        <f>(M87/12)*(K87/12)*150</f>
        <v>408.3333333333334</v>
      </c>
      <c r="P87">
        <v>300</v>
      </c>
      <c r="Q87" s="1">
        <v>0</v>
      </c>
      <c r="R87" s="8">
        <f>(1.2*(P87+0.64))+G87</f>
        <v>1681.518</v>
      </c>
      <c r="S87" s="8">
        <v>35.6</v>
      </c>
      <c r="T87" s="8">
        <v>30.63</v>
      </c>
      <c r="U87" s="8">
        <f>MAX(S87:T87)</f>
        <v>35.6</v>
      </c>
      <c r="V87" s="8">
        <v>611</v>
      </c>
      <c r="W87" s="8">
        <f>(B87/16)*12</f>
        <v>17.4075</v>
      </c>
      <c r="X87" s="8">
        <f t="shared" si="80"/>
        <v>14.907499999999999</v>
      </c>
      <c r="Y87" s="8">
        <f t="shared" si="81"/>
        <v>0.15</v>
      </c>
      <c r="Z87" s="8">
        <f t="shared" si="82"/>
        <v>546.9</v>
      </c>
      <c r="AA87" s="8">
        <f>(12000*V87)/Z87</f>
        <v>13406.472846955568</v>
      </c>
      <c r="AB87" s="8">
        <f>AA87/(X87^2)</f>
        <v>60.326050994180456</v>
      </c>
      <c r="AC87" s="8">
        <f>0.75*((((2*(4000^0.5)*AB87*X87)+(8*(4000^0.5)*AB87*X87)))/1000)</f>
        <v>426.5804754544514</v>
      </c>
      <c r="AD87" s="8">
        <f>(B87/4)*12</f>
        <v>69.63</v>
      </c>
      <c r="AE87" s="8">
        <f>((8*6)*2)+AB87</f>
        <v>156.32605099418046</v>
      </c>
      <c r="AF87" s="8">
        <f>C87*12</f>
        <v>54</v>
      </c>
      <c r="AG87" s="8">
        <f>(V87*12000)/(0.9*60000*0.95*X87)</f>
        <v>9.587387329075106</v>
      </c>
      <c r="AH87" s="8">
        <f>(AG87*60000)/(0.85*4000*(MIN(AD87:AF87)))</f>
        <v>3.1331331140768324</v>
      </c>
      <c r="AI87" s="8">
        <f>AH87/X87</f>
        <v>0.21017159913310968</v>
      </c>
      <c r="AJ87" s="8">
        <f>(V87*12000)/(0.9*60000*(X87-(AH87/2)))</f>
        <v>10.17753205638032</v>
      </c>
      <c r="AK87" s="8">
        <f>(3*(4000^0.5)*AB87*X87)/60000</f>
        <v>2.8438698363630097</v>
      </c>
      <c r="AL87" s="8">
        <f>(200*AB87*X87)/60000</f>
        <v>2.9977020173191504</v>
      </c>
      <c r="AM87" s="8">
        <f>ROUND(MAX(AJ87:AL87),2)</f>
        <v>10.18</v>
      </c>
      <c r="AN87" s="8">
        <f t="shared" si="96"/>
        <v>1.875</v>
      </c>
      <c r="AO87" s="8">
        <f t="shared" si="97"/>
        <v>10.3125</v>
      </c>
      <c r="AP87" s="8">
        <f t="shared" si="104"/>
        <v>2835.3336</v>
      </c>
      <c r="AQ87" s="8">
        <f>(W87-6)*AB87*(12*B87)</f>
        <v>191668.9487289719</v>
      </c>
    </row>
    <row r="88" spans="1:43" ht="12.75">
      <c r="A88">
        <v>66</v>
      </c>
      <c r="B88">
        <v>13</v>
      </c>
      <c r="C88">
        <v>2.61</v>
      </c>
      <c r="D88" s="1">
        <f t="shared" si="69"/>
        <v>391.5</v>
      </c>
      <c r="E88" s="1">
        <f t="shared" si="70"/>
        <v>156.6</v>
      </c>
      <c r="F88" s="1">
        <f t="shared" si="100"/>
        <v>91.35</v>
      </c>
      <c r="G88" s="1">
        <f t="shared" si="101"/>
        <v>766.0349999999999</v>
      </c>
      <c r="H88" s="1">
        <f t="shared" si="71"/>
        <v>76.60349999999998</v>
      </c>
      <c r="I88" s="1">
        <f t="shared" si="72"/>
        <v>153.20699999999997</v>
      </c>
      <c r="J88" s="1">
        <f t="shared" si="73"/>
        <v>12</v>
      </c>
      <c r="K88" s="1">
        <f t="shared" si="74"/>
        <v>16</v>
      </c>
      <c r="L88" s="1">
        <f t="shared" si="75"/>
        <v>6</v>
      </c>
      <c r="M88" s="1">
        <f t="shared" si="76"/>
        <v>8</v>
      </c>
      <c r="N88" s="8">
        <f t="shared" si="77"/>
        <v>75</v>
      </c>
      <c r="O88" s="8">
        <f t="shared" si="78"/>
        <v>133.33333333333331</v>
      </c>
      <c r="P88">
        <v>100</v>
      </c>
      <c r="Q88" s="1">
        <v>0</v>
      </c>
      <c r="R88" s="8">
        <f>(1.2*(P88+0.64))+G88</f>
        <v>886.8029999999999</v>
      </c>
      <c r="S88" s="8"/>
      <c r="T88" s="8"/>
      <c r="U88" s="8">
        <f>(R88*B88)/2000</f>
        <v>5.764219499999999</v>
      </c>
      <c r="V88" s="8">
        <f>(0.5*B88)*U88*0.5</f>
        <v>18.733713374999997</v>
      </c>
      <c r="W88" s="8">
        <f t="shared" si="79"/>
        <v>9.75</v>
      </c>
      <c r="X88" s="8">
        <f t="shared" si="80"/>
        <v>7.25</v>
      </c>
      <c r="Y88" s="8">
        <f t="shared" si="81"/>
        <v>0.15</v>
      </c>
      <c r="Z88" s="8">
        <f t="shared" si="82"/>
        <v>546.9</v>
      </c>
      <c r="AA88" s="8">
        <f t="shared" si="83"/>
        <v>411.0524053757542</v>
      </c>
      <c r="AB88" s="8">
        <f t="shared" si="84"/>
        <v>7.820259793117796</v>
      </c>
      <c r="AC88" s="8">
        <f t="shared" si="85"/>
        <v>26.893693214032222</v>
      </c>
      <c r="AD88" s="8">
        <f t="shared" si="86"/>
        <v>39</v>
      </c>
      <c r="AE88" s="8">
        <f t="shared" si="103"/>
        <v>103.8202597931178</v>
      </c>
      <c r="AF88" s="8">
        <f t="shared" si="88"/>
        <v>31.32</v>
      </c>
      <c r="AG88" s="8">
        <f t="shared" si="89"/>
        <v>0.6044351966122201</v>
      </c>
      <c r="AH88" s="8">
        <f t="shared" si="90"/>
        <v>0.3405652448795471</v>
      </c>
      <c r="AI88" s="8">
        <f t="shared" si="91"/>
        <v>0.04697451653510994</v>
      </c>
      <c r="AJ88" s="8">
        <f t="shared" si="92"/>
        <v>0.588024520563745</v>
      </c>
      <c r="AK88" s="8">
        <f t="shared" si="93"/>
        <v>0.17929128809354813</v>
      </c>
      <c r="AL88" s="8">
        <f t="shared" si="94"/>
        <v>0.18898961166701342</v>
      </c>
      <c r="AM88" s="8">
        <f t="shared" si="95"/>
        <v>0.59</v>
      </c>
      <c r="AN88" s="8">
        <f t="shared" si="96"/>
        <v>1.875</v>
      </c>
      <c r="AO88" s="8">
        <f t="shared" si="97"/>
        <v>10.3125</v>
      </c>
      <c r="AP88" s="8">
        <f t="shared" si="104"/>
        <v>92.03999999999999</v>
      </c>
      <c r="AQ88" s="8">
        <f t="shared" si="99"/>
        <v>4574.851978973911</v>
      </c>
    </row>
    <row r="89" spans="1:43" ht="12.75">
      <c r="A89">
        <v>67</v>
      </c>
      <c r="B89">
        <v>13</v>
      </c>
      <c r="C89">
        <v>5.22</v>
      </c>
      <c r="D89" s="1">
        <f t="shared" si="69"/>
        <v>783</v>
      </c>
      <c r="E89" s="1">
        <f t="shared" si="70"/>
        <v>313.2</v>
      </c>
      <c r="F89" s="1">
        <f t="shared" si="100"/>
        <v>182.7</v>
      </c>
      <c r="G89" s="1">
        <f t="shared" si="101"/>
        <v>1532.0699999999997</v>
      </c>
      <c r="H89" s="1">
        <f t="shared" si="71"/>
        <v>153.20699999999997</v>
      </c>
      <c r="I89" s="1">
        <f t="shared" si="72"/>
        <v>306.41399999999993</v>
      </c>
      <c r="J89" s="1">
        <f t="shared" si="73"/>
        <v>12</v>
      </c>
      <c r="K89" s="1">
        <f t="shared" si="74"/>
        <v>16</v>
      </c>
      <c r="L89" s="1">
        <f t="shared" si="75"/>
        <v>6</v>
      </c>
      <c r="M89" s="1">
        <f t="shared" si="76"/>
        <v>8</v>
      </c>
      <c r="N89" s="8">
        <f t="shared" si="77"/>
        <v>75</v>
      </c>
      <c r="O89" s="8">
        <f t="shared" si="78"/>
        <v>133.33333333333331</v>
      </c>
      <c r="P89">
        <v>100</v>
      </c>
      <c r="Q89" s="1">
        <v>0</v>
      </c>
      <c r="R89" s="8">
        <f>(1.2*P89)+G89</f>
        <v>1652.0699999999997</v>
      </c>
      <c r="S89" s="8"/>
      <c r="T89" s="8"/>
      <c r="U89" s="8">
        <f>(R89*B89)/2000</f>
        <v>10.738454999999998</v>
      </c>
      <c r="V89" s="8">
        <f>(0.5*B89)*U89*0.5</f>
        <v>34.899978749999995</v>
      </c>
      <c r="W89" s="8">
        <f t="shared" si="79"/>
        <v>9.75</v>
      </c>
      <c r="X89" s="8">
        <f t="shared" si="80"/>
        <v>7.25</v>
      </c>
      <c r="Y89" s="8">
        <f t="shared" si="81"/>
        <v>0.15</v>
      </c>
      <c r="Z89" s="8">
        <f t="shared" si="82"/>
        <v>546.9</v>
      </c>
      <c r="AA89" s="8">
        <f t="shared" si="83"/>
        <v>765.7702413603948</v>
      </c>
      <c r="AB89" s="8">
        <f t="shared" si="84"/>
        <v>14.56875607820014</v>
      </c>
      <c r="AC89" s="8">
        <f t="shared" si="85"/>
        <v>50.10161642225637</v>
      </c>
      <c r="AD89" s="8">
        <f t="shared" si="86"/>
        <v>39</v>
      </c>
      <c r="AE89" s="8">
        <f t="shared" si="103"/>
        <v>110.56875607820014</v>
      </c>
      <c r="AF89" s="8">
        <f t="shared" si="88"/>
        <v>62.64</v>
      </c>
      <c r="AG89" s="8">
        <f t="shared" si="89"/>
        <v>1.1260327888687234</v>
      </c>
      <c r="AH89" s="8">
        <f t="shared" si="90"/>
        <v>0.5095170990356214</v>
      </c>
      <c r="AI89" s="8">
        <f t="shared" si="91"/>
        <v>0.07027822055663743</v>
      </c>
      <c r="AJ89" s="8">
        <f t="shared" si="92"/>
        <v>1.1086895124683271</v>
      </c>
      <c r="AK89" s="8">
        <f t="shared" si="93"/>
        <v>0.33401077614837577</v>
      </c>
      <c r="AL89" s="8">
        <f t="shared" si="94"/>
        <v>0.3520782718898367</v>
      </c>
      <c r="AM89" s="8">
        <f t="shared" si="95"/>
        <v>1.11</v>
      </c>
      <c r="AN89" s="8">
        <f t="shared" si="96"/>
        <v>1.875</v>
      </c>
      <c r="AO89" s="8">
        <f t="shared" si="97"/>
        <v>10.3125</v>
      </c>
      <c r="AP89" s="8">
        <f>AM89*B89</f>
        <v>14.430000000000001</v>
      </c>
      <c r="AQ89" s="8">
        <f t="shared" si="99"/>
        <v>8522.722305747082</v>
      </c>
    </row>
    <row r="90" spans="1:43" ht="12.75">
      <c r="A90">
        <v>68</v>
      </c>
      <c r="B90">
        <v>13</v>
      </c>
      <c r="C90">
        <v>5.22</v>
      </c>
      <c r="D90" s="1">
        <f t="shared" si="69"/>
        <v>783</v>
      </c>
      <c r="E90" s="1">
        <f t="shared" si="70"/>
        <v>313.2</v>
      </c>
      <c r="F90" s="1">
        <f t="shared" si="100"/>
        <v>182.7</v>
      </c>
      <c r="G90" s="1">
        <f t="shared" si="101"/>
        <v>1532.0699999999997</v>
      </c>
      <c r="H90" s="1">
        <f t="shared" si="71"/>
        <v>153.20699999999997</v>
      </c>
      <c r="I90" s="1">
        <f t="shared" si="72"/>
        <v>306.41399999999993</v>
      </c>
      <c r="J90" s="1">
        <f t="shared" si="73"/>
        <v>12</v>
      </c>
      <c r="K90" s="1">
        <f t="shared" si="74"/>
        <v>16</v>
      </c>
      <c r="L90" s="1">
        <f t="shared" si="75"/>
        <v>6</v>
      </c>
      <c r="M90" s="1">
        <f t="shared" si="76"/>
        <v>8</v>
      </c>
      <c r="N90" s="8">
        <f t="shared" si="77"/>
        <v>75</v>
      </c>
      <c r="O90" s="8">
        <f t="shared" si="78"/>
        <v>133.33333333333331</v>
      </c>
      <c r="P90">
        <v>100</v>
      </c>
      <c r="Q90" s="1">
        <v>0</v>
      </c>
      <c r="R90" s="8">
        <f>(1.2*P90)+G90</f>
        <v>1652.0699999999997</v>
      </c>
      <c r="S90" s="8"/>
      <c r="T90" s="8"/>
      <c r="U90" s="8">
        <f>(R90*B90)/2000</f>
        <v>10.738454999999998</v>
      </c>
      <c r="V90" s="8">
        <f>(0.5*B90)*U90*0.5</f>
        <v>34.899978749999995</v>
      </c>
      <c r="W90" s="8">
        <f t="shared" si="79"/>
        <v>9.75</v>
      </c>
      <c r="X90" s="8">
        <f t="shared" si="80"/>
        <v>7.25</v>
      </c>
      <c r="Y90" s="8">
        <f t="shared" si="81"/>
        <v>0.15</v>
      </c>
      <c r="Z90" s="8">
        <f t="shared" si="82"/>
        <v>546.9</v>
      </c>
      <c r="AA90" s="8">
        <f t="shared" si="83"/>
        <v>765.7702413603948</v>
      </c>
      <c r="AB90" s="8">
        <f t="shared" si="84"/>
        <v>14.56875607820014</v>
      </c>
      <c r="AC90" s="8">
        <f t="shared" si="85"/>
        <v>50.10161642225637</v>
      </c>
      <c r="AD90" s="8">
        <f t="shared" si="86"/>
        <v>39</v>
      </c>
      <c r="AE90" s="8">
        <f t="shared" si="103"/>
        <v>110.56875607820014</v>
      </c>
      <c r="AF90" s="8">
        <f t="shared" si="88"/>
        <v>62.64</v>
      </c>
      <c r="AG90" s="8">
        <f t="shared" si="89"/>
        <v>1.1260327888687234</v>
      </c>
      <c r="AH90" s="8">
        <f t="shared" si="90"/>
        <v>0.5095170990356214</v>
      </c>
      <c r="AI90" s="8">
        <f t="shared" si="91"/>
        <v>0.07027822055663743</v>
      </c>
      <c r="AJ90" s="8">
        <f t="shared" si="92"/>
        <v>1.1086895124683271</v>
      </c>
      <c r="AK90" s="8">
        <f t="shared" si="93"/>
        <v>0.33401077614837577</v>
      </c>
      <c r="AL90" s="8">
        <f t="shared" si="94"/>
        <v>0.3520782718898367</v>
      </c>
      <c r="AM90" s="8">
        <f t="shared" si="95"/>
        <v>1.11</v>
      </c>
      <c r="AN90" s="8">
        <f t="shared" si="96"/>
        <v>1.875</v>
      </c>
      <c r="AO90" s="8">
        <f t="shared" si="97"/>
        <v>10.3125</v>
      </c>
      <c r="AP90" s="8">
        <f>AM90*B90</f>
        <v>14.430000000000001</v>
      </c>
      <c r="AQ90" s="8">
        <f t="shared" si="99"/>
        <v>8522.722305747082</v>
      </c>
    </row>
    <row r="91" spans="4:9" ht="12.75">
      <c r="D91" s="1"/>
      <c r="E91" s="1"/>
      <c r="F91" s="1"/>
      <c r="G91" s="1"/>
      <c r="H91" s="1"/>
      <c r="I91" s="1"/>
    </row>
    <row r="92" spans="4:9" ht="12.75">
      <c r="D92" s="1"/>
      <c r="E92" s="1"/>
      <c r="F92" s="1"/>
      <c r="G92" s="1"/>
      <c r="H92" s="1"/>
      <c r="I92" s="1"/>
    </row>
  </sheetData>
  <sheetProtection/>
  <dataValidations count="1">
    <dataValidation allowBlank="1" showInputMessage="1" showErrorMessage="1" sqref="J23:O30 E21:E30 D2:G3 H2:O22 E4:G20 Q2:T32 R33:T44 F21:G90 H23:I92 D4:D90 Q33:Q90"/>
  </dataValidation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92"/>
  <sheetViews>
    <sheetView zoomScalePageLayoutView="0" workbookViewId="0" topLeftCell="K1">
      <selection activeCell="Q2" sqref="Q2:AR90"/>
    </sheetView>
  </sheetViews>
  <sheetFormatPr defaultColWidth="11.00390625" defaultRowHeight="12.75"/>
  <cols>
    <col min="2" max="3" width="11.00390625" style="0" customWidth="1"/>
    <col min="4" max="7" width="10.75390625" style="0" customWidth="1"/>
    <col min="8" max="9" width="9.00390625" style="0" customWidth="1"/>
    <col min="10" max="10" width="5.125" style="0" customWidth="1"/>
    <col min="11" max="12" width="6.125" style="0" customWidth="1"/>
    <col min="13" max="13" width="7.125" style="0" customWidth="1"/>
    <col min="14" max="21" width="11.00390625" style="0" customWidth="1"/>
    <col min="22" max="22" width="12.375" style="0" customWidth="1"/>
    <col min="23" max="23" width="11.00390625" style="0" customWidth="1"/>
    <col min="28" max="28" width="12.00390625" style="0" bestFit="1" customWidth="1"/>
    <col min="30" max="30" width="12.00390625" style="0" bestFit="1" customWidth="1"/>
    <col min="43" max="43" width="13.75390625" style="0" bestFit="1" customWidth="1"/>
    <col min="44" max="44" width="16.75390625" style="0" bestFit="1" customWidth="1"/>
  </cols>
  <sheetData>
    <row r="1" spans="1:44" ht="12.75">
      <c r="A1" t="s">
        <v>1</v>
      </c>
      <c r="B1" t="s">
        <v>4</v>
      </c>
      <c r="C1" t="s">
        <v>0</v>
      </c>
      <c r="D1" t="s">
        <v>3</v>
      </c>
      <c r="E1" t="s">
        <v>2</v>
      </c>
      <c r="F1" t="s">
        <v>101</v>
      </c>
      <c r="G1" t="s">
        <v>45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2" t="s">
        <v>15</v>
      </c>
      <c r="Q1" s="1" t="s">
        <v>21</v>
      </c>
      <c r="R1" s="1" t="s">
        <v>17</v>
      </c>
      <c r="S1" s="1" t="s">
        <v>19</v>
      </c>
      <c r="T1" s="1" t="s">
        <v>20</v>
      </c>
      <c r="U1" s="1" t="s">
        <v>18</v>
      </c>
      <c r="V1" s="1" t="s">
        <v>22</v>
      </c>
      <c r="W1" s="1" t="s">
        <v>23</v>
      </c>
      <c r="X1" s="1" t="s">
        <v>24</v>
      </c>
      <c r="Y1" s="1" t="s">
        <v>28</v>
      </c>
      <c r="Z1" s="1" t="s">
        <v>26</v>
      </c>
      <c r="AA1" s="1" t="s">
        <v>25</v>
      </c>
      <c r="AB1" s="1" t="s">
        <v>27</v>
      </c>
      <c r="AC1" s="1" t="s">
        <v>124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35</v>
      </c>
      <c r="AJ1" s="1" t="s">
        <v>36</v>
      </c>
      <c r="AK1" s="1" t="s">
        <v>37</v>
      </c>
      <c r="AL1" s="1" t="s">
        <v>34</v>
      </c>
      <c r="AM1" s="1" t="s">
        <v>38</v>
      </c>
      <c r="AN1" s="1" t="s">
        <v>39</v>
      </c>
      <c r="AO1" s="1" t="s">
        <v>41</v>
      </c>
      <c r="AP1" s="1" t="s">
        <v>40</v>
      </c>
      <c r="AQ1" s="1" t="s">
        <v>42</v>
      </c>
      <c r="AR1" s="1" t="s">
        <v>43</v>
      </c>
    </row>
    <row r="2" spans="1:44" ht="12.75">
      <c r="A2">
        <v>35</v>
      </c>
      <c r="B2">
        <v>21.63</v>
      </c>
      <c r="C2">
        <v>6.5</v>
      </c>
      <c r="D2" s="1">
        <f aca="true" t="shared" si="0" ref="D2:D24">C2*((0.5*150)+5+10+20+40)</f>
        <v>975</v>
      </c>
      <c r="E2" s="1">
        <f>C2*100</f>
        <v>650</v>
      </c>
      <c r="F2" s="1">
        <f>C2*35</f>
        <v>227.5</v>
      </c>
      <c r="G2" s="1">
        <f>(1.2*D2)+(1.6*E2)+(0.5*F2)</f>
        <v>2323.75</v>
      </c>
      <c r="H2" s="1">
        <f aca="true" t="shared" si="1" ref="H2:H22">0.1*MAX(G2:G2)</f>
        <v>232.375</v>
      </c>
      <c r="I2" s="1">
        <f aca="true" t="shared" si="2" ref="I2:I22">0.2*MAX(G2:G2)</f>
        <v>464.75</v>
      </c>
      <c r="J2" s="1">
        <f aca="true" t="shared" si="3" ref="J2:J22">ROUND(((0.08*B2)*12),0)</f>
        <v>21</v>
      </c>
      <c r="K2" s="1">
        <f aca="true" t="shared" si="4" ref="K2:K22">ROUND(((0.1*B2)*12),0)</f>
        <v>26</v>
      </c>
      <c r="L2" s="1">
        <f aca="true" t="shared" si="5" ref="L2:L22">ROUND((0.5*J2),0)</f>
        <v>11</v>
      </c>
      <c r="M2" s="1">
        <f aca="true" t="shared" si="6" ref="M2:M22">ROUND((0.5*K2),0)</f>
        <v>13</v>
      </c>
      <c r="N2" s="8">
        <f aca="true" t="shared" si="7" ref="N2:N22">(L2/12)*(J2/12)*150</f>
        <v>240.62499999999997</v>
      </c>
      <c r="O2" s="8">
        <f aca="true" t="shared" si="8" ref="O2:O22">(M2/12)*(K2/12)*150</f>
        <v>352.08333333333326</v>
      </c>
      <c r="P2" s="2">
        <v>300</v>
      </c>
      <c r="Q2" s="8">
        <v>0</v>
      </c>
      <c r="R2" s="8">
        <f aca="true" t="shared" si="9" ref="R2:R23">(1.2*P2)+G2</f>
        <v>2683.75</v>
      </c>
      <c r="S2" s="8"/>
      <c r="T2" s="8"/>
      <c r="U2" s="8">
        <f aca="true" t="shared" si="10" ref="U2:U52">(R2*B2)/2000</f>
        <v>29.02475625</v>
      </c>
      <c r="V2" s="8">
        <f aca="true" t="shared" si="11" ref="V2:V52">(0.5*B2)*U2*0.5</f>
        <v>156.951369421875</v>
      </c>
      <c r="W2" s="8">
        <f aca="true" t="shared" si="12" ref="W2:W38">(B2/16)*12</f>
        <v>16.2225</v>
      </c>
      <c r="X2" s="8">
        <f aca="true" t="shared" si="13" ref="X2:X39">W2-2.5</f>
        <v>13.7225</v>
      </c>
      <c r="Y2" s="8">
        <f aca="true" t="shared" si="14" ref="Y2:Y39">(60000/4000)*0.01</f>
        <v>0.15</v>
      </c>
      <c r="Z2" s="8">
        <f aca="true" t="shared" si="15" ref="Z2:Z39">4000*Y2*(1-(0.59*Y2))</f>
        <v>546.9</v>
      </c>
      <c r="AA2" s="8">
        <f aca="true" t="shared" si="16" ref="AA2:AA38">(12000*V2)/Z2</f>
        <v>3443.804046557872</v>
      </c>
      <c r="AB2" s="8">
        <f aca="true" t="shared" si="17" ref="AB2:AB35">AA2/(X2^2)</f>
        <v>18.28824171303436</v>
      </c>
      <c r="AC2" s="8"/>
      <c r="AD2" s="8">
        <f aca="true" t="shared" si="18" ref="AD2:AD36">0.75*((((2*(4000^0.5)*AB2*X2)+(8*(4000^0.5)*AB2*X2)))/1000)</f>
        <v>119.04096850895344</v>
      </c>
      <c r="AE2" s="8">
        <f aca="true" t="shared" si="19" ref="AE2:AE38">(B2/4)*12</f>
        <v>64.89</v>
      </c>
      <c r="AF2" s="8">
        <f>((8*6)*2)+AB2</f>
        <v>114.28824171303435</v>
      </c>
      <c r="AG2" s="8">
        <f aca="true" t="shared" si="20" ref="AG2:AG38">C2*12</f>
        <v>78</v>
      </c>
      <c r="AH2" s="8">
        <f aca="true" t="shared" si="21" ref="AH2:AH38">(V2*12000)/(0.9*60000*0.95*X2)</f>
        <v>2.675443295682274</v>
      </c>
      <c r="AI2" s="8">
        <f aca="true" t="shared" si="22" ref="AI2:AI38">(AH2*60000)/(0.85*4000*(MIN(AE2:AG2)))</f>
        <v>0.727596011988326</v>
      </c>
      <c r="AJ2" s="8">
        <f aca="true" t="shared" si="23" ref="AJ2:AJ36">AI2/X2</f>
        <v>0.05302211783482062</v>
      </c>
      <c r="AK2" s="8">
        <f aca="true" t="shared" si="24" ref="AK2:AK36">(V2*12000)/(0.9*60000*(X2-(AI2/2)))</f>
        <v>2.6108885511032502</v>
      </c>
      <c r="AL2" s="8">
        <f aca="true" t="shared" si="25" ref="AL2:AL36">(3*(4000^0.5)*AB2*X2)/60000</f>
        <v>0.7936064567263562</v>
      </c>
      <c r="AM2" s="8">
        <f aca="true" t="shared" si="26" ref="AM2:AM36">(200*AB2*X2)/60000</f>
        <v>0.8365346563570467</v>
      </c>
      <c r="AN2" s="8">
        <f aca="true" t="shared" si="27" ref="AN2:AN38">ROUND(MAX(AK2:AM2),2)</f>
        <v>2.61</v>
      </c>
      <c r="AO2" s="8">
        <f aca="true" t="shared" si="28" ref="AO2:AO39">1.875</f>
        <v>1.875</v>
      </c>
      <c r="AP2" s="8">
        <f aca="true" t="shared" si="29" ref="AP2:AP39">(540/(0.6*60))-(2.5*AO2)</f>
        <v>10.3125</v>
      </c>
      <c r="AQ2" s="8">
        <f aca="true" t="shared" si="30" ref="AQ2:AQ36">AN2*(B2*12)</f>
        <v>677.4516</v>
      </c>
      <c r="AR2" s="8">
        <f aca="true" t="shared" si="31" ref="AR2:AR36">(W2-6)*AB2*(12*B2)</f>
        <v>48525.144554587314</v>
      </c>
    </row>
    <row r="3" spans="1:44" ht="12.75">
      <c r="A3" s="6" t="s">
        <v>133</v>
      </c>
      <c r="B3">
        <v>29.17</v>
      </c>
      <c r="C3">
        <v>4.5</v>
      </c>
      <c r="D3" s="1">
        <f t="shared" si="0"/>
        <v>675</v>
      </c>
      <c r="E3" s="1">
        <f aca="true" t="shared" si="32" ref="E3:E22">C3*60</f>
        <v>270</v>
      </c>
      <c r="F3" s="1">
        <f aca="true" t="shared" si="33" ref="F3:F74">C3*35</f>
        <v>157.5</v>
      </c>
      <c r="G3" s="1">
        <f aca="true" t="shared" si="34" ref="G3:G74">(1.2*D3)+(1.6*E3)+(0.5*F3)</f>
        <v>1320.75</v>
      </c>
      <c r="H3" s="1">
        <f t="shared" si="1"/>
        <v>132.07500000000002</v>
      </c>
      <c r="I3" s="1">
        <f t="shared" si="2"/>
        <v>264.15000000000003</v>
      </c>
      <c r="J3" s="1">
        <f t="shared" si="3"/>
        <v>28</v>
      </c>
      <c r="K3" s="1">
        <f t="shared" si="4"/>
        <v>35</v>
      </c>
      <c r="L3" s="1">
        <f t="shared" si="5"/>
        <v>14</v>
      </c>
      <c r="M3" s="1">
        <f t="shared" si="6"/>
        <v>18</v>
      </c>
      <c r="N3" s="8">
        <f t="shared" si="7"/>
        <v>408.3333333333334</v>
      </c>
      <c r="O3" s="8">
        <f t="shared" si="8"/>
        <v>656.25</v>
      </c>
      <c r="P3" s="2">
        <v>300</v>
      </c>
      <c r="Q3" s="8">
        <v>0</v>
      </c>
      <c r="R3" s="8">
        <f t="shared" si="9"/>
        <v>1680.75</v>
      </c>
      <c r="S3" s="8"/>
      <c r="T3" s="8"/>
      <c r="U3" s="8">
        <f t="shared" si="10"/>
        <v>24.51373875</v>
      </c>
      <c r="V3" s="8">
        <f t="shared" si="11"/>
        <v>178.76643983437503</v>
      </c>
      <c r="W3" s="8">
        <f t="shared" si="12"/>
        <v>21.8775</v>
      </c>
      <c r="X3" s="8">
        <f t="shared" si="13"/>
        <v>19.3775</v>
      </c>
      <c r="Y3" s="8">
        <f t="shared" si="14"/>
        <v>0.15</v>
      </c>
      <c r="Z3" s="8">
        <f t="shared" si="15"/>
        <v>546.9</v>
      </c>
      <c r="AA3" s="8">
        <f t="shared" si="16"/>
        <v>3922.467138439387</v>
      </c>
      <c r="AB3" s="8">
        <f t="shared" si="17"/>
        <v>10.446331963513597</v>
      </c>
      <c r="AC3" s="8"/>
      <c r="AD3" s="8">
        <f t="shared" si="18"/>
        <v>96.01803796644145</v>
      </c>
      <c r="AE3" s="8">
        <f t="shared" si="19"/>
        <v>87.51</v>
      </c>
      <c r="AF3" s="8">
        <f>((8*6))+AB3</f>
        <v>58.4463319635136</v>
      </c>
      <c r="AG3" s="8">
        <f t="shared" si="20"/>
        <v>54</v>
      </c>
      <c r="AH3" s="8">
        <f t="shared" si="21"/>
        <v>2.15800340974679</v>
      </c>
      <c r="AI3" s="8">
        <f t="shared" si="22"/>
        <v>0.7052298724662712</v>
      </c>
      <c r="AJ3" s="8">
        <f t="shared" si="23"/>
        <v>0.03639426512533976</v>
      </c>
      <c r="AK3" s="8">
        <f t="shared" si="24"/>
        <v>2.0881006842143</v>
      </c>
      <c r="AL3" s="8">
        <f t="shared" si="25"/>
        <v>0.6401202531096097</v>
      </c>
      <c r="AM3" s="8">
        <f t="shared" si="26"/>
        <v>0.6747459920766157</v>
      </c>
      <c r="AN3" s="8">
        <f t="shared" si="27"/>
        <v>2.09</v>
      </c>
      <c r="AO3" s="8">
        <f t="shared" si="28"/>
        <v>1.875</v>
      </c>
      <c r="AP3" s="8">
        <f t="shared" si="29"/>
        <v>10.3125</v>
      </c>
      <c r="AQ3" s="8">
        <f t="shared" si="30"/>
        <v>731.5836</v>
      </c>
      <c r="AR3" s="8">
        <f t="shared" si="31"/>
        <v>58058.206978170536</v>
      </c>
    </row>
    <row r="4" spans="1:44" ht="12.75">
      <c r="A4" s="6" t="s">
        <v>134</v>
      </c>
      <c r="B4">
        <v>29.17</v>
      </c>
      <c r="C4">
        <v>4.5</v>
      </c>
      <c r="D4" s="1">
        <f t="shared" si="0"/>
        <v>675</v>
      </c>
      <c r="E4" s="1">
        <f>C4*60</f>
        <v>270</v>
      </c>
      <c r="F4" s="1">
        <f>C4*35</f>
        <v>157.5</v>
      </c>
      <c r="G4" s="1">
        <f>(1.2*D4)+(1.6*E4)+(0.5*F4)</f>
        <v>1320.75</v>
      </c>
      <c r="H4" s="1">
        <f t="shared" si="1"/>
        <v>132.07500000000002</v>
      </c>
      <c r="I4" s="1">
        <f>0.2*MAX(G4:G4)</f>
        <v>264.15000000000003</v>
      </c>
      <c r="J4" s="1">
        <f>ROUND(((0.08*B4)*12),0)</f>
        <v>28</v>
      </c>
      <c r="K4" s="1">
        <f>ROUND(((0.1*B4)*12),0)</f>
        <v>35</v>
      </c>
      <c r="L4" s="1">
        <f>ROUND((0.5*J4),0)</f>
        <v>14</v>
      </c>
      <c r="M4" s="1">
        <f>ROUND((0.5*K4),0)</f>
        <v>18</v>
      </c>
      <c r="N4" s="8">
        <f>(L4/12)*(J4/12)*150</f>
        <v>408.3333333333334</v>
      </c>
      <c r="O4" s="8">
        <f>(M4/12)*(K4/12)*150</f>
        <v>656.25</v>
      </c>
      <c r="P4" s="2">
        <v>300</v>
      </c>
      <c r="Q4" s="8">
        <v>0</v>
      </c>
      <c r="R4" s="8">
        <f>(1.2*P4)+G4</f>
        <v>1680.75</v>
      </c>
      <c r="S4" s="8"/>
      <c r="T4" s="8"/>
      <c r="U4" s="8">
        <f>(R4*B4)/2000</f>
        <v>24.51373875</v>
      </c>
      <c r="V4" s="8">
        <f>(0.5*B4)*U4*0.5</f>
        <v>178.76643983437503</v>
      </c>
      <c r="W4" s="8">
        <f>(B4/16)*12</f>
        <v>21.8775</v>
      </c>
      <c r="X4" s="8">
        <f t="shared" si="13"/>
        <v>19.3775</v>
      </c>
      <c r="Y4" s="8">
        <f t="shared" si="14"/>
        <v>0.15</v>
      </c>
      <c r="Z4" s="8">
        <f t="shared" si="15"/>
        <v>546.9</v>
      </c>
      <c r="AA4" s="8">
        <f>(12000*V4)/Z4</f>
        <v>3922.467138439387</v>
      </c>
      <c r="AB4" s="8">
        <f>AA4/(X4^2)</f>
        <v>10.446331963513597</v>
      </c>
      <c r="AC4" s="8"/>
      <c r="AD4" s="8">
        <f>0.75*((((2*(4000^0.5)*AB4*X4)+(8*(4000^0.5)*AB4*X4)))/1000)</f>
        <v>96.01803796644145</v>
      </c>
      <c r="AE4" s="8">
        <f>(B4/4)*12</f>
        <v>87.51</v>
      </c>
      <c r="AF4" s="8">
        <f>((8*6))+AB4</f>
        <v>58.4463319635136</v>
      </c>
      <c r="AG4" s="8">
        <f>C4*12</f>
        <v>54</v>
      </c>
      <c r="AH4" s="8">
        <f>(V4*12000)/(0.9*60000*0.95*X4)</f>
        <v>2.15800340974679</v>
      </c>
      <c r="AI4" s="8">
        <f>(AH4*60000)/(0.85*4000*(MIN(AE4:AG4)))</f>
        <v>0.7052298724662712</v>
      </c>
      <c r="AJ4" s="8">
        <f>AI4/X4</f>
        <v>0.03639426512533976</v>
      </c>
      <c r="AK4" s="8">
        <f>(V4*12000)/(0.9*60000*(X4-(AI4/2)))</f>
        <v>2.0881006842143</v>
      </c>
      <c r="AL4" s="8">
        <f>(3*(4000^0.5)*AB4*X4)/60000</f>
        <v>0.6401202531096097</v>
      </c>
      <c r="AM4" s="8">
        <f>(200*AB4*X4)/60000</f>
        <v>0.6747459920766157</v>
      </c>
      <c r="AN4" s="8">
        <f>ROUND(MAX(AK4:AM4),2)</f>
        <v>2.09</v>
      </c>
      <c r="AO4" s="8">
        <f t="shared" si="28"/>
        <v>1.875</v>
      </c>
      <c r="AP4" s="8">
        <f t="shared" si="29"/>
        <v>10.3125</v>
      </c>
      <c r="AQ4" s="8">
        <f>AN4*(B4*12)</f>
        <v>731.5836</v>
      </c>
      <c r="AR4" s="8">
        <f>(W4-6)*AB4*(12*B4)</f>
        <v>58058.206978170536</v>
      </c>
    </row>
    <row r="5" spans="1:44" ht="12.75">
      <c r="A5">
        <v>37</v>
      </c>
      <c r="B5">
        <v>29.17</v>
      </c>
      <c r="C5">
        <v>9</v>
      </c>
      <c r="D5" s="1">
        <f t="shared" si="0"/>
        <v>1350</v>
      </c>
      <c r="E5" s="1">
        <f t="shared" si="32"/>
        <v>540</v>
      </c>
      <c r="F5" s="1">
        <f t="shared" si="33"/>
        <v>315</v>
      </c>
      <c r="G5" s="1">
        <f t="shared" si="34"/>
        <v>2641.5</v>
      </c>
      <c r="H5" s="1">
        <f t="shared" si="1"/>
        <v>264.15000000000003</v>
      </c>
      <c r="I5" s="1">
        <f t="shared" si="2"/>
        <v>528.3000000000001</v>
      </c>
      <c r="J5" s="1">
        <f t="shared" si="3"/>
        <v>28</v>
      </c>
      <c r="K5" s="1">
        <f t="shared" si="4"/>
        <v>35</v>
      </c>
      <c r="L5" s="1">
        <f t="shared" si="5"/>
        <v>14</v>
      </c>
      <c r="M5" s="1">
        <f t="shared" si="6"/>
        <v>18</v>
      </c>
      <c r="N5" s="8">
        <f t="shared" si="7"/>
        <v>408.3333333333334</v>
      </c>
      <c r="O5" s="8">
        <f t="shared" si="8"/>
        <v>656.25</v>
      </c>
      <c r="P5" s="2">
        <v>500</v>
      </c>
      <c r="Q5" s="8">
        <v>0</v>
      </c>
      <c r="R5" s="8">
        <f t="shared" si="9"/>
        <v>3241.5</v>
      </c>
      <c r="S5" s="8"/>
      <c r="T5" s="8"/>
      <c r="U5" s="8">
        <f t="shared" si="10"/>
        <v>47.277277500000004</v>
      </c>
      <c r="V5" s="8">
        <f t="shared" si="11"/>
        <v>344.76954616875</v>
      </c>
      <c r="W5" s="8">
        <f t="shared" si="12"/>
        <v>21.8775</v>
      </c>
      <c r="X5" s="8">
        <f t="shared" si="13"/>
        <v>19.3775</v>
      </c>
      <c r="Y5" s="8">
        <f t="shared" si="14"/>
        <v>0.15</v>
      </c>
      <c r="Z5" s="8">
        <f t="shared" si="15"/>
        <v>546.9</v>
      </c>
      <c r="AA5" s="8">
        <f t="shared" si="16"/>
        <v>7564.883075562261</v>
      </c>
      <c r="AB5" s="8">
        <f t="shared" si="17"/>
        <v>20.146830319636663</v>
      </c>
      <c r="AC5" s="8"/>
      <c r="AD5" s="8">
        <f t="shared" si="18"/>
        <v>185.1807050829808</v>
      </c>
      <c r="AE5" s="8">
        <f t="shared" si="19"/>
        <v>87.51</v>
      </c>
      <c r="AF5" s="8">
        <f>((8*6)*2)+AB5</f>
        <v>116.14683031963666</v>
      </c>
      <c r="AG5" s="8">
        <f t="shared" si="20"/>
        <v>108</v>
      </c>
      <c r="AH5" s="8">
        <f t="shared" si="21"/>
        <v>4.161932501974844</v>
      </c>
      <c r="AI5" s="8">
        <f t="shared" si="22"/>
        <v>0.8392854266016342</v>
      </c>
      <c r="AJ5" s="8">
        <f t="shared" si="23"/>
        <v>0.043312368809270245</v>
      </c>
      <c r="AK5" s="8">
        <f t="shared" si="24"/>
        <v>4.0413562326961925</v>
      </c>
      <c r="AL5" s="8">
        <f t="shared" si="25"/>
        <v>1.2345380338865386</v>
      </c>
      <c r="AM5" s="8">
        <f t="shared" si="26"/>
        <v>1.3013173483958649</v>
      </c>
      <c r="AN5" s="8">
        <f t="shared" si="27"/>
        <v>4.04</v>
      </c>
      <c r="AO5" s="8">
        <f t="shared" si="28"/>
        <v>1.875</v>
      </c>
      <c r="AP5" s="8">
        <f t="shared" si="29"/>
        <v>10.3125</v>
      </c>
      <c r="AQ5" s="8">
        <f t="shared" si="30"/>
        <v>1414.1616000000001</v>
      </c>
      <c r="AR5" s="8">
        <f t="shared" si="31"/>
        <v>111971.24969194691</v>
      </c>
    </row>
    <row r="6" spans="1:44" ht="12.75">
      <c r="A6" s="6" t="s">
        <v>80</v>
      </c>
      <c r="B6">
        <v>30.96</v>
      </c>
      <c r="C6">
        <v>7.38</v>
      </c>
      <c r="D6" s="1">
        <f t="shared" si="0"/>
        <v>1107</v>
      </c>
      <c r="E6" s="1">
        <f t="shared" si="32"/>
        <v>442.8</v>
      </c>
      <c r="F6" s="1">
        <f t="shared" si="33"/>
        <v>258.3</v>
      </c>
      <c r="G6" s="1">
        <f t="shared" si="34"/>
        <v>2166.0299999999997</v>
      </c>
      <c r="H6" s="1">
        <f t="shared" si="1"/>
        <v>216.60299999999998</v>
      </c>
      <c r="I6" s="1">
        <f t="shared" si="2"/>
        <v>433.20599999999996</v>
      </c>
      <c r="J6" s="1">
        <f t="shared" si="3"/>
        <v>30</v>
      </c>
      <c r="K6" s="1">
        <f t="shared" si="4"/>
        <v>37</v>
      </c>
      <c r="L6" s="1">
        <f t="shared" si="5"/>
        <v>15</v>
      </c>
      <c r="M6" s="1">
        <f t="shared" si="6"/>
        <v>19</v>
      </c>
      <c r="N6" s="8">
        <f t="shared" si="7"/>
        <v>468.75</v>
      </c>
      <c r="O6" s="8">
        <f t="shared" si="8"/>
        <v>732.2916666666667</v>
      </c>
      <c r="P6" s="2">
        <v>500</v>
      </c>
      <c r="Q6" s="8">
        <v>0</v>
      </c>
      <c r="R6" s="8">
        <f t="shared" si="9"/>
        <v>2766.0299999999997</v>
      </c>
      <c r="S6" s="8">
        <v>39.23</v>
      </c>
      <c r="T6" s="8">
        <v>61.84</v>
      </c>
      <c r="U6" s="8">
        <v>41.57</v>
      </c>
      <c r="V6" s="8">
        <v>277.75</v>
      </c>
      <c r="W6" s="8">
        <f t="shared" si="12"/>
        <v>23.22</v>
      </c>
      <c r="X6" s="8">
        <f t="shared" si="13"/>
        <v>20.72</v>
      </c>
      <c r="Y6" s="8">
        <f t="shared" si="14"/>
        <v>0.15</v>
      </c>
      <c r="Z6" s="8">
        <f t="shared" si="15"/>
        <v>546.9</v>
      </c>
      <c r="AA6" s="8">
        <f t="shared" si="16"/>
        <v>6094.349972572682</v>
      </c>
      <c r="AB6" s="8">
        <f t="shared" si="17"/>
        <v>14.195408285721468</v>
      </c>
      <c r="AC6" s="8"/>
      <c r="AD6" s="8">
        <f t="shared" si="18"/>
        <v>139.51756832660016</v>
      </c>
      <c r="AE6" s="8">
        <f t="shared" si="19"/>
        <v>92.88</v>
      </c>
      <c r="AF6" s="8">
        <f>((8*6))+AB6</f>
        <v>62.19540828572147</v>
      </c>
      <c r="AG6" s="8">
        <f t="shared" si="20"/>
        <v>88.56</v>
      </c>
      <c r="AH6" s="8">
        <f t="shared" si="21"/>
        <v>3.135654451443925</v>
      </c>
      <c r="AI6" s="8">
        <f t="shared" si="22"/>
        <v>0.8896971670430591</v>
      </c>
      <c r="AJ6" s="8">
        <f t="shared" si="23"/>
        <v>0.04293905246346811</v>
      </c>
      <c r="AK6" s="8">
        <f t="shared" si="24"/>
        <v>3.0442299026214905</v>
      </c>
      <c r="AL6" s="8">
        <f t="shared" si="25"/>
        <v>0.9301171221773343</v>
      </c>
      <c r="AM6" s="8">
        <f t="shared" si="26"/>
        <v>0.9804295322671627</v>
      </c>
      <c r="AN6" s="8">
        <f t="shared" si="27"/>
        <v>3.04</v>
      </c>
      <c r="AO6" s="8">
        <f t="shared" si="28"/>
        <v>1.875</v>
      </c>
      <c r="AP6" s="8">
        <f t="shared" si="29"/>
        <v>10.3125</v>
      </c>
      <c r="AQ6" s="8">
        <f t="shared" si="30"/>
        <v>1129.4207999999999</v>
      </c>
      <c r="AR6" s="8">
        <f t="shared" si="31"/>
        <v>90816.18064627954</v>
      </c>
    </row>
    <row r="7" spans="1:44" ht="12.75">
      <c r="A7" s="6" t="s">
        <v>81</v>
      </c>
      <c r="B7">
        <v>30.96</v>
      </c>
      <c r="C7">
        <v>2.88</v>
      </c>
      <c r="D7" s="1">
        <f t="shared" si="0"/>
        <v>432</v>
      </c>
      <c r="E7" s="1">
        <f t="shared" si="32"/>
        <v>172.79999999999998</v>
      </c>
      <c r="F7" s="1">
        <f t="shared" si="33"/>
        <v>100.8</v>
      </c>
      <c r="G7" s="1">
        <f t="shared" si="34"/>
        <v>845.2799999999999</v>
      </c>
      <c r="H7" s="1">
        <f t="shared" si="1"/>
        <v>84.52799999999999</v>
      </c>
      <c r="I7" s="1">
        <f t="shared" si="2"/>
        <v>169.05599999999998</v>
      </c>
      <c r="J7" s="1">
        <f t="shared" si="3"/>
        <v>30</v>
      </c>
      <c r="K7" s="1">
        <f t="shared" si="4"/>
        <v>37</v>
      </c>
      <c r="L7" s="1">
        <f t="shared" si="5"/>
        <v>15</v>
      </c>
      <c r="M7" s="1">
        <f t="shared" si="6"/>
        <v>19</v>
      </c>
      <c r="N7" s="8">
        <f t="shared" si="7"/>
        <v>468.75</v>
      </c>
      <c r="O7" s="8">
        <f t="shared" si="8"/>
        <v>732.2916666666667</v>
      </c>
      <c r="P7" s="2">
        <v>500</v>
      </c>
      <c r="Q7" s="8">
        <v>0</v>
      </c>
      <c r="R7" s="8">
        <f t="shared" si="9"/>
        <v>1445.2799999999997</v>
      </c>
      <c r="S7" s="8">
        <v>39.23</v>
      </c>
      <c r="T7" s="8">
        <v>61.84</v>
      </c>
      <c r="U7" s="8">
        <v>41.57</v>
      </c>
      <c r="V7" s="8">
        <v>34.23</v>
      </c>
      <c r="W7" s="8">
        <f t="shared" si="12"/>
        <v>23.22</v>
      </c>
      <c r="X7" s="8">
        <f t="shared" si="13"/>
        <v>20.72</v>
      </c>
      <c r="Y7" s="8">
        <f t="shared" si="14"/>
        <v>0.15</v>
      </c>
      <c r="Z7" s="8">
        <f t="shared" si="15"/>
        <v>546.9</v>
      </c>
      <c r="AA7" s="8">
        <f t="shared" si="16"/>
        <v>751.0696653867251</v>
      </c>
      <c r="AB7" s="8">
        <f t="shared" si="17"/>
        <v>1.7494467169045753</v>
      </c>
      <c r="AC7" s="8"/>
      <c r="AD7" s="8">
        <f t="shared" si="18"/>
        <v>17.19419032878316</v>
      </c>
      <c r="AE7" s="8">
        <f t="shared" si="19"/>
        <v>92.88</v>
      </c>
      <c r="AF7" s="8">
        <f>((8*6)*2)+AB7</f>
        <v>97.74944671690457</v>
      </c>
      <c r="AG7" s="8">
        <f t="shared" si="20"/>
        <v>34.56</v>
      </c>
      <c r="AH7" s="8">
        <f t="shared" si="21"/>
        <v>0.3864390706495969</v>
      </c>
      <c r="AI7" s="8">
        <f t="shared" si="22"/>
        <v>0.19732387185947553</v>
      </c>
      <c r="AJ7" s="8">
        <f t="shared" si="23"/>
        <v>0.009523352888970828</v>
      </c>
      <c r="AK7" s="8">
        <f t="shared" si="24"/>
        <v>0.36887357372411234</v>
      </c>
      <c r="AL7" s="8">
        <f t="shared" si="25"/>
        <v>0.11462793552522108</v>
      </c>
      <c r="AM7" s="8">
        <f t="shared" si="26"/>
        <v>0.12082845324754267</v>
      </c>
      <c r="AN7" s="8">
        <f t="shared" si="27"/>
        <v>0.37</v>
      </c>
      <c r="AO7" s="8">
        <f t="shared" si="28"/>
        <v>1.875</v>
      </c>
      <c r="AP7" s="8">
        <f t="shared" si="29"/>
        <v>10.3125</v>
      </c>
      <c r="AQ7" s="8">
        <f t="shared" si="30"/>
        <v>137.4624</v>
      </c>
      <c r="AR7" s="8">
        <f t="shared" si="31"/>
        <v>11192.215530232757</v>
      </c>
    </row>
    <row r="8" spans="1:44" ht="12.75">
      <c r="A8">
        <v>39</v>
      </c>
      <c r="B8">
        <v>30.96</v>
      </c>
      <c r="C8">
        <v>5.75</v>
      </c>
      <c r="D8" s="1">
        <f t="shared" si="0"/>
        <v>862.5</v>
      </c>
      <c r="E8" s="1">
        <f t="shared" si="32"/>
        <v>345</v>
      </c>
      <c r="F8" s="1">
        <f t="shared" si="33"/>
        <v>201.25</v>
      </c>
      <c r="G8" s="1">
        <f t="shared" si="34"/>
        <v>1687.625</v>
      </c>
      <c r="H8" s="1">
        <f t="shared" si="1"/>
        <v>168.76250000000002</v>
      </c>
      <c r="I8" s="1">
        <f t="shared" si="2"/>
        <v>337.52500000000003</v>
      </c>
      <c r="J8" s="1">
        <f t="shared" si="3"/>
        <v>30</v>
      </c>
      <c r="K8" s="1">
        <f t="shared" si="4"/>
        <v>37</v>
      </c>
      <c r="L8" s="1">
        <f t="shared" si="5"/>
        <v>15</v>
      </c>
      <c r="M8" s="1">
        <f t="shared" si="6"/>
        <v>19</v>
      </c>
      <c r="N8" s="8">
        <f t="shared" si="7"/>
        <v>468.75</v>
      </c>
      <c r="O8" s="8">
        <f t="shared" si="8"/>
        <v>732.2916666666667</v>
      </c>
      <c r="P8" s="2">
        <v>500</v>
      </c>
      <c r="Q8" s="8">
        <v>0</v>
      </c>
      <c r="R8" s="8">
        <f t="shared" si="9"/>
        <v>2287.625</v>
      </c>
      <c r="S8" s="8"/>
      <c r="T8" s="8"/>
      <c r="U8" s="8">
        <f t="shared" si="10"/>
        <v>35.412434999999995</v>
      </c>
      <c r="V8" s="8">
        <f t="shared" si="11"/>
        <v>274.09224689999996</v>
      </c>
      <c r="W8" s="8">
        <f t="shared" si="12"/>
        <v>23.22</v>
      </c>
      <c r="X8" s="8">
        <f t="shared" si="13"/>
        <v>20.72</v>
      </c>
      <c r="Y8" s="8">
        <f t="shared" si="14"/>
        <v>0.15</v>
      </c>
      <c r="Z8" s="8">
        <f t="shared" si="15"/>
        <v>546.9</v>
      </c>
      <c r="AA8" s="8">
        <f t="shared" si="16"/>
        <v>6014.092087767415</v>
      </c>
      <c r="AB8" s="8">
        <f t="shared" si="17"/>
        <v>14.008465716278213</v>
      </c>
      <c r="AC8" s="8"/>
      <c r="AD8" s="8">
        <f t="shared" si="18"/>
        <v>137.68022964774835</v>
      </c>
      <c r="AE8" s="8">
        <f t="shared" si="19"/>
        <v>92.88</v>
      </c>
      <c r="AF8" s="8">
        <f>((8*6))+AB8</f>
        <v>62.00846571627821</v>
      </c>
      <c r="AG8" s="8">
        <f t="shared" si="20"/>
        <v>69</v>
      </c>
      <c r="AH8" s="8">
        <f t="shared" si="21"/>
        <v>3.0943603027839863</v>
      </c>
      <c r="AI8" s="8">
        <f t="shared" si="22"/>
        <v>0.8806274700341158</v>
      </c>
      <c r="AJ8" s="8">
        <f t="shared" si="23"/>
        <v>0.04250132577384729</v>
      </c>
      <c r="AK8" s="8">
        <f t="shared" si="24"/>
        <v>3.003467973031348</v>
      </c>
      <c r="AL8" s="8">
        <f t="shared" si="25"/>
        <v>0.9178681976516556</v>
      </c>
      <c r="AM8" s="8">
        <f t="shared" si="26"/>
        <v>0.9675180321376152</v>
      </c>
      <c r="AN8" s="8">
        <f t="shared" si="27"/>
        <v>3</v>
      </c>
      <c r="AO8" s="8">
        <f t="shared" si="28"/>
        <v>1.875</v>
      </c>
      <c r="AP8" s="8">
        <f t="shared" si="29"/>
        <v>10.3125</v>
      </c>
      <c r="AQ8" s="8">
        <f t="shared" si="30"/>
        <v>1114.56</v>
      </c>
      <c r="AR8" s="8">
        <f t="shared" si="31"/>
        <v>89620.20164973915</v>
      </c>
    </row>
    <row r="9" spans="1:44" ht="12.75">
      <c r="A9" s="6" t="s">
        <v>82</v>
      </c>
      <c r="B9">
        <v>30.96</v>
      </c>
      <c r="C9">
        <v>7.38</v>
      </c>
      <c r="D9" s="1">
        <f t="shared" si="0"/>
        <v>1107</v>
      </c>
      <c r="E9" s="1">
        <f t="shared" si="32"/>
        <v>442.8</v>
      </c>
      <c r="F9" s="1">
        <f t="shared" si="33"/>
        <v>258.3</v>
      </c>
      <c r="G9" s="1">
        <f t="shared" si="34"/>
        <v>2166.0299999999997</v>
      </c>
      <c r="H9" s="1">
        <f t="shared" si="1"/>
        <v>216.60299999999998</v>
      </c>
      <c r="I9" s="1">
        <f t="shared" si="2"/>
        <v>433.20599999999996</v>
      </c>
      <c r="J9" s="1">
        <f t="shared" si="3"/>
        <v>30</v>
      </c>
      <c r="K9" s="1">
        <f t="shared" si="4"/>
        <v>37</v>
      </c>
      <c r="L9" s="1">
        <f t="shared" si="5"/>
        <v>15</v>
      </c>
      <c r="M9" s="1">
        <f t="shared" si="6"/>
        <v>19</v>
      </c>
      <c r="N9" s="8">
        <f t="shared" si="7"/>
        <v>468.75</v>
      </c>
      <c r="O9" s="8">
        <f t="shared" si="8"/>
        <v>732.2916666666667</v>
      </c>
      <c r="P9" s="2">
        <v>500</v>
      </c>
      <c r="Q9" s="8">
        <v>0</v>
      </c>
      <c r="R9" s="8">
        <f t="shared" si="9"/>
        <v>2766.0299999999997</v>
      </c>
      <c r="S9" s="8">
        <v>39.23</v>
      </c>
      <c r="T9" s="8">
        <v>61.84</v>
      </c>
      <c r="U9" s="8">
        <v>41.57</v>
      </c>
      <c r="V9" s="8">
        <v>277.75</v>
      </c>
      <c r="W9" s="8">
        <f t="shared" si="12"/>
        <v>23.22</v>
      </c>
      <c r="X9" s="8">
        <f t="shared" si="13"/>
        <v>20.72</v>
      </c>
      <c r="Y9" s="8">
        <f t="shared" si="14"/>
        <v>0.15</v>
      </c>
      <c r="Z9" s="8">
        <f t="shared" si="15"/>
        <v>546.9</v>
      </c>
      <c r="AA9" s="8">
        <f t="shared" si="16"/>
        <v>6094.349972572682</v>
      </c>
      <c r="AB9" s="8">
        <f t="shared" si="17"/>
        <v>14.195408285721468</v>
      </c>
      <c r="AC9" s="8"/>
      <c r="AD9" s="8">
        <f t="shared" si="18"/>
        <v>139.51756832660016</v>
      </c>
      <c r="AE9" s="8">
        <f t="shared" si="19"/>
        <v>92.88</v>
      </c>
      <c r="AF9" s="8">
        <f>((8*6)*2)+AB9</f>
        <v>110.19540828572147</v>
      </c>
      <c r="AG9" s="8">
        <f t="shared" si="20"/>
        <v>88.56</v>
      </c>
      <c r="AH9" s="8">
        <f t="shared" si="21"/>
        <v>3.135654451443925</v>
      </c>
      <c r="AI9" s="8">
        <f t="shared" si="22"/>
        <v>0.6248315103307678</v>
      </c>
      <c r="AJ9" s="8">
        <f t="shared" si="23"/>
        <v>0.030155960923299606</v>
      </c>
      <c r="AK9" s="8">
        <f t="shared" si="24"/>
        <v>3.0244746992944447</v>
      </c>
      <c r="AL9" s="8">
        <f t="shared" si="25"/>
        <v>0.9301171221773343</v>
      </c>
      <c r="AM9" s="8">
        <f t="shared" si="26"/>
        <v>0.9804295322671627</v>
      </c>
      <c r="AN9" s="8">
        <f t="shared" si="27"/>
        <v>3.02</v>
      </c>
      <c r="AO9" s="8">
        <f t="shared" si="28"/>
        <v>1.875</v>
      </c>
      <c r="AP9" s="8">
        <f t="shared" si="29"/>
        <v>10.3125</v>
      </c>
      <c r="AQ9" s="8">
        <f t="shared" si="30"/>
        <v>1121.9904</v>
      </c>
      <c r="AR9" s="8">
        <f t="shared" si="31"/>
        <v>90816.18064627954</v>
      </c>
    </row>
    <row r="10" spans="1:44" ht="12.75">
      <c r="A10" s="6" t="s">
        <v>83</v>
      </c>
      <c r="B10">
        <v>30.96</v>
      </c>
      <c r="C10">
        <v>2.88</v>
      </c>
      <c r="D10" s="1">
        <f t="shared" si="0"/>
        <v>432</v>
      </c>
      <c r="E10" s="1">
        <f t="shared" si="32"/>
        <v>172.79999999999998</v>
      </c>
      <c r="F10" s="1">
        <f t="shared" si="33"/>
        <v>100.8</v>
      </c>
      <c r="G10" s="1">
        <f t="shared" si="34"/>
        <v>845.2799999999999</v>
      </c>
      <c r="H10" s="1">
        <f t="shared" si="1"/>
        <v>84.52799999999999</v>
      </c>
      <c r="I10" s="1">
        <f t="shared" si="2"/>
        <v>169.05599999999998</v>
      </c>
      <c r="J10" s="1">
        <f t="shared" si="3"/>
        <v>30</v>
      </c>
      <c r="K10" s="1">
        <f t="shared" si="4"/>
        <v>37</v>
      </c>
      <c r="L10" s="1">
        <f t="shared" si="5"/>
        <v>15</v>
      </c>
      <c r="M10" s="1">
        <f t="shared" si="6"/>
        <v>19</v>
      </c>
      <c r="N10" s="8">
        <f t="shared" si="7"/>
        <v>468.75</v>
      </c>
      <c r="O10" s="8">
        <f t="shared" si="8"/>
        <v>732.2916666666667</v>
      </c>
      <c r="P10" s="2">
        <v>500</v>
      </c>
      <c r="Q10" s="8">
        <v>0</v>
      </c>
      <c r="R10" s="8">
        <f t="shared" si="9"/>
        <v>1445.2799999999997</v>
      </c>
      <c r="S10" s="8">
        <v>39.23</v>
      </c>
      <c r="T10" s="8">
        <v>61.84</v>
      </c>
      <c r="U10" s="8">
        <v>41.57</v>
      </c>
      <c r="V10" s="8">
        <v>34.23</v>
      </c>
      <c r="W10" s="8">
        <f t="shared" si="12"/>
        <v>23.22</v>
      </c>
      <c r="X10" s="8">
        <f t="shared" si="13"/>
        <v>20.72</v>
      </c>
      <c r="Y10" s="8">
        <f t="shared" si="14"/>
        <v>0.15</v>
      </c>
      <c r="Z10" s="8">
        <f t="shared" si="15"/>
        <v>546.9</v>
      </c>
      <c r="AA10" s="8">
        <f t="shared" si="16"/>
        <v>751.0696653867251</v>
      </c>
      <c r="AB10" s="8">
        <f t="shared" si="17"/>
        <v>1.7494467169045753</v>
      </c>
      <c r="AC10" s="8"/>
      <c r="AD10" s="8">
        <f t="shared" si="18"/>
        <v>17.19419032878316</v>
      </c>
      <c r="AE10" s="8">
        <f t="shared" si="19"/>
        <v>92.88</v>
      </c>
      <c r="AF10" s="8">
        <f>((8*6))+AB10</f>
        <v>49.74944671690457</v>
      </c>
      <c r="AG10" s="8">
        <f t="shared" si="20"/>
        <v>34.56</v>
      </c>
      <c r="AH10" s="8">
        <f t="shared" si="21"/>
        <v>0.3864390706495969</v>
      </c>
      <c r="AI10" s="8">
        <f t="shared" si="22"/>
        <v>0.19732387185947553</v>
      </c>
      <c r="AJ10" s="8">
        <f t="shared" si="23"/>
        <v>0.009523352888970828</v>
      </c>
      <c r="AK10" s="8">
        <f t="shared" si="24"/>
        <v>0.36887357372411234</v>
      </c>
      <c r="AL10" s="8">
        <f t="shared" si="25"/>
        <v>0.11462793552522108</v>
      </c>
      <c r="AM10" s="8">
        <f t="shared" si="26"/>
        <v>0.12082845324754267</v>
      </c>
      <c r="AN10" s="8">
        <f t="shared" si="27"/>
        <v>0.37</v>
      </c>
      <c r="AO10" s="8">
        <f t="shared" si="28"/>
        <v>1.875</v>
      </c>
      <c r="AP10" s="8">
        <f t="shared" si="29"/>
        <v>10.3125</v>
      </c>
      <c r="AQ10" s="8">
        <f t="shared" si="30"/>
        <v>137.4624</v>
      </c>
      <c r="AR10" s="8">
        <f t="shared" si="31"/>
        <v>11192.215530232757</v>
      </c>
    </row>
    <row r="11" spans="1:44" ht="12.75">
      <c r="A11">
        <v>41</v>
      </c>
      <c r="B11">
        <v>29.17</v>
      </c>
      <c r="C11">
        <v>8.88</v>
      </c>
      <c r="D11" s="1">
        <f t="shared" si="0"/>
        <v>1332.0000000000002</v>
      </c>
      <c r="E11" s="1">
        <f t="shared" si="32"/>
        <v>532.8000000000001</v>
      </c>
      <c r="F11" s="1">
        <f t="shared" si="33"/>
        <v>310.8</v>
      </c>
      <c r="G11" s="1">
        <f t="shared" si="34"/>
        <v>2606.2800000000007</v>
      </c>
      <c r="H11" s="1">
        <f t="shared" si="1"/>
        <v>260.6280000000001</v>
      </c>
      <c r="I11" s="1">
        <f t="shared" si="2"/>
        <v>521.2560000000002</v>
      </c>
      <c r="J11" s="1">
        <f t="shared" si="3"/>
        <v>28</v>
      </c>
      <c r="K11" s="1">
        <f t="shared" si="4"/>
        <v>35</v>
      </c>
      <c r="L11" s="1">
        <f t="shared" si="5"/>
        <v>14</v>
      </c>
      <c r="M11" s="1">
        <f t="shared" si="6"/>
        <v>18</v>
      </c>
      <c r="N11" s="8">
        <f t="shared" si="7"/>
        <v>408.3333333333334</v>
      </c>
      <c r="O11" s="8">
        <f t="shared" si="8"/>
        <v>656.25</v>
      </c>
      <c r="P11" s="2">
        <v>500</v>
      </c>
      <c r="Q11" s="8">
        <v>0</v>
      </c>
      <c r="R11" s="8">
        <f t="shared" si="9"/>
        <v>3206.2800000000007</v>
      </c>
      <c r="S11" s="8"/>
      <c r="T11" s="8"/>
      <c r="U11" s="8">
        <f t="shared" si="10"/>
        <v>46.76359380000001</v>
      </c>
      <c r="V11" s="8">
        <f t="shared" si="11"/>
        <v>341.0235077865001</v>
      </c>
      <c r="W11" s="8">
        <f t="shared" si="12"/>
        <v>21.8775</v>
      </c>
      <c r="X11" s="8">
        <f t="shared" si="13"/>
        <v>19.3775</v>
      </c>
      <c r="Y11" s="8">
        <f t="shared" si="14"/>
        <v>0.15</v>
      </c>
      <c r="Z11" s="8">
        <f t="shared" si="15"/>
        <v>546.9</v>
      </c>
      <c r="AA11" s="8">
        <f t="shared" si="16"/>
        <v>7482.688047975866</v>
      </c>
      <c r="AB11" s="8">
        <f t="shared" si="17"/>
        <v>19.927928155867544</v>
      </c>
      <c r="AC11" s="8"/>
      <c r="AD11" s="8">
        <f t="shared" si="18"/>
        <v>183.16865373853454</v>
      </c>
      <c r="AE11" s="8">
        <f t="shared" si="19"/>
        <v>87.51</v>
      </c>
      <c r="AF11" s="8">
        <f>((8*6)*2)+AB11</f>
        <v>115.92792815586755</v>
      </c>
      <c r="AG11" s="8">
        <f t="shared" si="20"/>
        <v>106.56</v>
      </c>
      <c r="AH11" s="8">
        <f t="shared" si="21"/>
        <v>4.116711689783096</v>
      </c>
      <c r="AI11" s="8">
        <f t="shared" si="22"/>
        <v>0.8301663049835842</v>
      </c>
      <c r="AJ11" s="8">
        <f t="shared" si="23"/>
        <v>0.042841765190741024</v>
      </c>
      <c r="AK11" s="8">
        <f t="shared" si="24"/>
        <v>3.996484326853713</v>
      </c>
      <c r="AL11" s="8">
        <f t="shared" si="25"/>
        <v>1.221124358256897</v>
      </c>
      <c r="AM11" s="8">
        <f t="shared" si="26"/>
        <v>1.2871780928010779</v>
      </c>
      <c r="AN11" s="8">
        <f t="shared" si="27"/>
        <v>4</v>
      </c>
      <c r="AO11" s="8">
        <f t="shared" si="28"/>
        <v>1.875</v>
      </c>
      <c r="AP11" s="8">
        <f t="shared" si="29"/>
        <v>10.3125</v>
      </c>
      <c r="AQ11" s="8">
        <f t="shared" si="30"/>
        <v>1400.16</v>
      </c>
      <c r="AR11" s="8">
        <f t="shared" si="31"/>
        <v>110754.64398034725</v>
      </c>
    </row>
    <row r="12" spans="1:44" ht="12.75">
      <c r="A12">
        <v>42</v>
      </c>
      <c r="B12">
        <v>29.17</v>
      </c>
      <c r="C12">
        <v>9.5</v>
      </c>
      <c r="D12" s="1">
        <f t="shared" si="0"/>
        <v>1425</v>
      </c>
      <c r="E12" s="1">
        <f t="shared" si="32"/>
        <v>570</v>
      </c>
      <c r="F12" s="1">
        <f t="shared" si="33"/>
        <v>332.5</v>
      </c>
      <c r="G12" s="1">
        <f t="shared" si="34"/>
        <v>2788.25</v>
      </c>
      <c r="H12" s="1">
        <f t="shared" si="1"/>
        <v>278.825</v>
      </c>
      <c r="I12" s="1">
        <f t="shared" si="2"/>
        <v>557.65</v>
      </c>
      <c r="J12" s="1">
        <f t="shared" si="3"/>
        <v>28</v>
      </c>
      <c r="K12" s="1">
        <f t="shared" si="4"/>
        <v>35</v>
      </c>
      <c r="L12" s="1">
        <f t="shared" si="5"/>
        <v>14</v>
      </c>
      <c r="M12" s="1">
        <f t="shared" si="6"/>
        <v>18</v>
      </c>
      <c r="N12" s="8">
        <f t="shared" si="7"/>
        <v>408.3333333333334</v>
      </c>
      <c r="O12" s="8">
        <f t="shared" si="8"/>
        <v>656.25</v>
      </c>
      <c r="P12" s="2">
        <v>500</v>
      </c>
      <c r="Q12" s="8">
        <v>0</v>
      </c>
      <c r="R12" s="8">
        <f t="shared" si="9"/>
        <v>3388.25</v>
      </c>
      <c r="S12" s="8"/>
      <c r="T12" s="8"/>
      <c r="U12" s="8">
        <f t="shared" si="10"/>
        <v>49.41762625</v>
      </c>
      <c r="V12" s="8">
        <f t="shared" si="11"/>
        <v>360.378039428125</v>
      </c>
      <c r="W12" s="8">
        <f t="shared" si="12"/>
        <v>21.8775</v>
      </c>
      <c r="X12" s="8">
        <f t="shared" si="13"/>
        <v>19.3775</v>
      </c>
      <c r="Y12" s="8">
        <f t="shared" si="14"/>
        <v>0.15</v>
      </c>
      <c r="Z12" s="8">
        <f t="shared" si="15"/>
        <v>546.9</v>
      </c>
      <c r="AA12" s="8">
        <f t="shared" si="16"/>
        <v>7907.3623571722455</v>
      </c>
      <c r="AB12" s="8">
        <f t="shared" si="17"/>
        <v>21.058922668674665</v>
      </c>
      <c r="AC12" s="8"/>
      <c r="AD12" s="8">
        <f t="shared" si="18"/>
        <v>193.56425235150692</v>
      </c>
      <c r="AE12" s="8">
        <f t="shared" si="19"/>
        <v>87.51</v>
      </c>
      <c r="AF12" s="8">
        <f>((8*6))+AB12</f>
        <v>69.05892266867467</v>
      </c>
      <c r="AG12" s="8">
        <f t="shared" si="20"/>
        <v>114</v>
      </c>
      <c r="AH12" s="8">
        <f t="shared" si="21"/>
        <v>4.350352552773798</v>
      </c>
      <c r="AI12" s="8">
        <f t="shared" si="22"/>
        <v>1.1116728213415075</v>
      </c>
      <c r="AJ12" s="8">
        <f t="shared" si="23"/>
        <v>0.057369259261592434</v>
      </c>
      <c r="AK12" s="8">
        <f t="shared" si="24"/>
        <v>4.254884717374738</v>
      </c>
      <c r="AL12" s="8">
        <f t="shared" si="25"/>
        <v>1.290428349010046</v>
      </c>
      <c r="AM12" s="8">
        <f t="shared" si="26"/>
        <v>1.3602309133741444</v>
      </c>
      <c r="AN12" s="8">
        <f t="shared" si="27"/>
        <v>4.25</v>
      </c>
      <c r="AO12" s="8">
        <f t="shared" si="28"/>
        <v>1.875</v>
      </c>
      <c r="AP12" s="8">
        <f t="shared" si="29"/>
        <v>10.3125</v>
      </c>
      <c r="AQ12" s="8">
        <f t="shared" si="30"/>
        <v>1487.67</v>
      </c>
      <c r="AR12" s="8">
        <f t="shared" si="31"/>
        <v>117040.44015694558</v>
      </c>
    </row>
    <row r="13" spans="1:44" ht="12.75">
      <c r="A13">
        <v>43</v>
      </c>
      <c r="B13">
        <v>29.17</v>
      </c>
      <c r="C13">
        <v>8.88</v>
      </c>
      <c r="D13" s="1">
        <f t="shared" si="0"/>
        <v>1332.0000000000002</v>
      </c>
      <c r="E13" s="1">
        <f t="shared" si="32"/>
        <v>532.8000000000001</v>
      </c>
      <c r="F13" s="1">
        <f t="shared" si="33"/>
        <v>310.8</v>
      </c>
      <c r="G13" s="1">
        <f t="shared" si="34"/>
        <v>2606.2800000000007</v>
      </c>
      <c r="H13" s="1">
        <f t="shared" si="1"/>
        <v>260.6280000000001</v>
      </c>
      <c r="I13" s="1">
        <f t="shared" si="2"/>
        <v>521.2560000000002</v>
      </c>
      <c r="J13" s="1">
        <f t="shared" si="3"/>
        <v>28</v>
      </c>
      <c r="K13" s="1">
        <f t="shared" si="4"/>
        <v>35</v>
      </c>
      <c r="L13" s="1">
        <f t="shared" si="5"/>
        <v>14</v>
      </c>
      <c r="M13" s="1">
        <f t="shared" si="6"/>
        <v>18</v>
      </c>
      <c r="N13" s="8">
        <f t="shared" si="7"/>
        <v>408.3333333333334</v>
      </c>
      <c r="O13" s="8">
        <f t="shared" si="8"/>
        <v>656.25</v>
      </c>
      <c r="P13" s="2">
        <v>500</v>
      </c>
      <c r="Q13" s="8">
        <v>0</v>
      </c>
      <c r="R13" s="8">
        <f t="shared" si="9"/>
        <v>3206.2800000000007</v>
      </c>
      <c r="S13" s="8"/>
      <c r="T13" s="8"/>
      <c r="U13" s="8">
        <f t="shared" si="10"/>
        <v>46.76359380000001</v>
      </c>
      <c r="V13" s="8">
        <f t="shared" si="11"/>
        <v>341.0235077865001</v>
      </c>
      <c r="W13" s="8">
        <f t="shared" si="12"/>
        <v>21.8775</v>
      </c>
      <c r="X13" s="8">
        <f t="shared" si="13"/>
        <v>19.3775</v>
      </c>
      <c r="Y13" s="8">
        <f t="shared" si="14"/>
        <v>0.15</v>
      </c>
      <c r="Z13" s="8">
        <f t="shared" si="15"/>
        <v>546.9</v>
      </c>
      <c r="AA13" s="8">
        <f t="shared" si="16"/>
        <v>7482.688047975866</v>
      </c>
      <c r="AB13" s="8">
        <f t="shared" si="17"/>
        <v>19.927928155867544</v>
      </c>
      <c r="AC13" s="8"/>
      <c r="AD13" s="8">
        <f t="shared" si="18"/>
        <v>183.16865373853454</v>
      </c>
      <c r="AE13" s="8">
        <f t="shared" si="19"/>
        <v>87.51</v>
      </c>
      <c r="AF13" s="8">
        <f>((8*6)*2)+AB13</f>
        <v>115.92792815586755</v>
      </c>
      <c r="AG13" s="8">
        <f t="shared" si="20"/>
        <v>106.56</v>
      </c>
      <c r="AH13" s="8">
        <f t="shared" si="21"/>
        <v>4.116711689783096</v>
      </c>
      <c r="AI13" s="8">
        <f t="shared" si="22"/>
        <v>0.8301663049835842</v>
      </c>
      <c r="AJ13" s="8">
        <f t="shared" si="23"/>
        <v>0.042841765190741024</v>
      </c>
      <c r="AK13" s="8">
        <f t="shared" si="24"/>
        <v>3.996484326853713</v>
      </c>
      <c r="AL13" s="8">
        <f t="shared" si="25"/>
        <v>1.221124358256897</v>
      </c>
      <c r="AM13" s="8">
        <f t="shared" si="26"/>
        <v>1.2871780928010779</v>
      </c>
      <c r="AN13" s="8">
        <f t="shared" si="27"/>
        <v>4</v>
      </c>
      <c r="AO13" s="8">
        <f t="shared" si="28"/>
        <v>1.875</v>
      </c>
      <c r="AP13" s="8">
        <f t="shared" si="29"/>
        <v>10.3125</v>
      </c>
      <c r="AQ13" s="8">
        <f t="shared" si="30"/>
        <v>1400.16</v>
      </c>
      <c r="AR13" s="8">
        <f t="shared" si="31"/>
        <v>110754.64398034725</v>
      </c>
    </row>
    <row r="14" spans="1:44" ht="12.75">
      <c r="A14" s="6" t="s">
        <v>84</v>
      </c>
      <c r="B14">
        <v>30.96</v>
      </c>
      <c r="C14">
        <v>7.38</v>
      </c>
      <c r="D14" s="1">
        <f t="shared" si="0"/>
        <v>1107</v>
      </c>
      <c r="E14" s="1">
        <f t="shared" si="32"/>
        <v>442.8</v>
      </c>
      <c r="F14" s="1">
        <f t="shared" si="33"/>
        <v>258.3</v>
      </c>
      <c r="G14" s="1">
        <f t="shared" si="34"/>
        <v>2166.0299999999997</v>
      </c>
      <c r="H14" s="1">
        <f t="shared" si="1"/>
        <v>216.60299999999998</v>
      </c>
      <c r="I14" s="1">
        <f t="shared" si="2"/>
        <v>433.20599999999996</v>
      </c>
      <c r="J14" s="1">
        <f t="shared" si="3"/>
        <v>30</v>
      </c>
      <c r="K14" s="1">
        <f t="shared" si="4"/>
        <v>37</v>
      </c>
      <c r="L14" s="1">
        <f t="shared" si="5"/>
        <v>15</v>
      </c>
      <c r="M14" s="1">
        <f t="shared" si="6"/>
        <v>19</v>
      </c>
      <c r="N14" s="8">
        <f t="shared" si="7"/>
        <v>468.75</v>
      </c>
      <c r="O14" s="8">
        <f t="shared" si="8"/>
        <v>732.2916666666667</v>
      </c>
      <c r="P14" s="2">
        <v>500</v>
      </c>
      <c r="Q14" s="8">
        <v>0</v>
      </c>
      <c r="R14" s="8">
        <f t="shared" si="9"/>
        <v>2766.0299999999997</v>
      </c>
      <c r="S14" s="8">
        <v>39.23</v>
      </c>
      <c r="T14" s="8">
        <v>61.84</v>
      </c>
      <c r="U14" s="8">
        <v>41.57</v>
      </c>
      <c r="V14" s="8">
        <v>277.75</v>
      </c>
      <c r="W14" s="8">
        <f t="shared" si="12"/>
        <v>23.22</v>
      </c>
      <c r="X14" s="8">
        <f t="shared" si="13"/>
        <v>20.72</v>
      </c>
      <c r="Y14" s="8">
        <f t="shared" si="14"/>
        <v>0.15</v>
      </c>
      <c r="Z14" s="8">
        <f t="shared" si="15"/>
        <v>546.9</v>
      </c>
      <c r="AA14" s="8">
        <f t="shared" si="16"/>
        <v>6094.349972572682</v>
      </c>
      <c r="AB14" s="8">
        <f t="shared" si="17"/>
        <v>14.195408285721468</v>
      </c>
      <c r="AC14" s="8"/>
      <c r="AD14" s="8">
        <f t="shared" si="18"/>
        <v>139.51756832660016</v>
      </c>
      <c r="AE14" s="8">
        <f t="shared" si="19"/>
        <v>92.88</v>
      </c>
      <c r="AF14" s="8">
        <f>((8*6))+AB14</f>
        <v>62.19540828572147</v>
      </c>
      <c r="AG14" s="8">
        <f t="shared" si="20"/>
        <v>88.56</v>
      </c>
      <c r="AH14" s="8">
        <f t="shared" si="21"/>
        <v>3.135654451443925</v>
      </c>
      <c r="AI14" s="8">
        <f t="shared" si="22"/>
        <v>0.8896971670430591</v>
      </c>
      <c r="AJ14" s="8">
        <f t="shared" si="23"/>
        <v>0.04293905246346811</v>
      </c>
      <c r="AK14" s="8">
        <f t="shared" si="24"/>
        <v>3.0442299026214905</v>
      </c>
      <c r="AL14" s="8">
        <f t="shared" si="25"/>
        <v>0.9301171221773343</v>
      </c>
      <c r="AM14" s="8">
        <f t="shared" si="26"/>
        <v>0.9804295322671627</v>
      </c>
      <c r="AN14" s="8">
        <f t="shared" si="27"/>
        <v>3.04</v>
      </c>
      <c r="AO14" s="8">
        <f t="shared" si="28"/>
        <v>1.875</v>
      </c>
      <c r="AP14" s="8">
        <f t="shared" si="29"/>
        <v>10.3125</v>
      </c>
      <c r="AQ14" s="8">
        <f t="shared" si="30"/>
        <v>1129.4207999999999</v>
      </c>
      <c r="AR14" s="8">
        <f t="shared" si="31"/>
        <v>90816.18064627954</v>
      </c>
    </row>
    <row r="15" spans="1:44" ht="12.75">
      <c r="A15" s="6" t="s">
        <v>85</v>
      </c>
      <c r="B15">
        <v>30.96</v>
      </c>
      <c r="C15">
        <v>2.88</v>
      </c>
      <c r="D15" s="1">
        <f t="shared" si="0"/>
        <v>432</v>
      </c>
      <c r="E15" s="1">
        <f t="shared" si="32"/>
        <v>172.79999999999998</v>
      </c>
      <c r="F15" s="1">
        <f t="shared" si="33"/>
        <v>100.8</v>
      </c>
      <c r="G15" s="1">
        <f t="shared" si="34"/>
        <v>845.2799999999999</v>
      </c>
      <c r="H15" s="1">
        <f t="shared" si="1"/>
        <v>84.52799999999999</v>
      </c>
      <c r="I15" s="1">
        <f t="shared" si="2"/>
        <v>169.05599999999998</v>
      </c>
      <c r="J15" s="1">
        <f t="shared" si="3"/>
        <v>30</v>
      </c>
      <c r="K15" s="1">
        <f t="shared" si="4"/>
        <v>37</v>
      </c>
      <c r="L15" s="1">
        <f t="shared" si="5"/>
        <v>15</v>
      </c>
      <c r="M15" s="1">
        <f t="shared" si="6"/>
        <v>19</v>
      </c>
      <c r="N15" s="8">
        <f t="shared" si="7"/>
        <v>468.75</v>
      </c>
      <c r="O15" s="8">
        <f t="shared" si="8"/>
        <v>732.2916666666667</v>
      </c>
      <c r="P15" s="2">
        <v>500</v>
      </c>
      <c r="Q15" s="8">
        <v>0</v>
      </c>
      <c r="R15" s="8">
        <f t="shared" si="9"/>
        <v>1445.2799999999997</v>
      </c>
      <c r="S15" s="8">
        <v>39.23</v>
      </c>
      <c r="T15" s="8">
        <v>61.84</v>
      </c>
      <c r="U15" s="8">
        <v>41.57</v>
      </c>
      <c r="V15" s="8">
        <v>34.23</v>
      </c>
      <c r="W15" s="8">
        <f t="shared" si="12"/>
        <v>23.22</v>
      </c>
      <c r="X15" s="8">
        <f t="shared" si="13"/>
        <v>20.72</v>
      </c>
      <c r="Y15" s="8">
        <f t="shared" si="14"/>
        <v>0.15</v>
      </c>
      <c r="Z15" s="8">
        <f t="shared" si="15"/>
        <v>546.9</v>
      </c>
      <c r="AA15" s="8">
        <f t="shared" si="16"/>
        <v>751.0696653867251</v>
      </c>
      <c r="AB15" s="8">
        <f t="shared" si="17"/>
        <v>1.7494467169045753</v>
      </c>
      <c r="AC15" s="8"/>
      <c r="AD15" s="8">
        <f t="shared" si="18"/>
        <v>17.19419032878316</v>
      </c>
      <c r="AE15" s="8">
        <f t="shared" si="19"/>
        <v>92.88</v>
      </c>
      <c r="AF15" s="8">
        <f>((8*6)*2)+AB15</f>
        <v>97.74944671690457</v>
      </c>
      <c r="AG15" s="8">
        <f t="shared" si="20"/>
        <v>34.56</v>
      </c>
      <c r="AH15" s="8">
        <f t="shared" si="21"/>
        <v>0.3864390706495969</v>
      </c>
      <c r="AI15" s="8">
        <f t="shared" si="22"/>
        <v>0.19732387185947553</v>
      </c>
      <c r="AJ15" s="8">
        <f t="shared" si="23"/>
        <v>0.009523352888970828</v>
      </c>
      <c r="AK15" s="8">
        <f t="shared" si="24"/>
        <v>0.36887357372411234</v>
      </c>
      <c r="AL15" s="8">
        <f t="shared" si="25"/>
        <v>0.11462793552522108</v>
      </c>
      <c r="AM15" s="8">
        <f t="shared" si="26"/>
        <v>0.12082845324754267</v>
      </c>
      <c r="AN15" s="8">
        <f t="shared" si="27"/>
        <v>0.37</v>
      </c>
      <c r="AO15" s="8">
        <f t="shared" si="28"/>
        <v>1.875</v>
      </c>
      <c r="AP15" s="8">
        <f t="shared" si="29"/>
        <v>10.3125</v>
      </c>
      <c r="AQ15" s="8">
        <f t="shared" si="30"/>
        <v>137.4624</v>
      </c>
      <c r="AR15" s="8">
        <f t="shared" si="31"/>
        <v>11192.215530232757</v>
      </c>
    </row>
    <row r="16" spans="1:44" ht="12.75">
      <c r="A16">
        <v>45</v>
      </c>
      <c r="B16">
        <v>30.96</v>
      </c>
      <c r="C16">
        <v>5.75</v>
      </c>
      <c r="D16" s="1">
        <f t="shared" si="0"/>
        <v>862.5</v>
      </c>
      <c r="E16" s="1">
        <f t="shared" si="32"/>
        <v>345</v>
      </c>
      <c r="F16" s="1">
        <f t="shared" si="33"/>
        <v>201.25</v>
      </c>
      <c r="G16" s="1">
        <f t="shared" si="34"/>
        <v>1687.625</v>
      </c>
      <c r="H16" s="1">
        <f t="shared" si="1"/>
        <v>168.76250000000002</v>
      </c>
      <c r="I16" s="1">
        <f t="shared" si="2"/>
        <v>337.52500000000003</v>
      </c>
      <c r="J16" s="1">
        <f t="shared" si="3"/>
        <v>30</v>
      </c>
      <c r="K16" s="1">
        <f t="shared" si="4"/>
        <v>37</v>
      </c>
      <c r="L16" s="1">
        <f t="shared" si="5"/>
        <v>15</v>
      </c>
      <c r="M16" s="1">
        <f t="shared" si="6"/>
        <v>19</v>
      </c>
      <c r="N16" s="8">
        <f t="shared" si="7"/>
        <v>468.75</v>
      </c>
      <c r="O16" s="8">
        <f t="shared" si="8"/>
        <v>732.2916666666667</v>
      </c>
      <c r="P16" s="2">
        <v>500</v>
      </c>
      <c r="Q16" s="8">
        <v>0</v>
      </c>
      <c r="R16" s="8">
        <f t="shared" si="9"/>
        <v>2287.625</v>
      </c>
      <c r="S16" s="8"/>
      <c r="T16" s="8"/>
      <c r="U16" s="8">
        <f t="shared" si="10"/>
        <v>35.412434999999995</v>
      </c>
      <c r="V16" s="8">
        <f t="shared" si="11"/>
        <v>274.09224689999996</v>
      </c>
      <c r="W16" s="8">
        <f t="shared" si="12"/>
        <v>23.22</v>
      </c>
      <c r="X16" s="8">
        <f t="shared" si="13"/>
        <v>20.72</v>
      </c>
      <c r="Y16" s="8">
        <f t="shared" si="14"/>
        <v>0.15</v>
      </c>
      <c r="Z16" s="8">
        <f t="shared" si="15"/>
        <v>546.9</v>
      </c>
      <c r="AA16" s="8">
        <f t="shared" si="16"/>
        <v>6014.092087767415</v>
      </c>
      <c r="AB16" s="8">
        <f t="shared" si="17"/>
        <v>14.008465716278213</v>
      </c>
      <c r="AC16" s="8"/>
      <c r="AD16" s="8">
        <f t="shared" si="18"/>
        <v>137.68022964774835</v>
      </c>
      <c r="AE16" s="8">
        <f t="shared" si="19"/>
        <v>92.88</v>
      </c>
      <c r="AF16" s="8">
        <f>((8*6))+AB16</f>
        <v>62.00846571627821</v>
      </c>
      <c r="AG16" s="8">
        <f t="shared" si="20"/>
        <v>69</v>
      </c>
      <c r="AH16" s="8">
        <f t="shared" si="21"/>
        <v>3.0943603027839863</v>
      </c>
      <c r="AI16" s="8">
        <f t="shared" si="22"/>
        <v>0.8806274700341158</v>
      </c>
      <c r="AJ16" s="8">
        <f t="shared" si="23"/>
        <v>0.04250132577384729</v>
      </c>
      <c r="AK16" s="8">
        <f t="shared" si="24"/>
        <v>3.003467973031348</v>
      </c>
      <c r="AL16" s="8">
        <f t="shared" si="25"/>
        <v>0.9178681976516556</v>
      </c>
      <c r="AM16" s="8">
        <f t="shared" si="26"/>
        <v>0.9675180321376152</v>
      </c>
      <c r="AN16" s="8">
        <f t="shared" si="27"/>
        <v>3</v>
      </c>
      <c r="AO16" s="8">
        <f t="shared" si="28"/>
        <v>1.875</v>
      </c>
      <c r="AP16" s="8">
        <f t="shared" si="29"/>
        <v>10.3125</v>
      </c>
      <c r="AQ16" s="8">
        <f t="shared" si="30"/>
        <v>1114.56</v>
      </c>
      <c r="AR16" s="8">
        <f t="shared" si="31"/>
        <v>89620.20164973915</v>
      </c>
    </row>
    <row r="17" spans="1:44" ht="12.75">
      <c r="A17" s="6" t="s">
        <v>86</v>
      </c>
      <c r="B17">
        <v>30.96</v>
      </c>
      <c r="C17">
        <v>7.38</v>
      </c>
      <c r="D17" s="1">
        <f t="shared" si="0"/>
        <v>1107</v>
      </c>
      <c r="E17" s="1">
        <f t="shared" si="32"/>
        <v>442.8</v>
      </c>
      <c r="F17" s="1">
        <f t="shared" si="33"/>
        <v>258.3</v>
      </c>
      <c r="G17" s="1">
        <f t="shared" si="34"/>
        <v>2166.0299999999997</v>
      </c>
      <c r="H17" s="1">
        <f t="shared" si="1"/>
        <v>216.60299999999998</v>
      </c>
      <c r="I17" s="1">
        <f t="shared" si="2"/>
        <v>433.20599999999996</v>
      </c>
      <c r="J17" s="1">
        <f t="shared" si="3"/>
        <v>30</v>
      </c>
      <c r="K17" s="1">
        <f t="shared" si="4"/>
        <v>37</v>
      </c>
      <c r="L17" s="1">
        <f t="shared" si="5"/>
        <v>15</v>
      </c>
      <c r="M17" s="1">
        <f t="shared" si="6"/>
        <v>19</v>
      </c>
      <c r="N17" s="8">
        <f t="shared" si="7"/>
        <v>468.75</v>
      </c>
      <c r="O17" s="8">
        <f t="shared" si="8"/>
        <v>732.2916666666667</v>
      </c>
      <c r="P17" s="2">
        <v>500</v>
      </c>
      <c r="Q17" s="8">
        <v>0</v>
      </c>
      <c r="R17" s="8">
        <f t="shared" si="9"/>
        <v>2766.0299999999997</v>
      </c>
      <c r="S17" s="8">
        <v>39.23</v>
      </c>
      <c r="T17" s="8">
        <v>61.84</v>
      </c>
      <c r="U17" s="8">
        <v>41.57</v>
      </c>
      <c r="V17" s="8">
        <v>277.75</v>
      </c>
      <c r="W17" s="8">
        <f t="shared" si="12"/>
        <v>23.22</v>
      </c>
      <c r="X17" s="8">
        <f t="shared" si="13"/>
        <v>20.72</v>
      </c>
      <c r="Y17" s="8">
        <f t="shared" si="14"/>
        <v>0.15</v>
      </c>
      <c r="Z17" s="8">
        <f t="shared" si="15"/>
        <v>546.9</v>
      </c>
      <c r="AA17" s="8">
        <f t="shared" si="16"/>
        <v>6094.349972572682</v>
      </c>
      <c r="AB17" s="8">
        <f t="shared" si="17"/>
        <v>14.195408285721468</v>
      </c>
      <c r="AC17" s="8"/>
      <c r="AD17" s="8">
        <f t="shared" si="18"/>
        <v>139.51756832660016</v>
      </c>
      <c r="AE17" s="8">
        <f t="shared" si="19"/>
        <v>92.88</v>
      </c>
      <c r="AF17" s="8">
        <f>((8*6)*2)+AB17</f>
        <v>110.19540828572147</v>
      </c>
      <c r="AG17" s="8">
        <f t="shared" si="20"/>
        <v>88.56</v>
      </c>
      <c r="AH17" s="8">
        <f t="shared" si="21"/>
        <v>3.135654451443925</v>
      </c>
      <c r="AI17" s="8">
        <f t="shared" si="22"/>
        <v>0.6248315103307678</v>
      </c>
      <c r="AJ17" s="8">
        <f t="shared" si="23"/>
        <v>0.030155960923299606</v>
      </c>
      <c r="AK17" s="8">
        <f t="shared" si="24"/>
        <v>3.0244746992944447</v>
      </c>
      <c r="AL17" s="8">
        <f t="shared" si="25"/>
        <v>0.9301171221773343</v>
      </c>
      <c r="AM17" s="8">
        <f t="shared" si="26"/>
        <v>0.9804295322671627</v>
      </c>
      <c r="AN17" s="8">
        <f t="shared" si="27"/>
        <v>3.02</v>
      </c>
      <c r="AO17" s="8">
        <f t="shared" si="28"/>
        <v>1.875</v>
      </c>
      <c r="AP17" s="8">
        <f t="shared" si="29"/>
        <v>10.3125</v>
      </c>
      <c r="AQ17" s="8">
        <f t="shared" si="30"/>
        <v>1121.9904</v>
      </c>
      <c r="AR17" s="8">
        <f t="shared" si="31"/>
        <v>90816.18064627954</v>
      </c>
    </row>
    <row r="18" spans="1:44" ht="12.75">
      <c r="A18" s="6" t="s">
        <v>87</v>
      </c>
      <c r="B18">
        <v>30.96</v>
      </c>
      <c r="C18">
        <v>2.88</v>
      </c>
      <c r="D18" s="1">
        <f t="shared" si="0"/>
        <v>432</v>
      </c>
      <c r="E18" s="1">
        <f t="shared" si="32"/>
        <v>172.79999999999998</v>
      </c>
      <c r="F18" s="1">
        <f t="shared" si="33"/>
        <v>100.8</v>
      </c>
      <c r="G18" s="1">
        <f t="shared" si="34"/>
        <v>845.2799999999999</v>
      </c>
      <c r="H18" s="1">
        <f t="shared" si="1"/>
        <v>84.52799999999999</v>
      </c>
      <c r="I18" s="1">
        <f t="shared" si="2"/>
        <v>169.05599999999998</v>
      </c>
      <c r="J18" s="1">
        <f t="shared" si="3"/>
        <v>30</v>
      </c>
      <c r="K18" s="1">
        <f t="shared" si="4"/>
        <v>37</v>
      </c>
      <c r="L18" s="1">
        <f t="shared" si="5"/>
        <v>15</v>
      </c>
      <c r="M18" s="1">
        <f t="shared" si="6"/>
        <v>19</v>
      </c>
      <c r="N18" s="8">
        <f t="shared" si="7"/>
        <v>468.75</v>
      </c>
      <c r="O18" s="8">
        <f t="shared" si="8"/>
        <v>732.2916666666667</v>
      </c>
      <c r="P18" s="2">
        <v>500</v>
      </c>
      <c r="Q18" s="8">
        <v>0</v>
      </c>
      <c r="R18" s="8">
        <f t="shared" si="9"/>
        <v>1445.2799999999997</v>
      </c>
      <c r="S18" s="8">
        <v>39.23</v>
      </c>
      <c r="T18" s="8">
        <v>61.84</v>
      </c>
      <c r="U18" s="8">
        <v>41.57</v>
      </c>
      <c r="V18" s="8">
        <v>34.23</v>
      </c>
      <c r="W18" s="8">
        <f t="shared" si="12"/>
        <v>23.22</v>
      </c>
      <c r="X18" s="8">
        <f t="shared" si="13"/>
        <v>20.72</v>
      </c>
      <c r="Y18" s="8">
        <f t="shared" si="14"/>
        <v>0.15</v>
      </c>
      <c r="Z18" s="8">
        <f t="shared" si="15"/>
        <v>546.9</v>
      </c>
      <c r="AA18" s="8">
        <f t="shared" si="16"/>
        <v>751.0696653867251</v>
      </c>
      <c r="AB18" s="8">
        <f t="shared" si="17"/>
        <v>1.7494467169045753</v>
      </c>
      <c r="AC18" s="8"/>
      <c r="AD18" s="8">
        <f t="shared" si="18"/>
        <v>17.19419032878316</v>
      </c>
      <c r="AE18" s="8">
        <f t="shared" si="19"/>
        <v>92.88</v>
      </c>
      <c r="AF18" s="8">
        <f>((8*6))+AB18</f>
        <v>49.74944671690457</v>
      </c>
      <c r="AG18" s="8">
        <f t="shared" si="20"/>
        <v>34.56</v>
      </c>
      <c r="AH18" s="8">
        <f t="shared" si="21"/>
        <v>0.3864390706495969</v>
      </c>
      <c r="AI18" s="8">
        <f t="shared" si="22"/>
        <v>0.19732387185947553</v>
      </c>
      <c r="AJ18" s="8">
        <f t="shared" si="23"/>
        <v>0.009523352888970828</v>
      </c>
      <c r="AK18" s="8">
        <f t="shared" si="24"/>
        <v>0.36887357372411234</v>
      </c>
      <c r="AL18" s="8">
        <f t="shared" si="25"/>
        <v>0.11462793552522108</v>
      </c>
      <c r="AM18" s="8">
        <f t="shared" si="26"/>
        <v>0.12082845324754267</v>
      </c>
      <c r="AN18" s="8">
        <f t="shared" si="27"/>
        <v>0.37</v>
      </c>
      <c r="AO18" s="8">
        <f t="shared" si="28"/>
        <v>1.875</v>
      </c>
      <c r="AP18" s="8">
        <f t="shared" si="29"/>
        <v>10.3125</v>
      </c>
      <c r="AQ18" s="8">
        <f t="shared" si="30"/>
        <v>137.4624</v>
      </c>
      <c r="AR18" s="8">
        <f t="shared" si="31"/>
        <v>11192.215530232757</v>
      </c>
    </row>
    <row r="19" spans="1:44" ht="12.75">
      <c r="A19">
        <v>47</v>
      </c>
      <c r="B19">
        <v>29.17</v>
      </c>
      <c r="C19">
        <v>9</v>
      </c>
      <c r="D19" s="1">
        <f t="shared" si="0"/>
        <v>1350</v>
      </c>
      <c r="E19" s="1">
        <f t="shared" si="32"/>
        <v>540</v>
      </c>
      <c r="F19" s="1">
        <f t="shared" si="33"/>
        <v>315</v>
      </c>
      <c r="G19" s="1">
        <f t="shared" si="34"/>
        <v>2641.5</v>
      </c>
      <c r="H19" s="1">
        <f t="shared" si="1"/>
        <v>264.15000000000003</v>
      </c>
      <c r="I19" s="1">
        <f t="shared" si="2"/>
        <v>528.3000000000001</v>
      </c>
      <c r="J19" s="1">
        <f t="shared" si="3"/>
        <v>28</v>
      </c>
      <c r="K19" s="1">
        <f t="shared" si="4"/>
        <v>35</v>
      </c>
      <c r="L19" s="1">
        <f t="shared" si="5"/>
        <v>14</v>
      </c>
      <c r="M19" s="1">
        <f t="shared" si="6"/>
        <v>18</v>
      </c>
      <c r="N19" s="8">
        <f t="shared" si="7"/>
        <v>408.3333333333334</v>
      </c>
      <c r="O19" s="8">
        <f t="shared" si="8"/>
        <v>656.25</v>
      </c>
      <c r="P19" s="2">
        <v>500</v>
      </c>
      <c r="Q19" s="8">
        <v>0</v>
      </c>
      <c r="R19" s="8">
        <f t="shared" si="9"/>
        <v>3241.5</v>
      </c>
      <c r="S19" s="8"/>
      <c r="T19" s="8"/>
      <c r="U19" s="8">
        <f t="shared" si="10"/>
        <v>47.277277500000004</v>
      </c>
      <c r="V19" s="8">
        <f t="shared" si="11"/>
        <v>344.76954616875</v>
      </c>
      <c r="W19" s="8">
        <f t="shared" si="12"/>
        <v>21.8775</v>
      </c>
      <c r="X19" s="8">
        <f t="shared" si="13"/>
        <v>19.3775</v>
      </c>
      <c r="Y19" s="8">
        <f t="shared" si="14"/>
        <v>0.15</v>
      </c>
      <c r="Z19" s="8">
        <f t="shared" si="15"/>
        <v>546.9</v>
      </c>
      <c r="AA19" s="8">
        <f t="shared" si="16"/>
        <v>7564.883075562261</v>
      </c>
      <c r="AB19" s="8">
        <f t="shared" si="17"/>
        <v>20.146830319636663</v>
      </c>
      <c r="AC19" s="8"/>
      <c r="AD19" s="8">
        <f t="shared" si="18"/>
        <v>185.1807050829808</v>
      </c>
      <c r="AE19" s="8">
        <f t="shared" si="19"/>
        <v>87.51</v>
      </c>
      <c r="AF19" s="8">
        <f>((8*6)*2)+AB19</f>
        <v>116.14683031963666</v>
      </c>
      <c r="AG19" s="8">
        <f t="shared" si="20"/>
        <v>108</v>
      </c>
      <c r="AH19" s="8">
        <f t="shared" si="21"/>
        <v>4.161932501974844</v>
      </c>
      <c r="AI19" s="8">
        <f t="shared" si="22"/>
        <v>0.8392854266016342</v>
      </c>
      <c r="AJ19" s="8">
        <f t="shared" si="23"/>
        <v>0.043312368809270245</v>
      </c>
      <c r="AK19" s="8">
        <f t="shared" si="24"/>
        <v>4.0413562326961925</v>
      </c>
      <c r="AL19" s="8">
        <f t="shared" si="25"/>
        <v>1.2345380338865386</v>
      </c>
      <c r="AM19" s="8">
        <f t="shared" si="26"/>
        <v>1.3013173483958649</v>
      </c>
      <c r="AN19" s="8">
        <f t="shared" si="27"/>
        <v>4.04</v>
      </c>
      <c r="AO19" s="8">
        <f t="shared" si="28"/>
        <v>1.875</v>
      </c>
      <c r="AP19" s="8">
        <f t="shared" si="29"/>
        <v>10.3125</v>
      </c>
      <c r="AQ19" s="8">
        <f t="shared" si="30"/>
        <v>1414.1616000000001</v>
      </c>
      <c r="AR19" s="8">
        <f t="shared" si="31"/>
        <v>111971.24969194691</v>
      </c>
    </row>
    <row r="20" spans="1:44" ht="12.75">
      <c r="A20" s="6" t="s">
        <v>135</v>
      </c>
      <c r="B20">
        <v>29.17</v>
      </c>
      <c r="C20">
        <v>4.5</v>
      </c>
      <c r="D20" s="1">
        <f t="shared" si="0"/>
        <v>675</v>
      </c>
      <c r="E20" s="1">
        <f t="shared" si="32"/>
        <v>270</v>
      </c>
      <c r="F20" s="1">
        <f t="shared" si="33"/>
        <v>157.5</v>
      </c>
      <c r="G20" s="1">
        <f t="shared" si="34"/>
        <v>1320.75</v>
      </c>
      <c r="H20" s="1">
        <f t="shared" si="1"/>
        <v>132.07500000000002</v>
      </c>
      <c r="I20" s="1">
        <f t="shared" si="2"/>
        <v>264.15000000000003</v>
      </c>
      <c r="J20" s="1">
        <f t="shared" si="3"/>
        <v>28</v>
      </c>
      <c r="K20" s="1">
        <f t="shared" si="4"/>
        <v>35</v>
      </c>
      <c r="L20" s="1">
        <f t="shared" si="5"/>
        <v>14</v>
      </c>
      <c r="M20" s="1">
        <f t="shared" si="6"/>
        <v>18</v>
      </c>
      <c r="N20" s="8">
        <f t="shared" si="7"/>
        <v>408.3333333333334</v>
      </c>
      <c r="O20" s="8">
        <f t="shared" si="8"/>
        <v>656.25</v>
      </c>
      <c r="P20" s="2">
        <v>500</v>
      </c>
      <c r="Q20" s="8">
        <v>0</v>
      </c>
      <c r="R20" s="8">
        <f t="shared" si="9"/>
        <v>1920.75</v>
      </c>
      <c r="S20" s="8"/>
      <c r="T20" s="8"/>
      <c r="U20" s="8">
        <f t="shared" si="10"/>
        <v>28.01413875</v>
      </c>
      <c r="V20" s="8">
        <f t="shared" si="11"/>
        <v>204.293106834375</v>
      </c>
      <c r="W20" s="8">
        <f t="shared" si="12"/>
        <v>21.8775</v>
      </c>
      <c r="X20" s="8">
        <f t="shared" si="13"/>
        <v>19.3775</v>
      </c>
      <c r="Y20" s="8">
        <f t="shared" si="14"/>
        <v>0.15</v>
      </c>
      <c r="Z20" s="8">
        <f t="shared" si="15"/>
        <v>546.9</v>
      </c>
      <c r="AA20" s="8">
        <f t="shared" si="16"/>
        <v>4482.569541072409</v>
      </c>
      <c r="AB20" s="8">
        <f t="shared" si="17"/>
        <v>11.937999178294655</v>
      </c>
      <c r="AC20" s="8"/>
      <c r="AD20" s="8">
        <f t="shared" si="18"/>
        <v>109.72877966624569</v>
      </c>
      <c r="AE20" s="8">
        <f t="shared" si="19"/>
        <v>87.51</v>
      </c>
      <c r="AF20" s="8">
        <f>((8*6))+AB20</f>
        <v>59.93799917829465</v>
      </c>
      <c r="AG20" s="8">
        <f t="shared" si="20"/>
        <v>54</v>
      </c>
      <c r="AH20" s="8">
        <f t="shared" si="21"/>
        <v>2.466152044784261</v>
      </c>
      <c r="AI20" s="8">
        <f t="shared" si="22"/>
        <v>0.8059320407791701</v>
      </c>
      <c r="AJ20" s="8">
        <f t="shared" si="23"/>
        <v>0.04159112583043066</v>
      </c>
      <c r="AK20" s="8">
        <f t="shared" si="24"/>
        <v>2.39259990438768</v>
      </c>
      <c r="AL20" s="8">
        <f t="shared" si="25"/>
        <v>0.7315251977749713</v>
      </c>
      <c r="AM20" s="8">
        <f t="shared" si="26"/>
        <v>0.7710952635913491</v>
      </c>
      <c r="AN20" s="8">
        <f t="shared" si="27"/>
        <v>2.39</v>
      </c>
      <c r="AO20" s="8">
        <f t="shared" si="28"/>
        <v>1.875</v>
      </c>
      <c r="AP20" s="8">
        <f t="shared" si="29"/>
        <v>10.3125</v>
      </c>
      <c r="AQ20" s="8">
        <f t="shared" si="30"/>
        <v>836.5956000000001</v>
      </c>
      <c r="AR20" s="8">
        <f t="shared" si="31"/>
        <v>66348.53550695884</v>
      </c>
    </row>
    <row r="21" spans="1:44" ht="12.75">
      <c r="A21" s="6" t="s">
        <v>136</v>
      </c>
      <c r="B21">
        <v>29.17</v>
      </c>
      <c r="C21">
        <v>4.5</v>
      </c>
      <c r="D21" s="1">
        <f t="shared" si="0"/>
        <v>675</v>
      </c>
      <c r="E21" s="1">
        <f>C21*60</f>
        <v>270</v>
      </c>
      <c r="F21" s="1">
        <f>C21*35</f>
        <v>157.5</v>
      </c>
      <c r="G21" s="1">
        <f>(1.2*D21)+(1.6*E21)+(0.5*F21)</f>
        <v>1320.75</v>
      </c>
      <c r="H21" s="1">
        <f t="shared" si="1"/>
        <v>132.07500000000002</v>
      </c>
      <c r="I21" s="1">
        <f>0.2*MAX(G21:G21)</f>
        <v>264.15000000000003</v>
      </c>
      <c r="J21" s="1">
        <f>ROUND(((0.08*B21)*12),0)</f>
        <v>28</v>
      </c>
      <c r="K21" s="1">
        <f>ROUND(((0.1*B21)*12),0)</f>
        <v>35</v>
      </c>
      <c r="L21" s="1">
        <f>ROUND((0.5*J21),0)</f>
        <v>14</v>
      </c>
      <c r="M21" s="1">
        <f>ROUND((0.5*K21),0)</f>
        <v>18</v>
      </c>
      <c r="N21" s="8">
        <f>(L21/12)*(J21/12)*150</f>
        <v>408.3333333333334</v>
      </c>
      <c r="O21" s="8">
        <f>(M21/12)*(K21/12)*150</f>
        <v>656.25</v>
      </c>
      <c r="P21" s="2">
        <v>500</v>
      </c>
      <c r="Q21" s="8">
        <v>0</v>
      </c>
      <c r="R21" s="8">
        <f>(1.2*P21)+G21</f>
        <v>1920.75</v>
      </c>
      <c r="S21" s="8"/>
      <c r="T21" s="8"/>
      <c r="U21" s="8">
        <f>(R21*B21)/2000</f>
        <v>28.01413875</v>
      </c>
      <c r="V21" s="8">
        <v>611</v>
      </c>
      <c r="W21" s="8">
        <f>(B21/16)*12</f>
        <v>21.8775</v>
      </c>
      <c r="X21" s="8">
        <f t="shared" si="13"/>
        <v>19.3775</v>
      </c>
      <c r="Y21" s="8">
        <f t="shared" si="14"/>
        <v>0.15</v>
      </c>
      <c r="Z21" s="8">
        <f t="shared" si="15"/>
        <v>546.9</v>
      </c>
      <c r="AA21" s="8">
        <f>(12000*V21)/Z21</f>
        <v>13406.472846955568</v>
      </c>
      <c r="AB21" s="8">
        <f>AA21/(X21^2)</f>
        <v>35.704178231777234</v>
      </c>
      <c r="AC21" s="8"/>
      <c r="AD21" s="8">
        <f>0.75*((((2*(4000^0.5)*AB21*X21)+(8*(4000^0.5)*AB21*X21)))/1000)</f>
        <v>328.17692880078624</v>
      </c>
      <c r="AE21" s="8">
        <f>(B21/4)*12</f>
        <v>87.51</v>
      </c>
      <c r="AF21" s="8">
        <f>((8*6))+AB21</f>
        <v>83.70417823177723</v>
      </c>
      <c r="AG21" s="8">
        <f>C21*12</f>
        <v>54</v>
      </c>
      <c r="AH21" s="8">
        <f>(V21*12000)/(0.9*60000*0.95*X21)</f>
        <v>7.37576966111145</v>
      </c>
      <c r="AI21" s="8">
        <f>(AH21*60000)/(0.85*4000*(MIN(AE21:AG21)))</f>
        <v>2.4103822421932843</v>
      </c>
      <c r="AJ21" s="8">
        <f>AI21/X21</f>
        <v>0.12439077498094615</v>
      </c>
      <c r="AK21" s="8">
        <f>(V21*12000)/(0.9*60000*(X21-(AI21/2)))</f>
        <v>7.471685556446008</v>
      </c>
      <c r="AL21" s="8">
        <f>(3*(4000^0.5)*AB21*X21)/60000</f>
        <v>2.1878461920052414</v>
      </c>
      <c r="AM21" s="8">
        <f>(200*AB21*X21)/60000</f>
        <v>2.306192378954211</v>
      </c>
      <c r="AN21" s="8">
        <f>ROUND(MAX(AK21:AM21),2)</f>
        <v>7.47</v>
      </c>
      <c r="AO21" s="8">
        <f t="shared" si="28"/>
        <v>1.875</v>
      </c>
      <c r="AP21" s="8">
        <f t="shared" si="29"/>
        <v>10.3125</v>
      </c>
      <c r="AQ21" s="8">
        <f>AN21*(B21*12)</f>
        <v>2614.7988</v>
      </c>
      <c r="AR21" s="8">
        <f>(W21-6)*AB21*(12*B21)</f>
        <v>198435.25717986008</v>
      </c>
    </row>
    <row r="22" spans="1:44" ht="12.75">
      <c r="A22">
        <v>49</v>
      </c>
      <c r="B22">
        <v>21.63</v>
      </c>
      <c r="C22">
        <v>6.5</v>
      </c>
      <c r="D22" s="1">
        <f t="shared" si="0"/>
        <v>975</v>
      </c>
      <c r="E22" s="1">
        <f t="shared" si="32"/>
        <v>390</v>
      </c>
      <c r="F22" s="1">
        <f t="shared" si="33"/>
        <v>227.5</v>
      </c>
      <c r="G22" s="1">
        <f t="shared" si="34"/>
        <v>1907.75</v>
      </c>
      <c r="H22" s="1">
        <f t="shared" si="1"/>
        <v>190.775</v>
      </c>
      <c r="I22" s="1">
        <f t="shared" si="2"/>
        <v>381.55</v>
      </c>
      <c r="J22" s="1">
        <f t="shared" si="3"/>
        <v>21</v>
      </c>
      <c r="K22" s="1">
        <f t="shared" si="4"/>
        <v>26</v>
      </c>
      <c r="L22" s="1">
        <f t="shared" si="5"/>
        <v>11</v>
      </c>
      <c r="M22" s="1">
        <f t="shared" si="6"/>
        <v>13</v>
      </c>
      <c r="N22" s="8">
        <f t="shared" si="7"/>
        <v>240.62499999999997</v>
      </c>
      <c r="O22" s="8">
        <f t="shared" si="8"/>
        <v>352.08333333333326</v>
      </c>
      <c r="P22" s="2">
        <v>300</v>
      </c>
      <c r="Q22" s="8">
        <v>0</v>
      </c>
      <c r="R22" s="8">
        <f t="shared" si="9"/>
        <v>2267.75</v>
      </c>
      <c r="S22" s="8"/>
      <c r="T22" s="8"/>
      <c r="U22" s="8">
        <f t="shared" si="10"/>
        <v>24.52571625</v>
      </c>
      <c r="V22" s="8">
        <f t="shared" si="11"/>
        <v>132.62281062187498</v>
      </c>
      <c r="W22" s="8">
        <f t="shared" si="12"/>
        <v>16.2225</v>
      </c>
      <c r="X22" s="8">
        <f t="shared" si="13"/>
        <v>13.7225</v>
      </c>
      <c r="Y22" s="8">
        <f t="shared" si="14"/>
        <v>0.15</v>
      </c>
      <c r="Z22" s="8">
        <f t="shared" si="15"/>
        <v>546.9</v>
      </c>
      <c r="AA22" s="8">
        <f t="shared" si="16"/>
        <v>2909.9903592292917</v>
      </c>
      <c r="AB22" s="8">
        <f t="shared" si="17"/>
        <v>15.453436476845331</v>
      </c>
      <c r="AC22" s="8"/>
      <c r="AD22" s="8">
        <f t="shared" si="18"/>
        <v>100.58878671119854</v>
      </c>
      <c r="AE22" s="8">
        <f t="shared" si="19"/>
        <v>64.89</v>
      </c>
      <c r="AF22" s="8">
        <f>((8*6)*2)+AB22</f>
        <v>111.45343647684533</v>
      </c>
      <c r="AG22" s="8">
        <f t="shared" si="20"/>
        <v>78</v>
      </c>
      <c r="AH22" s="8">
        <f t="shared" si="21"/>
        <v>2.2607308928862504</v>
      </c>
      <c r="AI22" s="8">
        <f t="shared" si="22"/>
        <v>0.6148135467858504</v>
      </c>
      <c r="AJ22" s="8">
        <f t="shared" si="23"/>
        <v>0.044803319131779956</v>
      </c>
      <c r="AK22" s="8">
        <f t="shared" si="24"/>
        <v>2.1969087501603553</v>
      </c>
      <c r="AL22" s="8">
        <f t="shared" si="25"/>
        <v>0.6705919114079902</v>
      </c>
      <c r="AM22" s="8">
        <f t="shared" si="26"/>
        <v>0.7068659401783669</v>
      </c>
      <c r="AN22" s="8">
        <f t="shared" si="27"/>
        <v>2.2</v>
      </c>
      <c r="AO22" s="8">
        <f t="shared" si="28"/>
        <v>1.875</v>
      </c>
      <c r="AP22" s="8">
        <f t="shared" si="29"/>
        <v>10.3125</v>
      </c>
      <c r="AQ22" s="8">
        <f t="shared" si="30"/>
        <v>571.032</v>
      </c>
      <c r="AR22" s="8">
        <f t="shared" si="31"/>
        <v>41003.40812805416</v>
      </c>
    </row>
    <row r="23" spans="4:44" ht="12.75">
      <c r="D23" s="1">
        <f t="shared" si="0"/>
        <v>0</v>
      </c>
      <c r="E23" s="1"/>
      <c r="F23" s="1">
        <f t="shared" si="33"/>
        <v>0</v>
      </c>
      <c r="G23" s="1">
        <f t="shared" si="34"/>
        <v>0</v>
      </c>
      <c r="H23" s="1"/>
      <c r="I23" s="1"/>
      <c r="J23" s="1"/>
      <c r="K23" s="1"/>
      <c r="L23" s="1"/>
      <c r="M23" s="1"/>
      <c r="N23" s="8"/>
      <c r="O23" s="8"/>
      <c r="P23" s="2"/>
      <c r="Q23" s="8">
        <v>0</v>
      </c>
      <c r="R23" s="8">
        <f t="shared" si="9"/>
        <v>0</v>
      </c>
      <c r="S23" s="8"/>
      <c r="T23" s="8"/>
      <c r="U23" s="8">
        <f t="shared" si="10"/>
        <v>0</v>
      </c>
      <c r="V23" s="8">
        <f t="shared" si="11"/>
        <v>0</v>
      </c>
      <c r="W23" s="8">
        <f t="shared" si="12"/>
        <v>0</v>
      </c>
      <c r="X23" s="8">
        <f t="shared" si="13"/>
        <v>-2.5</v>
      </c>
      <c r="Y23" s="8">
        <f t="shared" si="14"/>
        <v>0.15</v>
      </c>
      <c r="Z23" s="8">
        <f t="shared" si="15"/>
        <v>546.9</v>
      </c>
      <c r="AA23" s="8">
        <f t="shared" si="16"/>
        <v>0</v>
      </c>
      <c r="AB23" s="8">
        <f t="shared" si="17"/>
        <v>0</v>
      </c>
      <c r="AC23" s="8"/>
      <c r="AD23" s="8">
        <f t="shared" si="18"/>
        <v>0</v>
      </c>
      <c r="AE23" s="8">
        <f t="shared" si="19"/>
        <v>0</v>
      </c>
      <c r="AF23" s="8">
        <f>((8*6))+AB23</f>
        <v>48</v>
      </c>
      <c r="AG23" s="8">
        <f t="shared" si="20"/>
        <v>0</v>
      </c>
      <c r="AH23" s="8">
        <f t="shared" si="21"/>
        <v>0</v>
      </c>
      <c r="AI23" s="8" t="e">
        <f t="shared" si="22"/>
        <v>#DIV/0!</v>
      </c>
      <c r="AJ23" s="8" t="e">
        <f t="shared" si="23"/>
        <v>#DIV/0!</v>
      </c>
      <c r="AK23" s="8" t="e">
        <f t="shared" si="24"/>
        <v>#DIV/0!</v>
      </c>
      <c r="AL23" s="8">
        <f t="shared" si="25"/>
        <v>0</v>
      </c>
      <c r="AM23" s="8">
        <f t="shared" si="26"/>
        <v>0</v>
      </c>
      <c r="AN23" s="8" t="e">
        <f t="shared" si="27"/>
        <v>#DIV/0!</v>
      </c>
      <c r="AO23" s="8">
        <f t="shared" si="28"/>
        <v>1.875</v>
      </c>
      <c r="AP23" s="8">
        <f t="shared" si="29"/>
        <v>10.3125</v>
      </c>
      <c r="AQ23" s="8" t="e">
        <f t="shared" si="30"/>
        <v>#DIV/0!</v>
      </c>
      <c r="AR23" s="8">
        <f t="shared" si="31"/>
        <v>0</v>
      </c>
    </row>
    <row r="24" spans="4:44" ht="12.75">
      <c r="D24" s="1">
        <f t="shared" si="0"/>
        <v>0</v>
      </c>
      <c r="E24" s="1">
        <f aca="true" t="shared" si="35" ref="E24:E55">C24*60</f>
        <v>0</v>
      </c>
      <c r="F24" s="1">
        <f t="shared" si="33"/>
        <v>0</v>
      </c>
      <c r="G24" s="1">
        <f t="shared" si="34"/>
        <v>0</v>
      </c>
      <c r="H24" s="1">
        <f aca="true" t="shared" si="36" ref="H24:H64">0.1*MAX(G24:G24)</f>
        <v>0</v>
      </c>
      <c r="I24" s="1">
        <f aca="true" t="shared" si="37" ref="I24:I64">0.2*MAX(G24:G24)</f>
        <v>0</v>
      </c>
      <c r="J24" s="1">
        <f aca="true" t="shared" si="38" ref="J24:J64">ROUND(((0.08*B24)*12),0)</f>
        <v>0</v>
      </c>
      <c r="K24" s="1">
        <f aca="true" t="shared" si="39" ref="K24:K64">ROUND(((0.1*B24)*12),0)</f>
        <v>0</v>
      </c>
      <c r="L24" s="1">
        <f aca="true" t="shared" si="40" ref="L24:L64">ROUND((0.5*J24),0)</f>
        <v>0</v>
      </c>
      <c r="M24" s="1">
        <f aca="true" t="shared" si="41" ref="M24:M64">ROUND((0.5*K24),0)</f>
        <v>0</v>
      </c>
      <c r="N24" s="8">
        <f aca="true" t="shared" si="42" ref="N24:N64">(L24/12)*(J24/12)*150</f>
        <v>0</v>
      </c>
      <c r="O24" s="8">
        <f aca="true" t="shared" si="43" ref="O24:O64">(M24/12)*(K24/12)*150</f>
        <v>0</v>
      </c>
      <c r="P24" s="2"/>
      <c r="Q24" s="8">
        <v>0</v>
      </c>
      <c r="R24" s="8">
        <f aca="true" t="shared" si="44" ref="R24:R55">(1.2*P24)+G24</f>
        <v>0</v>
      </c>
      <c r="S24" s="8"/>
      <c r="T24" s="8"/>
      <c r="U24" s="8">
        <f t="shared" si="10"/>
        <v>0</v>
      </c>
      <c r="V24" s="8">
        <f t="shared" si="11"/>
        <v>0</v>
      </c>
      <c r="W24" s="8">
        <f t="shared" si="12"/>
        <v>0</v>
      </c>
      <c r="X24" s="8">
        <f t="shared" si="13"/>
        <v>-2.5</v>
      </c>
      <c r="Y24" s="8">
        <f t="shared" si="14"/>
        <v>0.15</v>
      </c>
      <c r="Z24" s="8">
        <f t="shared" si="15"/>
        <v>546.9</v>
      </c>
      <c r="AA24" s="8">
        <f t="shared" si="16"/>
        <v>0</v>
      </c>
      <c r="AB24" s="8">
        <f t="shared" si="17"/>
        <v>0</v>
      </c>
      <c r="AC24" s="8"/>
      <c r="AD24" s="8">
        <f t="shared" si="18"/>
        <v>0</v>
      </c>
      <c r="AE24" s="8">
        <f t="shared" si="19"/>
        <v>0</v>
      </c>
      <c r="AF24" s="8">
        <f>((8*6)*2)+AB24</f>
        <v>96</v>
      </c>
      <c r="AG24" s="8">
        <f t="shared" si="20"/>
        <v>0</v>
      </c>
      <c r="AH24" s="8">
        <f t="shared" si="21"/>
        <v>0</v>
      </c>
      <c r="AI24" s="8" t="e">
        <f t="shared" si="22"/>
        <v>#DIV/0!</v>
      </c>
      <c r="AJ24" s="8" t="e">
        <f t="shared" si="23"/>
        <v>#DIV/0!</v>
      </c>
      <c r="AK24" s="8" t="e">
        <f t="shared" si="24"/>
        <v>#DIV/0!</v>
      </c>
      <c r="AL24" s="8">
        <f t="shared" si="25"/>
        <v>0</v>
      </c>
      <c r="AM24" s="8">
        <f t="shared" si="26"/>
        <v>0</v>
      </c>
      <c r="AN24" s="8" t="e">
        <f t="shared" si="27"/>
        <v>#DIV/0!</v>
      </c>
      <c r="AO24" s="8">
        <f t="shared" si="28"/>
        <v>1.875</v>
      </c>
      <c r="AP24" s="8">
        <f t="shared" si="29"/>
        <v>10.3125</v>
      </c>
      <c r="AQ24" s="8" t="e">
        <f t="shared" si="30"/>
        <v>#DIV/0!</v>
      </c>
      <c r="AR24" s="8">
        <f t="shared" si="31"/>
        <v>0</v>
      </c>
    </row>
    <row r="25" spans="1:44" ht="12.75">
      <c r="A25">
        <v>6</v>
      </c>
      <c r="B25">
        <v>29.66</v>
      </c>
      <c r="C25">
        <v>10.66</v>
      </c>
      <c r="D25" s="1">
        <f>C25*((0.5*150)+5+10+20)</f>
        <v>1172.6</v>
      </c>
      <c r="E25" s="1">
        <f t="shared" si="35"/>
        <v>639.6</v>
      </c>
      <c r="F25" s="1">
        <f t="shared" si="33"/>
        <v>373.1</v>
      </c>
      <c r="G25" s="1">
        <f t="shared" si="34"/>
        <v>2617.03</v>
      </c>
      <c r="H25" s="1">
        <f t="shared" si="36"/>
        <v>261.70300000000003</v>
      </c>
      <c r="I25" s="1">
        <f t="shared" si="37"/>
        <v>523.4060000000001</v>
      </c>
      <c r="J25" s="1">
        <f t="shared" si="38"/>
        <v>28</v>
      </c>
      <c r="K25" s="1">
        <f t="shared" si="39"/>
        <v>36</v>
      </c>
      <c r="L25" s="1">
        <f t="shared" si="40"/>
        <v>14</v>
      </c>
      <c r="M25" s="1">
        <f t="shared" si="41"/>
        <v>18</v>
      </c>
      <c r="N25" s="8">
        <f t="shared" si="42"/>
        <v>408.3333333333334</v>
      </c>
      <c r="O25" s="8">
        <f t="shared" si="43"/>
        <v>675</v>
      </c>
      <c r="P25">
        <v>400</v>
      </c>
      <c r="Q25" s="8">
        <v>0</v>
      </c>
      <c r="R25" s="8">
        <f t="shared" si="44"/>
        <v>3097.03</v>
      </c>
      <c r="S25" s="8"/>
      <c r="T25" s="8"/>
      <c r="U25" s="8">
        <f t="shared" si="10"/>
        <v>45.9289549</v>
      </c>
      <c r="V25" s="8">
        <f t="shared" si="11"/>
        <v>340.5632005835</v>
      </c>
      <c r="W25" s="8">
        <f t="shared" si="12"/>
        <v>22.245</v>
      </c>
      <c r="X25" s="8">
        <f t="shared" si="13"/>
        <v>19.745</v>
      </c>
      <c r="Y25" s="8">
        <f t="shared" si="14"/>
        <v>0.15</v>
      </c>
      <c r="Z25" s="8">
        <f t="shared" si="15"/>
        <v>546.9</v>
      </c>
      <c r="AA25" s="8">
        <f t="shared" si="16"/>
        <v>7472.588054492595</v>
      </c>
      <c r="AB25" s="8">
        <f t="shared" si="17"/>
        <v>19.1671157331761</v>
      </c>
      <c r="AC25" s="8"/>
      <c r="AD25" s="8">
        <f t="shared" si="18"/>
        <v>179.51682655125114</v>
      </c>
      <c r="AE25" s="8">
        <f t="shared" si="19"/>
        <v>88.98</v>
      </c>
      <c r="AF25" s="8">
        <f>((8*6))+AB25</f>
        <v>67.1671157331761</v>
      </c>
      <c r="AG25" s="8">
        <f t="shared" si="20"/>
        <v>127.92</v>
      </c>
      <c r="AH25" s="8">
        <f t="shared" si="21"/>
        <v>4.034636949568993</v>
      </c>
      <c r="AI25" s="8">
        <f t="shared" si="22"/>
        <v>1.0600347328218156</v>
      </c>
      <c r="AJ25" s="8">
        <f t="shared" si="23"/>
        <v>0.05368623615202915</v>
      </c>
      <c r="AK25" s="8">
        <f t="shared" si="24"/>
        <v>3.9386302180925608</v>
      </c>
      <c r="AL25" s="8">
        <f t="shared" si="25"/>
        <v>1.1967788436750073</v>
      </c>
      <c r="AM25" s="8">
        <f t="shared" si="26"/>
        <v>1.2615156671718735</v>
      </c>
      <c r="AN25" s="8">
        <f t="shared" si="27"/>
        <v>3.94</v>
      </c>
      <c r="AO25" s="8">
        <f t="shared" si="28"/>
        <v>1.875</v>
      </c>
      <c r="AP25" s="8">
        <f t="shared" si="29"/>
        <v>10.3125</v>
      </c>
      <c r="AQ25" s="8">
        <f t="shared" si="30"/>
        <v>1402.3248</v>
      </c>
      <c r="AR25" s="8">
        <f t="shared" si="31"/>
        <v>110822.73746681187</v>
      </c>
    </row>
    <row r="26" spans="1:44" ht="12.75">
      <c r="A26">
        <v>7</v>
      </c>
      <c r="B26">
        <v>29.66</v>
      </c>
      <c r="C26">
        <v>10.02</v>
      </c>
      <c r="D26" s="1">
        <f aca="true" t="shared" si="45" ref="D26:D64">C26*((0.5*150)+5+10+20)</f>
        <v>1102.2</v>
      </c>
      <c r="E26" s="1">
        <f t="shared" si="35"/>
        <v>601.1999999999999</v>
      </c>
      <c r="F26" s="1">
        <f t="shared" si="33"/>
        <v>350.7</v>
      </c>
      <c r="G26" s="1">
        <f t="shared" si="34"/>
        <v>2459.91</v>
      </c>
      <c r="H26" s="1">
        <f t="shared" si="36"/>
        <v>245.99099999999999</v>
      </c>
      <c r="I26" s="1">
        <f t="shared" si="37"/>
        <v>491.98199999999997</v>
      </c>
      <c r="J26" s="1">
        <f t="shared" si="38"/>
        <v>28</v>
      </c>
      <c r="K26" s="1">
        <f t="shared" si="39"/>
        <v>36</v>
      </c>
      <c r="L26" s="1">
        <f t="shared" si="40"/>
        <v>14</v>
      </c>
      <c r="M26" s="1">
        <f t="shared" si="41"/>
        <v>18</v>
      </c>
      <c r="N26" s="8">
        <f t="shared" si="42"/>
        <v>408.3333333333334</v>
      </c>
      <c r="O26" s="8">
        <f t="shared" si="43"/>
        <v>675</v>
      </c>
      <c r="P26">
        <v>400</v>
      </c>
      <c r="Q26" s="8">
        <v>0</v>
      </c>
      <c r="R26" s="8">
        <f t="shared" si="44"/>
        <v>2939.91</v>
      </c>
      <c r="S26" s="8"/>
      <c r="T26" s="8"/>
      <c r="U26" s="8">
        <f t="shared" si="10"/>
        <v>43.5988653</v>
      </c>
      <c r="V26" s="8">
        <f t="shared" si="11"/>
        <v>323.2855861995</v>
      </c>
      <c r="W26" s="8">
        <f t="shared" si="12"/>
        <v>22.245</v>
      </c>
      <c r="X26" s="8">
        <f t="shared" si="13"/>
        <v>19.745</v>
      </c>
      <c r="Y26" s="8">
        <f t="shared" si="14"/>
        <v>0.15</v>
      </c>
      <c r="Z26" s="8">
        <f t="shared" si="15"/>
        <v>546.9</v>
      </c>
      <c r="AA26" s="8">
        <f t="shared" si="16"/>
        <v>7093.485160713111</v>
      </c>
      <c r="AB26" s="8">
        <f t="shared" si="17"/>
        <v>18.194720495158833</v>
      </c>
      <c r="AC26" s="8"/>
      <c r="AD26" s="8">
        <f t="shared" si="18"/>
        <v>170.40949346512264</v>
      </c>
      <c r="AE26" s="8">
        <f t="shared" si="19"/>
        <v>88.98</v>
      </c>
      <c r="AF26" s="8">
        <f>((8*6)*2)+AB26</f>
        <v>114.19472049515883</v>
      </c>
      <c r="AG26" s="8">
        <f t="shared" si="20"/>
        <v>120.24</v>
      </c>
      <c r="AH26" s="8">
        <f t="shared" si="21"/>
        <v>3.8299498275468364</v>
      </c>
      <c r="AI26" s="8">
        <f t="shared" si="22"/>
        <v>0.7595791177555108</v>
      </c>
      <c r="AJ26" s="8">
        <f t="shared" si="23"/>
        <v>0.03846944126389014</v>
      </c>
      <c r="AK26" s="8">
        <f t="shared" si="24"/>
        <v>3.7098094852153523</v>
      </c>
      <c r="AL26" s="8">
        <f t="shared" si="25"/>
        <v>1.1360632897674843</v>
      </c>
      <c r="AM26" s="8">
        <f t="shared" si="26"/>
        <v>1.1975158539230373</v>
      </c>
      <c r="AN26" s="8">
        <f t="shared" si="27"/>
        <v>3.71</v>
      </c>
      <c r="AO26" s="8">
        <f t="shared" si="28"/>
        <v>1.875</v>
      </c>
      <c r="AP26" s="8">
        <f t="shared" si="29"/>
        <v>10.3125</v>
      </c>
      <c r="AQ26" s="8">
        <f t="shared" si="30"/>
        <v>1320.4632000000001</v>
      </c>
      <c r="AR26" s="8">
        <f t="shared" si="31"/>
        <v>105200.42560325697</v>
      </c>
    </row>
    <row r="27" spans="1:44" ht="12.75">
      <c r="A27">
        <v>8</v>
      </c>
      <c r="B27">
        <v>29.66</v>
      </c>
      <c r="C27">
        <v>10.38</v>
      </c>
      <c r="D27" s="1">
        <f t="shared" si="45"/>
        <v>1141.8000000000002</v>
      </c>
      <c r="E27" s="1">
        <f t="shared" si="35"/>
        <v>622.8000000000001</v>
      </c>
      <c r="F27" s="1">
        <f t="shared" si="33"/>
        <v>363.3</v>
      </c>
      <c r="G27" s="1">
        <f t="shared" si="34"/>
        <v>2548.2900000000004</v>
      </c>
      <c r="H27" s="1">
        <f t="shared" si="36"/>
        <v>254.82900000000006</v>
      </c>
      <c r="I27" s="1">
        <f t="shared" si="37"/>
        <v>509.65800000000013</v>
      </c>
      <c r="J27" s="1">
        <f t="shared" si="38"/>
        <v>28</v>
      </c>
      <c r="K27" s="1">
        <f t="shared" si="39"/>
        <v>36</v>
      </c>
      <c r="L27" s="1">
        <f t="shared" si="40"/>
        <v>14</v>
      </c>
      <c r="M27" s="1">
        <f t="shared" si="41"/>
        <v>18</v>
      </c>
      <c r="N27" s="8">
        <f t="shared" si="42"/>
        <v>408.3333333333334</v>
      </c>
      <c r="O27" s="8">
        <f t="shared" si="43"/>
        <v>675</v>
      </c>
      <c r="P27">
        <v>400</v>
      </c>
      <c r="Q27" s="8">
        <v>0</v>
      </c>
      <c r="R27" s="8">
        <f t="shared" si="44"/>
        <v>3028.2900000000004</v>
      </c>
      <c r="S27" s="8"/>
      <c r="T27" s="8"/>
      <c r="U27" s="8">
        <f t="shared" si="10"/>
        <v>44.90954070000001</v>
      </c>
      <c r="V27" s="8">
        <f t="shared" si="11"/>
        <v>333.0042442905001</v>
      </c>
      <c r="W27" s="8">
        <f>(B27/16)*12</f>
        <v>22.245</v>
      </c>
      <c r="X27" s="8">
        <f t="shared" si="13"/>
        <v>19.745</v>
      </c>
      <c r="Y27" s="8">
        <f t="shared" si="14"/>
        <v>0.15</v>
      </c>
      <c r="Z27" s="8">
        <f t="shared" si="15"/>
        <v>546.9</v>
      </c>
      <c r="AA27" s="8">
        <f t="shared" si="16"/>
        <v>7306.730538464072</v>
      </c>
      <c r="AB27" s="8">
        <f t="shared" si="17"/>
        <v>18.741692816543548</v>
      </c>
      <c r="AC27" s="8"/>
      <c r="AD27" s="8">
        <f t="shared" si="18"/>
        <v>175.53236832606993</v>
      </c>
      <c r="AE27" s="8">
        <f t="shared" si="19"/>
        <v>88.98</v>
      </c>
      <c r="AF27" s="8">
        <f>((8*6))+AB27</f>
        <v>66.74169281654355</v>
      </c>
      <c r="AG27" s="8">
        <f t="shared" si="20"/>
        <v>124.56</v>
      </c>
      <c r="AH27" s="8">
        <f t="shared" si="21"/>
        <v>3.9450863336843</v>
      </c>
      <c r="AI27" s="8">
        <f t="shared" si="22"/>
        <v>1.0431136469042634</v>
      </c>
      <c r="AJ27" s="8">
        <f t="shared" si="23"/>
        <v>0.052829255350937625</v>
      </c>
      <c r="AK27" s="8">
        <f t="shared" si="24"/>
        <v>3.849515536631129</v>
      </c>
      <c r="AL27" s="8">
        <f t="shared" si="25"/>
        <v>1.170215788840466</v>
      </c>
      <c r="AM27" s="8">
        <f t="shared" si="26"/>
        <v>1.233515748875508</v>
      </c>
      <c r="AN27" s="8">
        <f t="shared" si="27"/>
        <v>3.85</v>
      </c>
      <c r="AO27" s="8">
        <f t="shared" si="28"/>
        <v>1.875</v>
      </c>
      <c r="AP27" s="8">
        <f t="shared" si="29"/>
        <v>10.3125</v>
      </c>
      <c r="AQ27" s="8">
        <f t="shared" si="30"/>
        <v>1370.2920000000001</v>
      </c>
      <c r="AR27" s="8">
        <f t="shared" si="31"/>
        <v>108362.97602650661</v>
      </c>
    </row>
    <row r="28" spans="1:44" ht="12.75">
      <c r="A28">
        <v>9</v>
      </c>
      <c r="B28">
        <v>29.66</v>
      </c>
      <c r="C28">
        <v>9.69</v>
      </c>
      <c r="D28" s="1">
        <f t="shared" si="45"/>
        <v>1065.8999999999999</v>
      </c>
      <c r="E28" s="1">
        <f t="shared" si="35"/>
        <v>581.4</v>
      </c>
      <c r="F28" s="1">
        <f t="shared" si="33"/>
        <v>339.15</v>
      </c>
      <c r="G28" s="1">
        <f t="shared" si="34"/>
        <v>2378.8949999999995</v>
      </c>
      <c r="H28" s="1">
        <f t="shared" si="36"/>
        <v>237.88949999999997</v>
      </c>
      <c r="I28" s="1">
        <f t="shared" si="37"/>
        <v>475.77899999999994</v>
      </c>
      <c r="J28" s="1">
        <f t="shared" si="38"/>
        <v>28</v>
      </c>
      <c r="K28" s="1">
        <f t="shared" si="39"/>
        <v>36</v>
      </c>
      <c r="L28" s="1">
        <f t="shared" si="40"/>
        <v>14</v>
      </c>
      <c r="M28" s="1">
        <f t="shared" si="41"/>
        <v>18</v>
      </c>
      <c r="N28" s="8">
        <f t="shared" si="42"/>
        <v>408.3333333333334</v>
      </c>
      <c r="O28" s="8">
        <f t="shared" si="43"/>
        <v>675</v>
      </c>
      <c r="P28">
        <v>400</v>
      </c>
      <c r="Q28" s="8">
        <v>0</v>
      </c>
      <c r="R28" s="8">
        <f t="shared" si="44"/>
        <v>2858.8949999999995</v>
      </c>
      <c r="S28" s="8">
        <v>118</v>
      </c>
      <c r="T28" s="8">
        <v>93.79</v>
      </c>
      <c r="U28" s="8">
        <f>MAX(S28:T28)</f>
        <v>118</v>
      </c>
      <c r="V28" s="8">
        <v>1034.67</v>
      </c>
      <c r="W28" s="8">
        <f t="shared" si="12"/>
        <v>22.245</v>
      </c>
      <c r="X28" s="8">
        <f t="shared" si="13"/>
        <v>19.745</v>
      </c>
      <c r="Y28" s="8">
        <f t="shared" si="14"/>
        <v>0.15</v>
      </c>
      <c r="Z28" s="8">
        <f t="shared" si="15"/>
        <v>546.9</v>
      </c>
      <c r="AA28" s="8">
        <f t="shared" si="16"/>
        <v>22702.578167855183</v>
      </c>
      <c r="AB28" s="8">
        <f>(AA28/2.25)^(1/3)</f>
        <v>21.60881180626922</v>
      </c>
      <c r="AC28" s="8">
        <f>AB28*1.5</f>
        <v>32.41321770940383</v>
      </c>
      <c r="AD28" s="8">
        <f t="shared" si="18"/>
        <v>202.38544885969975</v>
      </c>
      <c r="AE28" s="8">
        <f t="shared" si="19"/>
        <v>88.98</v>
      </c>
      <c r="AF28" s="8">
        <f>((8*6)*2)+AB28</f>
        <v>117.60881180626922</v>
      </c>
      <c r="AG28" s="8">
        <f t="shared" si="20"/>
        <v>116.28</v>
      </c>
      <c r="AH28" s="8">
        <f t="shared" si="21"/>
        <v>12.257689044084001</v>
      </c>
      <c r="AI28" s="8">
        <f t="shared" si="22"/>
        <v>2.4310200000166597</v>
      </c>
      <c r="AJ28" s="8">
        <f t="shared" si="23"/>
        <v>0.12312079007428005</v>
      </c>
      <c r="AK28" s="8">
        <f t="shared" si="24"/>
        <v>12.408688348506624</v>
      </c>
      <c r="AL28" s="8">
        <f t="shared" si="25"/>
        <v>1.349236325731332</v>
      </c>
      <c r="AM28" s="8">
        <f t="shared" si="26"/>
        <v>1.4222199637159525</v>
      </c>
      <c r="AN28" s="8">
        <f t="shared" si="27"/>
        <v>12.41</v>
      </c>
      <c r="AO28" s="8">
        <f t="shared" si="28"/>
        <v>1.875</v>
      </c>
      <c r="AP28" s="8">
        <f t="shared" si="29"/>
        <v>10.3125</v>
      </c>
      <c r="AQ28" s="8">
        <f t="shared" si="30"/>
        <v>4416.9672</v>
      </c>
      <c r="AR28" s="8">
        <f t="shared" si="31"/>
        <v>124940.42980242886</v>
      </c>
    </row>
    <row r="29" spans="1:44" ht="12.75">
      <c r="A29">
        <v>10</v>
      </c>
      <c r="B29">
        <v>29.66</v>
      </c>
      <c r="C29">
        <v>8</v>
      </c>
      <c r="D29" s="1">
        <f t="shared" si="45"/>
        <v>880</v>
      </c>
      <c r="E29" s="1">
        <f t="shared" si="35"/>
        <v>480</v>
      </c>
      <c r="F29" s="1">
        <f t="shared" si="33"/>
        <v>280</v>
      </c>
      <c r="G29" s="1">
        <f t="shared" si="34"/>
        <v>1964</v>
      </c>
      <c r="H29" s="1">
        <f t="shared" si="36"/>
        <v>196.4</v>
      </c>
      <c r="I29" s="1">
        <f t="shared" si="37"/>
        <v>392.8</v>
      </c>
      <c r="J29" s="1">
        <f t="shared" si="38"/>
        <v>28</v>
      </c>
      <c r="K29" s="1">
        <f t="shared" si="39"/>
        <v>36</v>
      </c>
      <c r="L29" s="1">
        <f t="shared" si="40"/>
        <v>14</v>
      </c>
      <c r="M29" s="1">
        <f t="shared" si="41"/>
        <v>18</v>
      </c>
      <c r="N29" s="8">
        <f t="shared" si="42"/>
        <v>408.3333333333334</v>
      </c>
      <c r="O29" s="8">
        <f t="shared" si="43"/>
        <v>675</v>
      </c>
      <c r="P29">
        <v>400</v>
      </c>
      <c r="Q29" s="8">
        <v>0</v>
      </c>
      <c r="R29" s="8">
        <f t="shared" si="44"/>
        <v>2444</v>
      </c>
      <c r="S29" s="8">
        <v>97.99</v>
      </c>
      <c r="T29" s="8">
        <v>78.18</v>
      </c>
      <c r="U29" s="8">
        <f>MAX(S29:T29)</f>
        <v>97.99</v>
      </c>
      <c r="V29" s="8">
        <f>857.42</f>
        <v>857.42</v>
      </c>
      <c r="W29" s="8">
        <f t="shared" si="12"/>
        <v>22.245</v>
      </c>
      <c r="X29" s="8">
        <f t="shared" si="13"/>
        <v>19.745</v>
      </c>
      <c r="Y29" s="8">
        <f t="shared" si="14"/>
        <v>0.15</v>
      </c>
      <c r="Z29" s="8">
        <f t="shared" si="15"/>
        <v>546.9</v>
      </c>
      <c r="AA29" s="8">
        <f t="shared" si="16"/>
        <v>18813.38453099287</v>
      </c>
      <c r="AB29" s="8">
        <f>(AA29/2.25)^(1/3)</f>
        <v>20.29682643975456</v>
      </c>
      <c r="AC29" s="8">
        <f>AB29*1.5</f>
        <v>30.44523965963184</v>
      </c>
      <c r="AD29" s="8">
        <f t="shared" si="18"/>
        <v>190.09755678678204</v>
      </c>
      <c r="AE29" s="8">
        <f t="shared" si="19"/>
        <v>88.98</v>
      </c>
      <c r="AF29" s="8">
        <f>((8*6))+AB29</f>
        <v>68.29682643975457</v>
      </c>
      <c r="AG29" s="8">
        <f t="shared" si="20"/>
        <v>96</v>
      </c>
      <c r="AH29" s="8">
        <f t="shared" si="21"/>
        <v>10.1578162507645</v>
      </c>
      <c r="AI29" s="8">
        <f t="shared" si="22"/>
        <v>2.62465461779498</v>
      </c>
      <c r="AJ29" s="8">
        <f t="shared" si="23"/>
        <v>0.13292755724461788</v>
      </c>
      <c r="AK29" s="8">
        <f t="shared" si="24"/>
        <v>10.336958778080552</v>
      </c>
      <c r="AL29" s="8">
        <f t="shared" si="25"/>
        <v>1.2673170452452136</v>
      </c>
      <c r="AM29" s="8">
        <f t="shared" si="26"/>
        <v>1.3358694601765129</v>
      </c>
      <c r="AN29" s="8">
        <f t="shared" si="27"/>
        <v>10.34</v>
      </c>
      <c r="AO29" s="8">
        <f t="shared" si="28"/>
        <v>1.875</v>
      </c>
      <c r="AP29" s="8">
        <f t="shared" si="29"/>
        <v>10.3125</v>
      </c>
      <c r="AQ29" s="8">
        <f t="shared" si="30"/>
        <v>3680.2128000000002</v>
      </c>
      <c r="AR29" s="8">
        <f t="shared" si="31"/>
        <v>117354.63484727628</v>
      </c>
    </row>
    <row r="30" spans="1:44" ht="12.75">
      <c r="A30">
        <v>11</v>
      </c>
      <c r="B30">
        <v>29.66</v>
      </c>
      <c r="C30">
        <v>8</v>
      </c>
      <c r="D30" s="1">
        <f t="shared" si="45"/>
        <v>880</v>
      </c>
      <c r="E30" s="1">
        <f t="shared" si="35"/>
        <v>480</v>
      </c>
      <c r="F30" s="1">
        <f t="shared" si="33"/>
        <v>280</v>
      </c>
      <c r="G30" s="1">
        <f t="shared" si="34"/>
        <v>1964</v>
      </c>
      <c r="H30" s="1">
        <f t="shared" si="36"/>
        <v>196.4</v>
      </c>
      <c r="I30" s="1">
        <f t="shared" si="37"/>
        <v>392.8</v>
      </c>
      <c r="J30" s="1">
        <f t="shared" si="38"/>
        <v>28</v>
      </c>
      <c r="K30" s="1">
        <f t="shared" si="39"/>
        <v>36</v>
      </c>
      <c r="L30" s="1">
        <f t="shared" si="40"/>
        <v>14</v>
      </c>
      <c r="M30" s="1">
        <f t="shared" si="41"/>
        <v>18</v>
      </c>
      <c r="N30" s="8">
        <f t="shared" si="42"/>
        <v>408.3333333333334</v>
      </c>
      <c r="O30" s="8">
        <f t="shared" si="43"/>
        <v>675</v>
      </c>
      <c r="P30">
        <v>400</v>
      </c>
      <c r="Q30" s="8">
        <v>0</v>
      </c>
      <c r="R30" s="8">
        <f t="shared" si="44"/>
        <v>2444</v>
      </c>
      <c r="S30" s="8"/>
      <c r="T30" s="8"/>
      <c r="U30" s="8">
        <f t="shared" si="10"/>
        <v>36.244519999999994</v>
      </c>
      <c r="V30" s="8">
        <f t="shared" si="11"/>
        <v>268.75311579999993</v>
      </c>
      <c r="W30" s="8">
        <f t="shared" si="12"/>
        <v>22.245</v>
      </c>
      <c r="X30" s="8">
        <f t="shared" si="13"/>
        <v>19.745</v>
      </c>
      <c r="Y30" s="8">
        <f t="shared" si="14"/>
        <v>0.15</v>
      </c>
      <c r="Z30" s="8">
        <f t="shared" si="15"/>
        <v>546.9</v>
      </c>
      <c r="AA30" s="8">
        <f t="shared" si="16"/>
        <v>5896.941652221612</v>
      </c>
      <c r="AB30" s="8">
        <f t="shared" si="17"/>
        <v>15.125598025166815</v>
      </c>
      <c r="AC30" s="8"/>
      <c r="AD30" s="8">
        <f t="shared" si="18"/>
        <v>141.66447341202945</v>
      </c>
      <c r="AE30" s="8">
        <f t="shared" si="19"/>
        <v>88.98</v>
      </c>
      <c r="AF30" s="8">
        <f>((8*6)*2)+AB30</f>
        <v>111.12559802516681</v>
      </c>
      <c r="AG30" s="8">
        <f t="shared" si="20"/>
        <v>96</v>
      </c>
      <c r="AH30" s="8">
        <f t="shared" si="21"/>
        <v>3.183906098664403</v>
      </c>
      <c r="AI30" s="8">
        <f t="shared" si="22"/>
        <v>0.6314517668209121</v>
      </c>
      <c r="AJ30" s="8">
        <f t="shared" si="23"/>
        <v>0.03198033764603252</v>
      </c>
      <c r="AK30" s="8">
        <f t="shared" si="24"/>
        <v>3.0738623719981506</v>
      </c>
      <c r="AL30" s="8">
        <f t="shared" si="25"/>
        <v>0.9444298227468632</v>
      </c>
      <c r="AM30" s="8">
        <f t="shared" si="26"/>
        <v>0.9955164433563959</v>
      </c>
      <c r="AN30" s="8">
        <f t="shared" si="27"/>
        <v>3.07</v>
      </c>
      <c r="AO30" s="8">
        <f t="shared" si="28"/>
        <v>1.875</v>
      </c>
      <c r="AP30" s="8">
        <f t="shared" si="29"/>
        <v>10.3125</v>
      </c>
      <c r="AQ30" s="8">
        <f t="shared" si="30"/>
        <v>1092.6744</v>
      </c>
      <c r="AR30" s="8">
        <f t="shared" si="31"/>
        <v>87455.00378391173</v>
      </c>
    </row>
    <row r="31" spans="1:44" ht="12.75">
      <c r="A31">
        <v>22</v>
      </c>
      <c r="B31">
        <v>22.5</v>
      </c>
      <c r="C31">
        <v>6.46</v>
      </c>
      <c r="D31" s="1">
        <f t="shared" si="45"/>
        <v>710.6</v>
      </c>
      <c r="E31" s="1">
        <f t="shared" si="35"/>
        <v>387.6</v>
      </c>
      <c r="F31" s="1">
        <f t="shared" si="33"/>
        <v>226.1</v>
      </c>
      <c r="G31" s="1">
        <f t="shared" si="34"/>
        <v>1585.93</v>
      </c>
      <c r="H31" s="1">
        <f t="shared" si="36"/>
        <v>158.59300000000002</v>
      </c>
      <c r="I31" s="1">
        <f t="shared" si="37"/>
        <v>317.18600000000004</v>
      </c>
      <c r="J31" s="1">
        <f t="shared" si="38"/>
        <v>22</v>
      </c>
      <c r="K31" s="1">
        <f t="shared" si="39"/>
        <v>27</v>
      </c>
      <c r="L31" s="1">
        <f t="shared" si="40"/>
        <v>11</v>
      </c>
      <c r="M31" s="1">
        <f t="shared" si="41"/>
        <v>14</v>
      </c>
      <c r="N31" s="8">
        <f t="shared" si="42"/>
        <v>252.08333333333331</v>
      </c>
      <c r="O31" s="8">
        <f t="shared" si="43"/>
        <v>393.75</v>
      </c>
      <c r="P31">
        <v>300</v>
      </c>
      <c r="Q31" s="8">
        <v>0</v>
      </c>
      <c r="R31" s="8">
        <f t="shared" si="44"/>
        <v>1945.93</v>
      </c>
      <c r="S31" s="8"/>
      <c r="T31" s="8"/>
      <c r="U31" s="8">
        <f t="shared" si="10"/>
        <v>21.8917125</v>
      </c>
      <c r="V31" s="8">
        <f t="shared" si="11"/>
        <v>123.14088281250001</v>
      </c>
      <c r="W31" s="8">
        <f t="shared" si="12"/>
        <v>16.875</v>
      </c>
      <c r="X31" s="8">
        <f t="shared" si="13"/>
        <v>14.375</v>
      </c>
      <c r="Y31" s="8">
        <f t="shared" si="14"/>
        <v>0.15</v>
      </c>
      <c r="Z31" s="8">
        <f t="shared" si="15"/>
        <v>546.9</v>
      </c>
      <c r="AA31" s="8">
        <f t="shared" si="16"/>
        <v>2701.939282775645</v>
      </c>
      <c r="AB31" s="8">
        <f t="shared" si="17"/>
        <v>13.07554737978384</v>
      </c>
      <c r="AC31" s="8"/>
      <c r="AD31" s="8">
        <f t="shared" si="18"/>
        <v>89.15772764924655</v>
      </c>
      <c r="AE31" s="8">
        <f t="shared" si="19"/>
        <v>67.5</v>
      </c>
      <c r="AF31" s="8">
        <f>((8*6))+AB31</f>
        <v>61.07554737978384</v>
      </c>
      <c r="AG31" s="8">
        <f t="shared" si="20"/>
        <v>77.52</v>
      </c>
      <c r="AH31" s="8">
        <f t="shared" si="21"/>
        <v>2.0038180778032038</v>
      </c>
      <c r="AI31" s="8">
        <f t="shared" si="22"/>
        <v>0.5789795917956768</v>
      </c>
      <c r="AJ31" s="8">
        <f t="shared" si="23"/>
        <v>0.04027684116839491</v>
      </c>
      <c r="AK31" s="8">
        <f t="shared" si="24"/>
        <v>1.9427511129153507</v>
      </c>
      <c r="AL31" s="8">
        <f t="shared" si="25"/>
        <v>0.5943848509949772</v>
      </c>
      <c r="AM31" s="8">
        <f t="shared" si="26"/>
        <v>0.626536645281309</v>
      </c>
      <c r="AN31" s="8">
        <f t="shared" si="27"/>
        <v>1.94</v>
      </c>
      <c r="AO31" s="8">
        <f t="shared" si="28"/>
        <v>1.875</v>
      </c>
      <c r="AP31" s="8">
        <f t="shared" si="29"/>
        <v>10.3125</v>
      </c>
      <c r="AQ31" s="8">
        <f t="shared" si="30"/>
        <v>523.8</v>
      </c>
      <c r="AR31" s="8">
        <f t="shared" si="31"/>
        <v>38393.0759938903</v>
      </c>
    </row>
    <row r="32" spans="1:44" ht="12.75">
      <c r="A32" s="6" t="s">
        <v>125</v>
      </c>
      <c r="B32">
        <v>22.5</v>
      </c>
      <c r="C32">
        <v>7.07</v>
      </c>
      <c r="D32" s="1">
        <f t="shared" si="45"/>
        <v>777.7</v>
      </c>
      <c r="E32" s="1">
        <f t="shared" si="35"/>
        <v>424.20000000000005</v>
      </c>
      <c r="F32" s="1">
        <f t="shared" si="33"/>
        <v>247.45000000000002</v>
      </c>
      <c r="G32" s="1">
        <f t="shared" si="34"/>
        <v>1735.685</v>
      </c>
      <c r="H32" s="1">
        <f t="shared" si="36"/>
        <v>173.5685</v>
      </c>
      <c r="I32" s="1">
        <f t="shared" si="37"/>
        <v>347.137</v>
      </c>
      <c r="J32" s="1">
        <f t="shared" si="38"/>
        <v>22</v>
      </c>
      <c r="K32" s="1">
        <f t="shared" si="39"/>
        <v>27</v>
      </c>
      <c r="L32" s="1">
        <f t="shared" si="40"/>
        <v>11</v>
      </c>
      <c r="M32" s="1">
        <f t="shared" si="41"/>
        <v>14</v>
      </c>
      <c r="N32" s="8">
        <f t="shared" si="42"/>
        <v>252.08333333333331</v>
      </c>
      <c r="O32" s="8">
        <f t="shared" si="43"/>
        <v>393.75</v>
      </c>
      <c r="P32">
        <v>300</v>
      </c>
      <c r="Q32" s="8">
        <v>0</v>
      </c>
      <c r="R32" s="8">
        <f t="shared" si="44"/>
        <v>2095.685</v>
      </c>
      <c r="S32" s="8"/>
      <c r="T32" s="8"/>
      <c r="U32" s="8">
        <f t="shared" si="10"/>
        <v>23.57645625</v>
      </c>
      <c r="V32" s="8">
        <f t="shared" si="11"/>
        <v>132.61756640625</v>
      </c>
      <c r="W32" s="8">
        <f t="shared" si="12"/>
        <v>16.875</v>
      </c>
      <c r="X32" s="8">
        <f t="shared" si="13"/>
        <v>14.375</v>
      </c>
      <c r="Y32" s="8">
        <f t="shared" si="14"/>
        <v>0.15</v>
      </c>
      <c r="Z32" s="8">
        <f t="shared" si="15"/>
        <v>546.9</v>
      </c>
      <c r="AA32" s="8">
        <f t="shared" si="16"/>
        <v>2909.8752914152496</v>
      </c>
      <c r="AB32" s="8">
        <f t="shared" si="17"/>
        <v>14.081816155053003</v>
      </c>
      <c r="AC32" s="8"/>
      <c r="AD32" s="8">
        <f t="shared" si="18"/>
        <v>96.01913350871368</v>
      </c>
      <c r="AE32" s="8">
        <f t="shared" si="19"/>
        <v>67.5</v>
      </c>
      <c r="AF32" s="8">
        <f>((8*6)*2)+AB32</f>
        <v>110.081816155053</v>
      </c>
      <c r="AG32" s="8">
        <f t="shared" si="20"/>
        <v>84.84</v>
      </c>
      <c r="AH32" s="8">
        <f t="shared" si="21"/>
        <v>2.158028032036613</v>
      </c>
      <c r="AI32" s="8">
        <f t="shared" si="22"/>
        <v>0.5641903351729708</v>
      </c>
      <c r="AJ32" s="8">
        <f t="shared" si="23"/>
        <v>0.039248023316380574</v>
      </c>
      <c r="AK32" s="8">
        <f t="shared" si="24"/>
        <v>2.091163650287202</v>
      </c>
      <c r="AL32" s="8">
        <f t="shared" si="25"/>
        <v>0.640127556724758</v>
      </c>
      <c r="AM32" s="8">
        <f t="shared" si="26"/>
        <v>0.6747536907629563</v>
      </c>
      <c r="AN32" s="8">
        <f t="shared" si="27"/>
        <v>2.09</v>
      </c>
      <c r="AO32" s="8">
        <f t="shared" si="28"/>
        <v>1.875</v>
      </c>
      <c r="AP32" s="8">
        <f t="shared" si="29"/>
        <v>10.3125</v>
      </c>
      <c r="AQ32" s="8">
        <f t="shared" si="30"/>
        <v>564.3</v>
      </c>
      <c r="AR32" s="8">
        <f t="shared" si="31"/>
        <v>41347.73268527438</v>
      </c>
    </row>
    <row r="33" spans="1:44" ht="12.75">
      <c r="A33" s="6" t="s">
        <v>126</v>
      </c>
      <c r="B33">
        <v>22.5</v>
      </c>
      <c r="C33">
        <v>7.07</v>
      </c>
      <c r="D33" s="1">
        <f t="shared" si="45"/>
        <v>777.7</v>
      </c>
      <c r="E33" s="1">
        <f>C33*60</f>
        <v>424.20000000000005</v>
      </c>
      <c r="F33" s="1">
        <f>C33*35</f>
        <v>247.45000000000002</v>
      </c>
      <c r="G33" s="1">
        <f>(1.2*D33)+(1.6*E33)+(0.5*F33)</f>
        <v>1735.685</v>
      </c>
      <c r="H33" s="1">
        <f t="shared" si="36"/>
        <v>173.5685</v>
      </c>
      <c r="I33" s="1">
        <f>0.2*MAX(G33:G33)</f>
        <v>347.137</v>
      </c>
      <c r="J33" s="1">
        <f>ROUND(((0.08*B33)*12),0)</f>
        <v>22</v>
      </c>
      <c r="K33" s="1">
        <f>ROUND(((0.1*B33)*12),0)</f>
        <v>27</v>
      </c>
      <c r="L33" s="1">
        <f>ROUND((0.5*J33),0)</f>
        <v>11</v>
      </c>
      <c r="M33" s="1">
        <f>ROUND((0.5*K33),0)</f>
        <v>14</v>
      </c>
      <c r="N33" s="8">
        <f>(L33/12)*(J33/12)*150</f>
        <v>252.08333333333331</v>
      </c>
      <c r="O33" s="8">
        <f>(M33/12)*(K33/12)*150</f>
        <v>393.75</v>
      </c>
      <c r="P33">
        <v>300</v>
      </c>
      <c r="Q33" s="8">
        <v>0</v>
      </c>
      <c r="R33" s="8">
        <f>(1.2*P33)+G33</f>
        <v>2095.685</v>
      </c>
      <c r="S33" s="8"/>
      <c r="T33" s="8"/>
      <c r="U33" s="8">
        <f>(R33*B33)/2000</f>
        <v>23.57645625</v>
      </c>
      <c r="V33" s="8">
        <v>611</v>
      </c>
      <c r="W33" s="8">
        <f>(B33/16)*12</f>
        <v>16.875</v>
      </c>
      <c r="X33" s="8">
        <f t="shared" si="13"/>
        <v>14.375</v>
      </c>
      <c r="Y33" s="8">
        <f t="shared" si="14"/>
        <v>0.15</v>
      </c>
      <c r="Z33" s="8">
        <f t="shared" si="15"/>
        <v>546.9</v>
      </c>
      <c r="AA33" s="8">
        <f>(12000*V33)/Z33</f>
        <v>13406.472846955568</v>
      </c>
      <c r="AB33" s="8">
        <f>AA33/(X33^2)</f>
        <v>64.87820508167535</v>
      </c>
      <c r="AC33" s="8"/>
      <c r="AD33" s="8">
        <f>0.75*((((2*(4000^0.5)*AB33*X33)+(8*(4000^0.5)*AB33*X33)))/1000)</f>
        <v>442.3825000234599</v>
      </c>
      <c r="AE33" s="8">
        <f>(B33/4)*12</f>
        <v>67.5</v>
      </c>
      <c r="AF33" s="8">
        <f>((8*6)*2)+AB33</f>
        <v>160.87820508167533</v>
      </c>
      <c r="AG33" s="8">
        <f>C33*12</f>
        <v>84.84</v>
      </c>
      <c r="AH33" s="8">
        <f>(V33*12000)/(0.9*60000*0.95*X33)</f>
        <v>9.942537503178235</v>
      </c>
      <c r="AI33" s="8">
        <f>(AH33*60000)/(0.85*4000*(MIN(AE33:AG33)))</f>
        <v>2.599356209981238</v>
      </c>
      <c r="AJ33" s="8">
        <f>AI33/X33</f>
        <v>0.18082477982478176</v>
      </c>
      <c r="AK33" s="8">
        <f>(V33*12000)/(0.9*60000*(X33-(AI33/2)))</f>
        <v>10.384278021453664</v>
      </c>
      <c r="AL33" s="8">
        <f>(3*(4000^0.5)*AB33*X33)/60000</f>
        <v>2.949216666823066</v>
      </c>
      <c r="AM33" s="8">
        <f>(200*AB33*X33)/60000</f>
        <v>3.108747326830277</v>
      </c>
      <c r="AN33" s="8">
        <f>ROUND(MAX(AK33:AM33),2)</f>
        <v>10.38</v>
      </c>
      <c r="AO33" s="8">
        <f t="shared" si="28"/>
        <v>1.875</v>
      </c>
      <c r="AP33" s="8">
        <f t="shared" si="29"/>
        <v>10.3125</v>
      </c>
      <c r="AQ33" s="8">
        <f>AN33*(B33*12)</f>
        <v>2802.6000000000004</v>
      </c>
      <c r="AR33" s="8">
        <f>(W33-6)*AB33*(12*B33)</f>
        <v>190498.62967106924</v>
      </c>
    </row>
    <row r="34" spans="1:44" ht="12.75">
      <c r="A34">
        <v>24</v>
      </c>
      <c r="B34">
        <v>22.5</v>
      </c>
      <c r="C34">
        <v>8</v>
      </c>
      <c r="D34" s="1">
        <f t="shared" si="45"/>
        <v>880</v>
      </c>
      <c r="E34" s="1">
        <f t="shared" si="35"/>
        <v>480</v>
      </c>
      <c r="F34" s="1">
        <f t="shared" si="33"/>
        <v>280</v>
      </c>
      <c r="G34" s="1">
        <f t="shared" si="34"/>
        <v>1964</v>
      </c>
      <c r="H34" s="1">
        <f t="shared" si="36"/>
        <v>196.4</v>
      </c>
      <c r="I34" s="1">
        <f t="shared" si="37"/>
        <v>392.8</v>
      </c>
      <c r="J34" s="1">
        <f t="shared" si="38"/>
        <v>22</v>
      </c>
      <c r="K34" s="1">
        <f t="shared" si="39"/>
        <v>27</v>
      </c>
      <c r="L34" s="1">
        <f t="shared" si="40"/>
        <v>11</v>
      </c>
      <c r="M34" s="1">
        <f t="shared" si="41"/>
        <v>14</v>
      </c>
      <c r="N34" s="8">
        <f t="shared" si="42"/>
        <v>252.08333333333331</v>
      </c>
      <c r="O34" s="8">
        <f t="shared" si="43"/>
        <v>393.75</v>
      </c>
      <c r="P34">
        <v>300</v>
      </c>
      <c r="Q34" s="8">
        <v>0</v>
      </c>
      <c r="R34" s="8">
        <f t="shared" si="44"/>
        <v>2324</v>
      </c>
      <c r="S34" s="8"/>
      <c r="T34" s="8"/>
      <c r="U34" s="8">
        <f t="shared" si="10"/>
        <v>26.145</v>
      </c>
      <c r="V34" s="8">
        <f t="shared" si="11"/>
        <v>147.065625</v>
      </c>
      <c r="W34" s="8">
        <f t="shared" si="12"/>
        <v>16.875</v>
      </c>
      <c r="X34" s="8">
        <f t="shared" si="13"/>
        <v>14.375</v>
      </c>
      <c r="Y34" s="8">
        <f t="shared" si="14"/>
        <v>0.15</v>
      </c>
      <c r="Z34" s="8">
        <f t="shared" si="15"/>
        <v>546.9</v>
      </c>
      <c r="AA34" s="8">
        <f t="shared" si="16"/>
        <v>3226.8924849149757</v>
      </c>
      <c r="AB34" s="8">
        <f t="shared" si="17"/>
        <v>15.615963632102718</v>
      </c>
      <c r="AC34" s="8"/>
      <c r="AD34" s="8">
        <f t="shared" si="18"/>
        <v>106.47996539281937</v>
      </c>
      <c r="AE34" s="8">
        <f t="shared" si="19"/>
        <v>67.5</v>
      </c>
      <c r="AF34" s="8">
        <f>((8*6))+AB34</f>
        <v>63.61596363210272</v>
      </c>
      <c r="AG34" s="8">
        <f t="shared" si="20"/>
        <v>96</v>
      </c>
      <c r="AH34" s="8">
        <f t="shared" si="21"/>
        <v>2.393135011441648</v>
      </c>
      <c r="AI34" s="8">
        <f t="shared" si="22"/>
        <v>0.6638552952493034</v>
      </c>
      <c r="AJ34" s="8">
        <f t="shared" si="23"/>
        <v>0.046181237930386324</v>
      </c>
      <c r="AK34" s="8">
        <f t="shared" si="24"/>
        <v>2.327215097946288</v>
      </c>
      <c r="AL34" s="8">
        <f t="shared" si="25"/>
        <v>0.7098664359521291</v>
      </c>
      <c r="AM34" s="8">
        <f t="shared" si="26"/>
        <v>0.7482649240382552</v>
      </c>
      <c r="AN34" s="8">
        <f t="shared" si="27"/>
        <v>2.33</v>
      </c>
      <c r="AO34" s="8">
        <f t="shared" si="28"/>
        <v>1.875</v>
      </c>
      <c r="AP34" s="8">
        <f t="shared" si="29"/>
        <v>10.3125</v>
      </c>
      <c r="AQ34" s="8">
        <f t="shared" si="30"/>
        <v>629.1</v>
      </c>
      <c r="AR34" s="8">
        <f t="shared" si="31"/>
        <v>45852.37321476161</v>
      </c>
    </row>
    <row r="35" spans="1:44" ht="12.75">
      <c r="A35">
        <v>25</v>
      </c>
      <c r="B35">
        <v>22.5</v>
      </c>
      <c r="C35">
        <v>7.73</v>
      </c>
      <c r="D35" s="1">
        <f t="shared" si="45"/>
        <v>850.3000000000001</v>
      </c>
      <c r="E35" s="1">
        <f t="shared" si="35"/>
        <v>463.8</v>
      </c>
      <c r="F35" s="1">
        <f t="shared" si="33"/>
        <v>270.55</v>
      </c>
      <c r="G35" s="1">
        <f t="shared" si="34"/>
        <v>1897.7150000000001</v>
      </c>
      <c r="H35" s="1">
        <f t="shared" si="36"/>
        <v>189.77150000000003</v>
      </c>
      <c r="I35" s="1">
        <f t="shared" si="37"/>
        <v>379.54300000000006</v>
      </c>
      <c r="J35" s="1">
        <f t="shared" si="38"/>
        <v>22</v>
      </c>
      <c r="K35" s="1">
        <f t="shared" si="39"/>
        <v>27</v>
      </c>
      <c r="L35" s="1">
        <f t="shared" si="40"/>
        <v>11</v>
      </c>
      <c r="M35" s="1">
        <f t="shared" si="41"/>
        <v>14</v>
      </c>
      <c r="N35" s="8">
        <f t="shared" si="42"/>
        <v>252.08333333333331</v>
      </c>
      <c r="O35" s="8">
        <f t="shared" si="43"/>
        <v>393.75</v>
      </c>
      <c r="P35">
        <v>300</v>
      </c>
      <c r="Q35" s="8">
        <v>0</v>
      </c>
      <c r="R35" s="8">
        <f t="shared" si="44"/>
        <v>2257.715</v>
      </c>
      <c r="S35" s="8"/>
      <c r="T35" s="8"/>
      <c r="U35" s="8">
        <f t="shared" si="10"/>
        <v>25.399293750000002</v>
      </c>
      <c r="V35" s="8">
        <f t="shared" si="11"/>
        <v>142.87102734375</v>
      </c>
      <c r="W35" s="8">
        <f t="shared" si="12"/>
        <v>16.875</v>
      </c>
      <c r="X35" s="8">
        <f t="shared" si="13"/>
        <v>14.375</v>
      </c>
      <c r="Y35" s="8">
        <f t="shared" si="14"/>
        <v>0.15</v>
      </c>
      <c r="Z35" s="8">
        <f t="shared" si="15"/>
        <v>546.9</v>
      </c>
      <c r="AA35" s="8">
        <f t="shared" si="16"/>
        <v>3134.8552351892486</v>
      </c>
      <c r="AB35" s="8">
        <f t="shared" si="17"/>
        <v>15.17056597747538</v>
      </c>
      <c r="AC35" s="8"/>
      <c r="AD35" s="8">
        <f t="shared" si="18"/>
        <v>103.44294968453062</v>
      </c>
      <c r="AE35" s="8">
        <f t="shared" si="19"/>
        <v>67.5</v>
      </c>
      <c r="AF35" s="8">
        <f>((8*6)*2)+AB35</f>
        <v>111.17056597747538</v>
      </c>
      <c r="AG35" s="8">
        <f t="shared" si="20"/>
        <v>92.76</v>
      </c>
      <c r="AH35" s="8">
        <f t="shared" si="21"/>
        <v>2.324878146453089</v>
      </c>
      <c r="AI35" s="8">
        <f t="shared" si="22"/>
        <v>0.6078112801184548</v>
      </c>
      <c r="AJ35" s="8">
        <f t="shared" si="23"/>
        <v>0.04228252383432729</v>
      </c>
      <c r="AK35" s="8">
        <f t="shared" si="24"/>
        <v>2.2563360301162554</v>
      </c>
      <c r="AL35" s="8">
        <f t="shared" si="25"/>
        <v>0.6896196645635374</v>
      </c>
      <c r="AM35" s="8">
        <f t="shared" si="26"/>
        <v>0.726922953087362</v>
      </c>
      <c r="AN35" s="8">
        <f t="shared" si="27"/>
        <v>2.26</v>
      </c>
      <c r="AO35" s="8">
        <f t="shared" si="28"/>
        <v>1.875</v>
      </c>
      <c r="AP35" s="8">
        <f t="shared" si="29"/>
        <v>10.3125</v>
      </c>
      <c r="AQ35" s="8">
        <f t="shared" si="30"/>
        <v>610.1999999999999</v>
      </c>
      <c r="AR35" s="8">
        <f t="shared" si="31"/>
        <v>44544.57435136209</v>
      </c>
    </row>
    <row r="36" spans="1:44" ht="12.75">
      <c r="A36">
        <v>26</v>
      </c>
      <c r="B36">
        <v>22.5</v>
      </c>
      <c r="C36">
        <v>7.85</v>
      </c>
      <c r="D36" s="1">
        <f t="shared" si="45"/>
        <v>863.5</v>
      </c>
      <c r="E36" s="1">
        <f t="shared" si="35"/>
        <v>471</v>
      </c>
      <c r="F36" s="1">
        <f t="shared" si="33"/>
        <v>274.75</v>
      </c>
      <c r="G36" s="1">
        <f t="shared" si="34"/>
        <v>1927.1750000000002</v>
      </c>
      <c r="H36" s="1">
        <f t="shared" si="36"/>
        <v>192.71750000000003</v>
      </c>
      <c r="I36" s="1">
        <f t="shared" si="37"/>
        <v>385.43500000000006</v>
      </c>
      <c r="J36" s="1">
        <f t="shared" si="38"/>
        <v>22</v>
      </c>
      <c r="K36" s="1">
        <f t="shared" si="39"/>
        <v>27</v>
      </c>
      <c r="L36" s="1">
        <f t="shared" si="40"/>
        <v>11</v>
      </c>
      <c r="M36" s="1">
        <f t="shared" si="41"/>
        <v>14</v>
      </c>
      <c r="N36" s="8">
        <f t="shared" si="42"/>
        <v>252.08333333333331</v>
      </c>
      <c r="O36" s="8">
        <f t="shared" si="43"/>
        <v>393.75</v>
      </c>
      <c r="P36">
        <v>300</v>
      </c>
      <c r="Q36" s="8">
        <v>0</v>
      </c>
      <c r="R36" s="8">
        <f t="shared" si="44"/>
        <v>2287.175</v>
      </c>
      <c r="S36" s="8">
        <v>53.39</v>
      </c>
      <c r="T36" s="8">
        <v>34.14</v>
      </c>
      <c r="U36" s="8">
        <f>MAX(S36:T36)</f>
        <v>53.39</v>
      </c>
      <c r="V36" s="8">
        <v>299.06</v>
      </c>
      <c r="W36" s="8">
        <f t="shared" si="12"/>
        <v>16.875</v>
      </c>
      <c r="X36" s="8">
        <f t="shared" si="13"/>
        <v>14.375</v>
      </c>
      <c r="Y36" s="8">
        <f t="shared" si="14"/>
        <v>0.15</v>
      </c>
      <c r="Z36" s="8">
        <f t="shared" si="15"/>
        <v>546.9</v>
      </c>
      <c r="AA36" s="8">
        <f t="shared" si="16"/>
        <v>6561.930883159627</v>
      </c>
      <c r="AB36" s="8">
        <f>(AA36/2.25)^(1/3)</f>
        <v>14.287285103300018</v>
      </c>
      <c r="AC36" s="8">
        <f>AB36*1.5</f>
        <v>21.430927654950025</v>
      </c>
      <c r="AD36" s="8">
        <f t="shared" si="18"/>
        <v>97.42015665490395</v>
      </c>
      <c r="AE36" s="8">
        <f t="shared" si="19"/>
        <v>67.5</v>
      </c>
      <c r="AF36" s="8">
        <f>((8*6))+AB36</f>
        <v>62.28728510330002</v>
      </c>
      <c r="AG36" s="8">
        <f t="shared" si="20"/>
        <v>94.19999999999999</v>
      </c>
      <c r="AH36" s="8">
        <f t="shared" si="21"/>
        <v>4.866473429951691</v>
      </c>
      <c r="AI36" s="8">
        <f t="shared" si="22"/>
        <v>1.378755595770067</v>
      </c>
      <c r="AJ36" s="8">
        <f t="shared" si="23"/>
        <v>0.09591343274922205</v>
      </c>
      <c r="AK36" s="8">
        <f t="shared" si="24"/>
        <v>4.856028962096253</v>
      </c>
      <c r="AL36" s="8">
        <f t="shared" si="25"/>
        <v>0.649467711032693</v>
      </c>
      <c r="AM36" s="8">
        <f t="shared" si="26"/>
        <v>0.6845990778664592</v>
      </c>
      <c r="AN36" s="8">
        <f t="shared" si="27"/>
        <v>4.86</v>
      </c>
      <c r="AO36" s="8">
        <f t="shared" si="28"/>
        <v>1.875</v>
      </c>
      <c r="AP36" s="8">
        <f t="shared" si="29"/>
        <v>10.3125</v>
      </c>
      <c r="AQ36" s="8">
        <f t="shared" si="30"/>
        <v>1312.2</v>
      </c>
      <c r="AR36" s="8">
        <f t="shared" si="31"/>
        <v>41951.040884564674</v>
      </c>
    </row>
    <row r="37" spans="1:44" ht="12.75" customHeight="1">
      <c r="A37">
        <v>27</v>
      </c>
      <c r="B37">
        <v>22.5</v>
      </c>
      <c r="C37">
        <v>8.58</v>
      </c>
      <c r="D37" s="1">
        <f t="shared" si="45"/>
        <v>943.8</v>
      </c>
      <c r="E37" s="1">
        <f t="shared" si="35"/>
        <v>514.8</v>
      </c>
      <c r="F37" s="1">
        <f t="shared" si="33"/>
        <v>300.3</v>
      </c>
      <c r="G37" s="1">
        <f t="shared" si="34"/>
        <v>2106.39</v>
      </c>
      <c r="H37" s="1">
        <f t="shared" si="36"/>
        <v>210.639</v>
      </c>
      <c r="I37" s="1">
        <f t="shared" si="37"/>
        <v>421.278</v>
      </c>
      <c r="J37" s="1">
        <f t="shared" si="38"/>
        <v>22</v>
      </c>
      <c r="K37" s="1">
        <f t="shared" si="39"/>
        <v>27</v>
      </c>
      <c r="L37" s="1">
        <f t="shared" si="40"/>
        <v>11</v>
      </c>
      <c r="M37" s="1">
        <f t="shared" si="41"/>
        <v>14</v>
      </c>
      <c r="N37" s="8">
        <f t="shared" si="42"/>
        <v>252.08333333333331</v>
      </c>
      <c r="O37" s="8">
        <f t="shared" si="43"/>
        <v>393.75</v>
      </c>
      <c r="P37">
        <v>300</v>
      </c>
      <c r="Q37" s="8">
        <v>0</v>
      </c>
      <c r="R37" s="8">
        <f t="shared" si="44"/>
        <v>2466.39</v>
      </c>
      <c r="S37" s="8">
        <v>82.47</v>
      </c>
      <c r="T37" s="8">
        <v>57.95</v>
      </c>
      <c r="U37" s="8">
        <f>MAX(S37:T37)</f>
        <v>82.47</v>
      </c>
      <c r="V37" s="8">
        <v>384.44</v>
      </c>
      <c r="W37" s="8">
        <f t="shared" si="12"/>
        <v>16.875</v>
      </c>
      <c r="X37" s="8">
        <f t="shared" si="13"/>
        <v>14.375</v>
      </c>
      <c r="Y37" s="8">
        <f t="shared" si="14"/>
        <v>0.15</v>
      </c>
      <c r="Z37" s="8">
        <f t="shared" si="15"/>
        <v>546.9</v>
      </c>
      <c r="AA37" s="8">
        <f t="shared" si="16"/>
        <v>8435.32638507954</v>
      </c>
      <c r="AB37" s="8">
        <f>(AA37/2.25)^(1/3)</f>
        <v>15.534828306166887</v>
      </c>
      <c r="AC37" s="8">
        <f>AB37*1.5</f>
        <v>23.30224245925033</v>
      </c>
      <c r="AD37" s="8">
        <f aca="true" t="shared" si="46" ref="AD37:AD64">0.75*((((2*(4000^0.5)*AB37*X37)+(8*(4000^0.5)*AB37*X37)))/1000)</f>
        <v>105.92673109352693</v>
      </c>
      <c r="AE37" s="8">
        <f t="shared" si="19"/>
        <v>67.5</v>
      </c>
      <c r="AF37" s="8">
        <f>((8*6)*2)+AB37</f>
        <v>111.53482830616689</v>
      </c>
      <c r="AG37" s="8">
        <f t="shared" si="20"/>
        <v>102.96000000000001</v>
      </c>
      <c r="AH37" s="8">
        <f t="shared" si="21"/>
        <v>6.25582506992118</v>
      </c>
      <c r="AI37" s="8">
        <f t="shared" si="22"/>
        <v>1.6355098222016156</v>
      </c>
      <c r="AJ37" s="8">
        <f aca="true" t="shared" si="47" ref="AJ37:AJ64">AI37/X37</f>
        <v>0.1137745963270689</v>
      </c>
      <c r="AK37" s="8">
        <f aca="true" t="shared" si="48" ref="AK37:AK64">(V37*12000)/(0.9*60000*(X37-(AI37/2)))</f>
        <v>6.301509676258856</v>
      </c>
      <c r="AL37" s="8">
        <f aca="true" t="shared" si="49" ref="AL37:AL64">(3*(4000^0.5)*AB37*X37)/60000</f>
        <v>0.7061782072901797</v>
      </c>
      <c r="AM37" s="8">
        <f aca="true" t="shared" si="50" ref="AM37:AM64">(200*AB37*X37)/60000</f>
        <v>0.7443771896704967</v>
      </c>
      <c r="AN37" s="8">
        <f t="shared" si="27"/>
        <v>6.3</v>
      </c>
      <c r="AO37" s="8">
        <f t="shared" si="28"/>
        <v>1.875</v>
      </c>
      <c r="AP37" s="8">
        <f t="shared" si="29"/>
        <v>10.3125</v>
      </c>
      <c r="AQ37" s="8">
        <f aca="true" t="shared" si="51" ref="AQ37:AQ64">AN37*(B37*12)</f>
        <v>1701</v>
      </c>
      <c r="AR37" s="8">
        <f aca="true" t="shared" si="52" ref="AR37:AR64">(W37-6)*AB37*(12*B37)</f>
        <v>45614.13961398252</v>
      </c>
    </row>
    <row r="38" spans="1:44" ht="12.75">
      <c r="A38" s="6" t="s">
        <v>127</v>
      </c>
      <c r="B38">
        <v>22.5</v>
      </c>
      <c r="C38">
        <v>3.23</v>
      </c>
      <c r="D38" s="1">
        <f t="shared" si="45"/>
        <v>355.3</v>
      </c>
      <c r="E38" s="1">
        <f t="shared" si="35"/>
        <v>193.8</v>
      </c>
      <c r="F38" s="1">
        <f t="shared" si="33"/>
        <v>113.05</v>
      </c>
      <c r="G38" s="1">
        <f t="shared" si="34"/>
        <v>792.965</v>
      </c>
      <c r="H38" s="1">
        <f t="shared" si="36"/>
        <v>79.29650000000001</v>
      </c>
      <c r="I38" s="1">
        <f t="shared" si="37"/>
        <v>158.59300000000002</v>
      </c>
      <c r="J38" s="1">
        <f t="shared" si="38"/>
        <v>22</v>
      </c>
      <c r="K38" s="1">
        <f t="shared" si="39"/>
        <v>27</v>
      </c>
      <c r="L38" s="1">
        <f t="shared" si="40"/>
        <v>11</v>
      </c>
      <c r="M38" s="1">
        <f t="shared" si="41"/>
        <v>14</v>
      </c>
      <c r="N38" s="8">
        <f t="shared" si="42"/>
        <v>252.08333333333331</v>
      </c>
      <c r="O38" s="8">
        <f t="shared" si="43"/>
        <v>393.75</v>
      </c>
      <c r="P38">
        <v>300</v>
      </c>
      <c r="Q38" s="8">
        <v>0</v>
      </c>
      <c r="R38" s="8">
        <f t="shared" si="44"/>
        <v>1152.9650000000001</v>
      </c>
      <c r="S38" s="8">
        <v>59.84</v>
      </c>
      <c r="T38" s="8">
        <v>40.65</v>
      </c>
      <c r="U38" s="8">
        <f>MAX(S38:T38)</f>
        <v>59.84</v>
      </c>
      <c r="V38" s="8">
        <v>316.63</v>
      </c>
      <c r="W38" s="8">
        <f t="shared" si="12"/>
        <v>16.875</v>
      </c>
      <c r="X38" s="8">
        <f t="shared" si="13"/>
        <v>14.375</v>
      </c>
      <c r="Y38" s="8">
        <f t="shared" si="14"/>
        <v>0.15</v>
      </c>
      <c r="Z38" s="8">
        <f t="shared" si="15"/>
        <v>546.9</v>
      </c>
      <c r="AA38" s="8">
        <f t="shared" si="16"/>
        <v>6947.449259462425</v>
      </c>
      <c r="AB38" s="8">
        <f>(AA38/2.25)^(1/3)</f>
        <v>14.561774067624999</v>
      </c>
      <c r="AC38" s="8">
        <f>AB38*1.5</f>
        <v>21.8426611014375</v>
      </c>
      <c r="AD38" s="8">
        <f t="shared" si="46"/>
        <v>99.29180390707542</v>
      </c>
      <c r="AE38" s="8">
        <f t="shared" si="19"/>
        <v>67.5</v>
      </c>
      <c r="AF38" s="8">
        <f>((8*6))+AB38</f>
        <v>62.561774067624995</v>
      </c>
      <c r="AG38" s="8">
        <f t="shared" si="20"/>
        <v>38.76</v>
      </c>
      <c r="AH38" s="8">
        <f t="shared" si="21"/>
        <v>5.152382405288583</v>
      </c>
      <c r="AI38" s="8">
        <f t="shared" si="22"/>
        <v>2.3458306343510213</v>
      </c>
      <c r="AJ38" s="8">
        <f t="shared" si="47"/>
        <v>0.1631882180418102</v>
      </c>
      <c r="AK38" s="8">
        <f t="shared" si="48"/>
        <v>5.329629669302253</v>
      </c>
      <c r="AL38" s="8">
        <f t="shared" si="49"/>
        <v>0.6619453593805028</v>
      </c>
      <c r="AM38" s="8">
        <f t="shared" si="50"/>
        <v>0.6977516740736979</v>
      </c>
      <c r="AN38" s="8">
        <f t="shared" si="27"/>
        <v>5.33</v>
      </c>
      <c r="AO38" s="8">
        <f t="shared" si="28"/>
        <v>1.875</v>
      </c>
      <c r="AP38" s="8">
        <f t="shared" si="29"/>
        <v>10.3125</v>
      </c>
      <c r="AQ38" s="8">
        <f t="shared" si="51"/>
        <v>1439.1</v>
      </c>
      <c r="AR38" s="8">
        <f t="shared" si="52"/>
        <v>42757.0091060639</v>
      </c>
    </row>
    <row r="39" spans="1:44" ht="12.75">
      <c r="A39" s="6" t="s">
        <v>128</v>
      </c>
      <c r="B39">
        <v>22.5</v>
      </c>
      <c r="C39">
        <v>3.23</v>
      </c>
      <c r="D39" s="1">
        <f t="shared" si="45"/>
        <v>355.3</v>
      </c>
      <c r="E39" s="1">
        <f>C39*60</f>
        <v>193.8</v>
      </c>
      <c r="F39" s="1">
        <f>C39*35</f>
        <v>113.05</v>
      </c>
      <c r="G39" s="1">
        <f>(1.2*D39)+(1.6*E39)+(0.5*F39)</f>
        <v>792.965</v>
      </c>
      <c r="H39" s="1">
        <f t="shared" si="36"/>
        <v>79.29650000000001</v>
      </c>
      <c r="I39" s="1">
        <f>0.2*MAX(G39:G39)</f>
        <v>158.59300000000002</v>
      </c>
      <c r="J39" s="1">
        <f>ROUND(((0.08*B39)*12),0)</f>
        <v>22</v>
      </c>
      <c r="K39" s="1">
        <f>ROUND(((0.1*B39)*12),0)</f>
        <v>27</v>
      </c>
      <c r="L39" s="1">
        <f>ROUND((0.5*J39),0)</f>
        <v>11</v>
      </c>
      <c r="M39" s="1">
        <f>ROUND((0.5*K39),0)</f>
        <v>14</v>
      </c>
      <c r="N39" s="8">
        <f>(L39/12)*(J39/12)*150</f>
        <v>252.08333333333331</v>
      </c>
      <c r="O39" s="8">
        <f>(M39/12)*(K39/12)*150</f>
        <v>393.75</v>
      </c>
      <c r="P39">
        <v>300</v>
      </c>
      <c r="Q39" s="8">
        <v>0</v>
      </c>
      <c r="R39" s="8">
        <f>(1.2*P39)+G39</f>
        <v>1152.9650000000001</v>
      </c>
      <c r="S39" s="8">
        <v>59.84</v>
      </c>
      <c r="T39" s="8">
        <v>40.65</v>
      </c>
      <c r="U39" s="8">
        <f>MAX(S39:T39)</f>
        <v>59.84</v>
      </c>
      <c r="V39" s="8">
        <v>611</v>
      </c>
      <c r="W39" s="8">
        <f>(B39/16)*12</f>
        <v>16.875</v>
      </c>
      <c r="X39" s="8">
        <f t="shared" si="13"/>
        <v>14.375</v>
      </c>
      <c r="Y39" s="8">
        <f t="shared" si="14"/>
        <v>0.15</v>
      </c>
      <c r="Z39" s="8">
        <f t="shared" si="15"/>
        <v>546.9</v>
      </c>
      <c r="AA39" s="8">
        <f>(12000*V39)/Z39</f>
        <v>13406.472846955568</v>
      </c>
      <c r="AB39" s="8">
        <f>(AA39/2.25)^(1/3)</f>
        <v>18.129145656404532</v>
      </c>
      <c r="AC39" s="8">
        <f>AB39*1.5</f>
        <v>27.193718484606798</v>
      </c>
      <c r="AD39" s="8">
        <f>0.75*((((2*(4000^0.5)*AB39*X39)+(8*(4000^0.5)*AB39*X39)))/1000)</f>
        <v>123.61650216237123</v>
      </c>
      <c r="AE39" s="8">
        <f>(B39/4)*12</f>
        <v>67.5</v>
      </c>
      <c r="AF39" s="8">
        <f>((8*6))+AB39</f>
        <v>66.12914565640453</v>
      </c>
      <c r="AG39" s="8">
        <f>C39*12</f>
        <v>38.76</v>
      </c>
      <c r="AH39" s="8">
        <f>(V39*12000)/(0.9*60000*0.95*X39)</f>
        <v>9.942537503178235</v>
      </c>
      <c r="AI39" s="8">
        <f>(AH39*60000)/(0.85*4000*(MIN(AE39:AG39)))</f>
        <v>4.52674262574132</v>
      </c>
      <c r="AJ39" s="8">
        <f>AI39/X39</f>
        <v>0.3149038348341788</v>
      </c>
      <c r="AK39" s="8">
        <f>(V39*12000)/(0.9*60000*(X39-(AI39/2)))</f>
        <v>11.21053008519529</v>
      </c>
      <c r="AL39" s="8">
        <f>(3*(4000^0.5)*AB39*X39)/60000</f>
        <v>0.8241100144158082</v>
      </c>
      <c r="AM39" s="8">
        <f>(200*AB39*X39)/60000</f>
        <v>0.868688229369384</v>
      </c>
      <c r="AN39" s="8">
        <f>ROUND(MAX(AK39:AM39),2)</f>
        <v>11.21</v>
      </c>
      <c r="AO39" s="8">
        <f t="shared" si="28"/>
        <v>1.875</v>
      </c>
      <c r="AP39" s="8">
        <f t="shared" si="29"/>
        <v>10.3125</v>
      </c>
      <c r="AQ39" s="8">
        <f>AN39*(B39*12)</f>
        <v>3026.7000000000003</v>
      </c>
      <c r="AR39" s="8">
        <f>(W39-6)*AB39*(12*B39)</f>
        <v>53231.703933617806</v>
      </c>
    </row>
    <row r="40" spans="1:44" ht="12.75">
      <c r="A40">
        <v>29</v>
      </c>
      <c r="B40">
        <v>22.5</v>
      </c>
      <c r="C40">
        <v>6.46</v>
      </c>
      <c r="D40" s="1">
        <f t="shared" si="45"/>
        <v>710.6</v>
      </c>
      <c r="E40" s="1">
        <f t="shared" si="35"/>
        <v>387.6</v>
      </c>
      <c r="F40" s="1">
        <f t="shared" si="33"/>
        <v>226.1</v>
      </c>
      <c r="G40" s="1">
        <f t="shared" si="34"/>
        <v>1585.93</v>
      </c>
      <c r="H40" s="1">
        <f t="shared" si="36"/>
        <v>158.59300000000002</v>
      </c>
      <c r="I40" s="1">
        <f t="shared" si="37"/>
        <v>317.18600000000004</v>
      </c>
      <c r="J40" s="1">
        <f t="shared" si="38"/>
        <v>22</v>
      </c>
      <c r="K40" s="1">
        <f t="shared" si="39"/>
        <v>27</v>
      </c>
      <c r="L40" s="1">
        <f t="shared" si="40"/>
        <v>11</v>
      </c>
      <c r="M40" s="1">
        <f t="shared" si="41"/>
        <v>14</v>
      </c>
      <c r="N40" s="8">
        <f t="shared" si="42"/>
        <v>252.08333333333331</v>
      </c>
      <c r="O40" s="8">
        <f t="shared" si="43"/>
        <v>393.75</v>
      </c>
      <c r="P40">
        <v>300</v>
      </c>
      <c r="Q40" s="8">
        <v>0</v>
      </c>
      <c r="R40" s="8">
        <f t="shared" si="44"/>
        <v>1945.93</v>
      </c>
      <c r="S40" s="8"/>
      <c r="T40" s="8"/>
      <c r="U40" s="8">
        <f t="shared" si="10"/>
        <v>21.8917125</v>
      </c>
      <c r="V40" s="8">
        <f t="shared" si="11"/>
        <v>123.14088281250001</v>
      </c>
      <c r="W40" s="8">
        <f aca="true" t="shared" si="53" ref="W40:W60">(B40/16)*12</f>
        <v>16.875</v>
      </c>
      <c r="X40" s="8">
        <f aca="true" t="shared" si="54" ref="X40:X60">W40-2.5</f>
        <v>14.375</v>
      </c>
      <c r="Y40" s="8">
        <f aca="true" t="shared" si="55" ref="Y40:Y56">(60000/4000)*0.01</f>
        <v>0.15</v>
      </c>
      <c r="Z40" s="8">
        <f aca="true" t="shared" si="56" ref="Z40:Z56">4000*Y40*(1-(0.59*Y40))</f>
        <v>546.9</v>
      </c>
      <c r="AA40" s="8">
        <f aca="true" t="shared" si="57" ref="AA40:AA55">(12000*V40)/Z40</f>
        <v>2701.939282775645</v>
      </c>
      <c r="AB40" s="8">
        <f aca="true" t="shared" si="58" ref="AB40:AB55">AA40/(X40^2)</f>
        <v>13.07554737978384</v>
      </c>
      <c r="AC40" s="8"/>
      <c r="AD40" s="8">
        <f t="shared" si="46"/>
        <v>89.15772764924655</v>
      </c>
      <c r="AE40" s="8">
        <f aca="true" t="shared" si="59" ref="AE40:AE64">(B40/4)*12</f>
        <v>67.5</v>
      </c>
      <c r="AF40" s="8">
        <f>((8*6)*2)+AB40</f>
        <v>109.07554737978384</v>
      </c>
      <c r="AG40" s="8">
        <f aca="true" t="shared" si="60" ref="AG40:AG55">C40*12</f>
        <v>77.52</v>
      </c>
      <c r="AH40" s="8">
        <f aca="true" t="shared" si="61" ref="AH40:AH55">(V40*12000)/(0.9*60000*0.95*X40)</f>
        <v>2.0038180778032038</v>
      </c>
      <c r="AI40" s="8">
        <f aca="true" t="shared" si="62" ref="AI40:AI55">(AH40*60000)/(0.85*4000*(MIN(AE40:AG40)))</f>
        <v>0.5238740072688114</v>
      </c>
      <c r="AJ40" s="8">
        <f t="shared" si="47"/>
        <v>0.03644340920130862</v>
      </c>
      <c r="AK40" s="8">
        <f t="shared" si="48"/>
        <v>1.9389582992754277</v>
      </c>
      <c r="AL40" s="8">
        <f t="shared" si="49"/>
        <v>0.5943848509949772</v>
      </c>
      <c r="AM40" s="8">
        <f t="shared" si="50"/>
        <v>0.626536645281309</v>
      </c>
      <c r="AN40" s="8">
        <f aca="true" t="shared" si="63" ref="AN40:AN55">ROUND(MAX(AK40:AM40),2)</f>
        <v>1.94</v>
      </c>
      <c r="AO40" s="8">
        <f aca="true" t="shared" si="64" ref="AO40:AO56">1.875</f>
        <v>1.875</v>
      </c>
      <c r="AP40" s="8">
        <f aca="true" t="shared" si="65" ref="AP40:AP56">(540/(0.6*60))-(2.5*AO40)</f>
        <v>10.3125</v>
      </c>
      <c r="AQ40" s="8">
        <f t="shared" si="51"/>
        <v>523.8</v>
      </c>
      <c r="AR40" s="8">
        <f t="shared" si="52"/>
        <v>38393.0759938903</v>
      </c>
    </row>
    <row r="41" spans="1:44" ht="12.75">
      <c r="A41">
        <v>16</v>
      </c>
      <c r="B41">
        <v>17</v>
      </c>
      <c r="C41">
        <v>3.54</v>
      </c>
      <c r="D41" s="1">
        <f t="shared" si="45"/>
        <v>389.4</v>
      </c>
      <c r="E41" s="1">
        <f t="shared" si="35"/>
        <v>212.4</v>
      </c>
      <c r="F41" s="1">
        <f t="shared" si="33"/>
        <v>123.9</v>
      </c>
      <c r="G41" s="1">
        <f t="shared" si="34"/>
        <v>869.07</v>
      </c>
      <c r="H41" s="1">
        <f t="shared" si="36"/>
        <v>86.90700000000001</v>
      </c>
      <c r="I41" s="1">
        <f t="shared" si="37"/>
        <v>173.81400000000002</v>
      </c>
      <c r="J41" s="1">
        <f t="shared" si="38"/>
        <v>16</v>
      </c>
      <c r="K41" s="1">
        <f t="shared" si="39"/>
        <v>20</v>
      </c>
      <c r="L41" s="1">
        <f t="shared" si="40"/>
        <v>8</v>
      </c>
      <c r="M41" s="1">
        <f t="shared" si="41"/>
        <v>10</v>
      </c>
      <c r="N41" s="8">
        <f t="shared" si="42"/>
        <v>133.33333333333331</v>
      </c>
      <c r="O41" s="8">
        <f t="shared" si="43"/>
        <v>208.33333333333337</v>
      </c>
      <c r="P41">
        <v>200</v>
      </c>
      <c r="Q41" s="8">
        <v>0</v>
      </c>
      <c r="R41" s="8">
        <f t="shared" si="44"/>
        <v>1109.0700000000002</v>
      </c>
      <c r="S41" s="8"/>
      <c r="T41" s="8"/>
      <c r="U41" s="8">
        <f t="shared" si="10"/>
        <v>9.427095000000001</v>
      </c>
      <c r="V41" s="8">
        <f t="shared" si="11"/>
        <v>40.06515375000001</v>
      </c>
      <c r="W41" s="8">
        <f t="shared" si="53"/>
        <v>12.75</v>
      </c>
      <c r="X41" s="8">
        <f t="shared" si="54"/>
        <v>10.25</v>
      </c>
      <c r="Y41" s="8">
        <f t="shared" si="55"/>
        <v>0.15</v>
      </c>
      <c r="Z41" s="8">
        <f t="shared" si="56"/>
        <v>546.9</v>
      </c>
      <c r="AA41" s="8">
        <f t="shared" si="57"/>
        <v>879.1037575425125</v>
      </c>
      <c r="AB41" s="8">
        <f t="shared" si="58"/>
        <v>8.367436121760976</v>
      </c>
      <c r="AC41" s="8"/>
      <c r="AD41" s="8">
        <f t="shared" si="46"/>
        <v>40.68249034312342</v>
      </c>
      <c r="AE41" s="8">
        <f t="shared" si="59"/>
        <v>51</v>
      </c>
      <c r="AF41" s="8">
        <f>((8*6))+AB41</f>
        <v>56.367436121760974</v>
      </c>
      <c r="AG41" s="8">
        <f t="shared" si="60"/>
        <v>42.480000000000004</v>
      </c>
      <c r="AH41" s="8">
        <f t="shared" si="61"/>
        <v>0.9143381258023108</v>
      </c>
      <c r="AI41" s="8">
        <f t="shared" si="62"/>
        <v>0.3798347149394777</v>
      </c>
      <c r="AJ41" s="8">
        <f t="shared" si="47"/>
        <v>0.03705704535994904</v>
      </c>
      <c r="AK41" s="8">
        <f t="shared" si="48"/>
        <v>0.8850193200560698</v>
      </c>
      <c r="AL41" s="8">
        <f t="shared" si="49"/>
        <v>0.27121660228748945</v>
      </c>
      <c r="AM41" s="8">
        <f t="shared" si="50"/>
        <v>0.2858874008268334</v>
      </c>
      <c r="AN41" s="8">
        <f t="shared" si="63"/>
        <v>0.89</v>
      </c>
      <c r="AO41" s="8">
        <f t="shared" si="64"/>
        <v>1.875</v>
      </c>
      <c r="AP41" s="8">
        <f t="shared" si="65"/>
        <v>10.3125</v>
      </c>
      <c r="AQ41" s="8">
        <f t="shared" si="51"/>
        <v>181.56</v>
      </c>
      <c r="AR41" s="8">
        <f t="shared" si="52"/>
        <v>11521.959539664864</v>
      </c>
    </row>
    <row r="42" spans="1:44" ht="12.75">
      <c r="A42">
        <v>34</v>
      </c>
      <c r="B42">
        <v>17</v>
      </c>
      <c r="C42">
        <v>3.54</v>
      </c>
      <c r="D42" s="1">
        <f t="shared" si="45"/>
        <v>389.4</v>
      </c>
      <c r="E42" s="1">
        <f t="shared" si="35"/>
        <v>212.4</v>
      </c>
      <c r="F42" s="1">
        <f t="shared" si="33"/>
        <v>123.9</v>
      </c>
      <c r="G42" s="1">
        <f t="shared" si="34"/>
        <v>869.07</v>
      </c>
      <c r="H42" s="1">
        <f t="shared" si="36"/>
        <v>86.90700000000001</v>
      </c>
      <c r="I42" s="1">
        <f t="shared" si="37"/>
        <v>173.81400000000002</v>
      </c>
      <c r="J42" s="1">
        <f t="shared" si="38"/>
        <v>16</v>
      </c>
      <c r="K42" s="1">
        <f t="shared" si="39"/>
        <v>20</v>
      </c>
      <c r="L42" s="1">
        <f t="shared" si="40"/>
        <v>8</v>
      </c>
      <c r="M42" s="1">
        <f t="shared" si="41"/>
        <v>10</v>
      </c>
      <c r="N42" s="8">
        <f t="shared" si="42"/>
        <v>133.33333333333331</v>
      </c>
      <c r="O42" s="8">
        <f t="shared" si="43"/>
        <v>208.33333333333337</v>
      </c>
      <c r="P42">
        <v>200</v>
      </c>
      <c r="Q42" s="8">
        <v>0</v>
      </c>
      <c r="R42" s="8">
        <f t="shared" si="44"/>
        <v>1109.0700000000002</v>
      </c>
      <c r="S42" s="8"/>
      <c r="T42" s="8"/>
      <c r="U42" s="8">
        <f t="shared" si="10"/>
        <v>9.427095000000001</v>
      </c>
      <c r="V42" s="8">
        <f t="shared" si="11"/>
        <v>40.06515375000001</v>
      </c>
      <c r="W42" s="8">
        <f t="shared" si="53"/>
        <v>12.75</v>
      </c>
      <c r="X42" s="8">
        <f t="shared" si="54"/>
        <v>10.25</v>
      </c>
      <c r="Y42" s="8">
        <f t="shared" si="55"/>
        <v>0.15</v>
      </c>
      <c r="Z42" s="8">
        <f t="shared" si="56"/>
        <v>546.9</v>
      </c>
      <c r="AA42" s="8">
        <f t="shared" si="57"/>
        <v>879.1037575425125</v>
      </c>
      <c r="AB42" s="8">
        <f t="shared" si="58"/>
        <v>8.367436121760976</v>
      </c>
      <c r="AC42" s="8"/>
      <c r="AD42" s="8">
        <f t="shared" si="46"/>
        <v>40.68249034312342</v>
      </c>
      <c r="AE42" s="8">
        <f t="shared" si="59"/>
        <v>51</v>
      </c>
      <c r="AF42" s="8">
        <f>((8*6))+AB42</f>
        <v>56.367436121760974</v>
      </c>
      <c r="AG42" s="8">
        <f t="shared" si="60"/>
        <v>42.480000000000004</v>
      </c>
      <c r="AH42" s="8">
        <f t="shared" si="61"/>
        <v>0.9143381258023108</v>
      </c>
      <c r="AI42" s="8">
        <f t="shared" si="62"/>
        <v>0.3798347149394777</v>
      </c>
      <c r="AJ42" s="8">
        <f t="shared" si="47"/>
        <v>0.03705704535994904</v>
      </c>
      <c r="AK42" s="8">
        <f t="shared" si="48"/>
        <v>0.8850193200560698</v>
      </c>
      <c r="AL42" s="8">
        <f t="shared" si="49"/>
        <v>0.27121660228748945</v>
      </c>
      <c r="AM42" s="8">
        <f t="shared" si="50"/>
        <v>0.2858874008268334</v>
      </c>
      <c r="AN42" s="8">
        <f t="shared" si="63"/>
        <v>0.89</v>
      </c>
      <c r="AO42" s="8">
        <f t="shared" si="64"/>
        <v>1.875</v>
      </c>
      <c r="AP42" s="8">
        <f t="shared" si="65"/>
        <v>10.3125</v>
      </c>
      <c r="AQ42" s="8">
        <f t="shared" si="51"/>
        <v>181.56</v>
      </c>
      <c r="AR42" s="8">
        <f t="shared" si="52"/>
        <v>11521.959539664864</v>
      </c>
    </row>
    <row r="43" spans="1:44" ht="12.75">
      <c r="A43">
        <v>1</v>
      </c>
      <c r="B43">
        <v>17</v>
      </c>
      <c r="C43">
        <v>3.54</v>
      </c>
      <c r="D43" s="1">
        <f t="shared" si="45"/>
        <v>389.4</v>
      </c>
      <c r="E43" s="1">
        <f t="shared" si="35"/>
        <v>212.4</v>
      </c>
      <c r="F43" s="1">
        <f t="shared" si="33"/>
        <v>123.9</v>
      </c>
      <c r="G43" s="1">
        <f t="shared" si="34"/>
        <v>869.07</v>
      </c>
      <c r="H43" s="1">
        <f t="shared" si="36"/>
        <v>86.90700000000001</v>
      </c>
      <c r="I43" s="1">
        <f t="shared" si="37"/>
        <v>173.81400000000002</v>
      </c>
      <c r="J43" s="1">
        <f t="shared" si="38"/>
        <v>16</v>
      </c>
      <c r="K43" s="1">
        <f t="shared" si="39"/>
        <v>20</v>
      </c>
      <c r="L43" s="1">
        <f t="shared" si="40"/>
        <v>8</v>
      </c>
      <c r="M43" s="1">
        <f t="shared" si="41"/>
        <v>10</v>
      </c>
      <c r="N43" s="8">
        <f t="shared" si="42"/>
        <v>133.33333333333331</v>
      </c>
      <c r="O43" s="8">
        <f t="shared" si="43"/>
        <v>208.33333333333337</v>
      </c>
      <c r="P43">
        <v>200</v>
      </c>
      <c r="Q43" s="8">
        <v>0</v>
      </c>
      <c r="R43" s="8">
        <f t="shared" si="44"/>
        <v>1109.0700000000002</v>
      </c>
      <c r="S43" s="8"/>
      <c r="T43" s="8"/>
      <c r="U43" s="8">
        <f t="shared" si="10"/>
        <v>9.427095000000001</v>
      </c>
      <c r="V43" s="8">
        <f t="shared" si="11"/>
        <v>40.06515375000001</v>
      </c>
      <c r="W43" s="8">
        <f t="shared" si="53"/>
        <v>12.75</v>
      </c>
      <c r="X43" s="8">
        <f t="shared" si="54"/>
        <v>10.25</v>
      </c>
      <c r="Y43" s="8">
        <f t="shared" si="55"/>
        <v>0.15</v>
      </c>
      <c r="Z43" s="8">
        <f t="shared" si="56"/>
        <v>546.9</v>
      </c>
      <c r="AA43" s="8">
        <f t="shared" si="57"/>
        <v>879.1037575425125</v>
      </c>
      <c r="AB43" s="8">
        <f t="shared" si="58"/>
        <v>8.367436121760976</v>
      </c>
      <c r="AC43" s="8"/>
      <c r="AD43" s="8">
        <f t="shared" si="46"/>
        <v>40.68249034312342</v>
      </c>
      <c r="AE43" s="8">
        <f t="shared" si="59"/>
        <v>51</v>
      </c>
      <c r="AF43" s="8">
        <f>((8*6))+AB43</f>
        <v>56.367436121760974</v>
      </c>
      <c r="AG43" s="8">
        <f t="shared" si="60"/>
        <v>42.480000000000004</v>
      </c>
      <c r="AH43" s="8">
        <f t="shared" si="61"/>
        <v>0.9143381258023108</v>
      </c>
      <c r="AI43" s="8">
        <f t="shared" si="62"/>
        <v>0.3798347149394777</v>
      </c>
      <c r="AJ43" s="8">
        <f t="shared" si="47"/>
        <v>0.03705704535994904</v>
      </c>
      <c r="AK43" s="8">
        <f t="shared" si="48"/>
        <v>0.8850193200560698</v>
      </c>
      <c r="AL43" s="8">
        <f t="shared" si="49"/>
        <v>0.27121660228748945</v>
      </c>
      <c r="AM43" s="8">
        <f t="shared" si="50"/>
        <v>0.2858874008268334</v>
      </c>
      <c r="AN43" s="8">
        <f t="shared" si="63"/>
        <v>0.89</v>
      </c>
      <c r="AO43" s="8">
        <f t="shared" si="64"/>
        <v>1.875</v>
      </c>
      <c r="AP43" s="8">
        <f t="shared" si="65"/>
        <v>10.3125</v>
      </c>
      <c r="AQ43" s="8">
        <f t="shared" si="51"/>
        <v>181.56</v>
      </c>
      <c r="AR43" s="8">
        <f t="shared" si="52"/>
        <v>11521.959539664864</v>
      </c>
    </row>
    <row r="44" spans="1:44" ht="12.75">
      <c r="A44">
        <v>17</v>
      </c>
      <c r="B44">
        <v>17</v>
      </c>
      <c r="C44">
        <v>3.54</v>
      </c>
      <c r="D44" s="1">
        <f t="shared" si="45"/>
        <v>389.4</v>
      </c>
      <c r="E44" s="1">
        <f t="shared" si="35"/>
        <v>212.4</v>
      </c>
      <c r="F44" s="1">
        <f t="shared" si="33"/>
        <v>123.9</v>
      </c>
      <c r="G44" s="1">
        <f t="shared" si="34"/>
        <v>869.07</v>
      </c>
      <c r="H44" s="1">
        <f t="shared" si="36"/>
        <v>86.90700000000001</v>
      </c>
      <c r="I44" s="1">
        <f t="shared" si="37"/>
        <v>173.81400000000002</v>
      </c>
      <c r="J44" s="1">
        <f t="shared" si="38"/>
        <v>16</v>
      </c>
      <c r="K44" s="1">
        <f t="shared" si="39"/>
        <v>20</v>
      </c>
      <c r="L44" s="1">
        <f t="shared" si="40"/>
        <v>8</v>
      </c>
      <c r="M44" s="1">
        <f t="shared" si="41"/>
        <v>10</v>
      </c>
      <c r="N44" s="8">
        <f t="shared" si="42"/>
        <v>133.33333333333331</v>
      </c>
      <c r="O44" s="8">
        <f t="shared" si="43"/>
        <v>208.33333333333337</v>
      </c>
      <c r="P44">
        <v>200</v>
      </c>
      <c r="Q44" s="8">
        <v>0</v>
      </c>
      <c r="R44" s="8">
        <f t="shared" si="44"/>
        <v>1109.0700000000002</v>
      </c>
      <c r="S44" s="8"/>
      <c r="T44" s="8"/>
      <c r="U44" s="8">
        <f t="shared" si="10"/>
        <v>9.427095000000001</v>
      </c>
      <c r="V44" s="8">
        <f t="shared" si="11"/>
        <v>40.06515375000001</v>
      </c>
      <c r="W44" s="8">
        <f t="shared" si="53"/>
        <v>12.75</v>
      </c>
      <c r="X44" s="8">
        <f t="shared" si="54"/>
        <v>10.25</v>
      </c>
      <c r="Y44" s="8">
        <f t="shared" si="55"/>
        <v>0.15</v>
      </c>
      <c r="Z44" s="8">
        <f t="shared" si="56"/>
        <v>546.9</v>
      </c>
      <c r="AA44" s="8">
        <f t="shared" si="57"/>
        <v>879.1037575425125</v>
      </c>
      <c r="AB44" s="8">
        <f t="shared" si="58"/>
        <v>8.367436121760976</v>
      </c>
      <c r="AC44" s="8"/>
      <c r="AD44" s="8">
        <f t="shared" si="46"/>
        <v>40.68249034312342</v>
      </c>
      <c r="AE44" s="8">
        <f t="shared" si="59"/>
        <v>51</v>
      </c>
      <c r="AF44" s="8">
        <f>((8*6))+AB44</f>
        <v>56.367436121760974</v>
      </c>
      <c r="AG44" s="8">
        <f t="shared" si="60"/>
        <v>42.480000000000004</v>
      </c>
      <c r="AH44" s="8">
        <f t="shared" si="61"/>
        <v>0.9143381258023108</v>
      </c>
      <c r="AI44" s="8">
        <f t="shared" si="62"/>
        <v>0.3798347149394777</v>
      </c>
      <c r="AJ44" s="8">
        <f t="shared" si="47"/>
        <v>0.03705704535994904</v>
      </c>
      <c r="AK44" s="8">
        <f t="shared" si="48"/>
        <v>0.8850193200560698</v>
      </c>
      <c r="AL44" s="8">
        <f t="shared" si="49"/>
        <v>0.27121660228748945</v>
      </c>
      <c r="AM44" s="8">
        <f t="shared" si="50"/>
        <v>0.2858874008268334</v>
      </c>
      <c r="AN44" s="8">
        <f t="shared" si="63"/>
        <v>0.89</v>
      </c>
      <c r="AO44" s="8">
        <f t="shared" si="64"/>
        <v>1.875</v>
      </c>
      <c r="AP44" s="8">
        <f t="shared" si="65"/>
        <v>10.3125</v>
      </c>
      <c r="AQ44" s="8">
        <f t="shared" si="51"/>
        <v>181.56</v>
      </c>
      <c r="AR44" s="8">
        <f t="shared" si="52"/>
        <v>11521.959539664864</v>
      </c>
    </row>
    <row r="45" spans="1:44" ht="12.75">
      <c r="A45">
        <v>15</v>
      </c>
      <c r="B45">
        <v>17</v>
      </c>
      <c r="C45">
        <v>7.08</v>
      </c>
      <c r="D45" s="1">
        <f t="shared" si="45"/>
        <v>778.8</v>
      </c>
      <c r="E45" s="1">
        <f t="shared" si="35"/>
        <v>424.8</v>
      </c>
      <c r="F45" s="1">
        <f t="shared" si="33"/>
        <v>247.8</v>
      </c>
      <c r="G45" s="1">
        <f t="shared" si="34"/>
        <v>1738.14</v>
      </c>
      <c r="H45" s="1">
        <f t="shared" si="36"/>
        <v>173.81400000000002</v>
      </c>
      <c r="I45" s="1">
        <f t="shared" si="37"/>
        <v>347.62800000000004</v>
      </c>
      <c r="J45" s="1">
        <f t="shared" si="38"/>
        <v>16</v>
      </c>
      <c r="K45" s="1">
        <f t="shared" si="39"/>
        <v>20</v>
      </c>
      <c r="L45" s="1">
        <f t="shared" si="40"/>
        <v>8</v>
      </c>
      <c r="M45" s="1">
        <f t="shared" si="41"/>
        <v>10</v>
      </c>
      <c r="N45" s="8">
        <f t="shared" si="42"/>
        <v>133.33333333333331</v>
      </c>
      <c r="O45" s="8">
        <f t="shared" si="43"/>
        <v>208.33333333333337</v>
      </c>
      <c r="P45">
        <v>200</v>
      </c>
      <c r="Q45" s="8">
        <v>0</v>
      </c>
      <c r="R45" s="8">
        <f t="shared" si="44"/>
        <v>1978.14</v>
      </c>
      <c r="S45" s="8"/>
      <c r="T45" s="8"/>
      <c r="U45" s="8">
        <f t="shared" si="10"/>
        <v>16.814190000000004</v>
      </c>
      <c r="V45" s="8">
        <f t="shared" si="11"/>
        <v>71.46030750000001</v>
      </c>
      <c r="W45" s="8">
        <f t="shared" si="53"/>
        <v>12.75</v>
      </c>
      <c r="X45" s="8">
        <f t="shared" si="54"/>
        <v>10.25</v>
      </c>
      <c r="Y45" s="8">
        <f t="shared" si="55"/>
        <v>0.15</v>
      </c>
      <c r="Z45" s="8">
        <f t="shared" si="56"/>
        <v>546.9</v>
      </c>
      <c r="AA45" s="8">
        <f t="shared" si="57"/>
        <v>1567.9716401535934</v>
      </c>
      <c r="AB45" s="8">
        <f t="shared" si="58"/>
        <v>14.924179799201365</v>
      </c>
      <c r="AC45" s="8"/>
      <c r="AD45" s="8">
        <f t="shared" si="46"/>
        <v>72.56139057710168</v>
      </c>
      <c r="AE45" s="8">
        <f t="shared" si="59"/>
        <v>51</v>
      </c>
      <c r="AF45" s="8">
        <f aca="true" t="shared" si="66" ref="AF45:AF55">((8*6)*2)+AB45</f>
        <v>110.92417979920137</v>
      </c>
      <c r="AG45" s="8">
        <f t="shared" si="60"/>
        <v>84.96000000000001</v>
      </c>
      <c r="AH45" s="8">
        <f t="shared" si="61"/>
        <v>1.630815746683783</v>
      </c>
      <c r="AI45" s="8">
        <f t="shared" si="62"/>
        <v>0.564296106118956</v>
      </c>
      <c r="AJ45" s="8">
        <f t="shared" si="47"/>
        <v>0.0550532786457518</v>
      </c>
      <c r="AK45" s="8">
        <f t="shared" si="48"/>
        <v>1.5931284310665828</v>
      </c>
      <c r="AL45" s="8">
        <f t="shared" si="49"/>
        <v>0.4837426038473445</v>
      </c>
      <c r="AM45" s="8">
        <f t="shared" si="50"/>
        <v>0.5099094764727133</v>
      </c>
      <c r="AN45" s="8">
        <f t="shared" si="63"/>
        <v>1.59</v>
      </c>
      <c r="AO45" s="8">
        <f t="shared" si="64"/>
        <v>1.875</v>
      </c>
      <c r="AP45" s="8">
        <f t="shared" si="65"/>
        <v>10.3125</v>
      </c>
      <c r="AQ45" s="8">
        <f t="shared" si="51"/>
        <v>324.36</v>
      </c>
      <c r="AR45" s="8">
        <f t="shared" si="52"/>
        <v>20550.59558350028</v>
      </c>
    </row>
    <row r="46" spans="1:44" ht="12.75">
      <c r="A46">
        <v>33</v>
      </c>
      <c r="B46">
        <v>17</v>
      </c>
      <c r="C46">
        <v>7.08</v>
      </c>
      <c r="D46" s="1">
        <f t="shared" si="45"/>
        <v>778.8</v>
      </c>
      <c r="E46" s="1">
        <f t="shared" si="35"/>
        <v>424.8</v>
      </c>
      <c r="F46" s="1">
        <f t="shared" si="33"/>
        <v>247.8</v>
      </c>
      <c r="G46" s="1">
        <f t="shared" si="34"/>
        <v>1738.14</v>
      </c>
      <c r="H46" s="1">
        <f t="shared" si="36"/>
        <v>173.81400000000002</v>
      </c>
      <c r="I46" s="1">
        <f t="shared" si="37"/>
        <v>347.62800000000004</v>
      </c>
      <c r="J46" s="1">
        <f t="shared" si="38"/>
        <v>16</v>
      </c>
      <c r="K46" s="1">
        <f t="shared" si="39"/>
        <v>20</v>
      </c>
      <c r="L46" s="1">
        <f t="shared" si="40"/>
        <v>8</v>
      </c>
      <c r="M46" s="1">
        <f t="shared" si="41"/>
        <v>10</v>
      </c>
      <c r="N46" s="8">
        <f t="shared" si="42"/>
        <v>133.33333333333331</v>
      </c>
      <c r="O46" s="8">
        <f t="shared" si="43"/>
        <v>208.33333333333337</v>
      </c>
      <c r="P46">
        <v>200</v>
      </c>
      <c r="Q46" s="8">
        <v>0</v>
      </c>
      <c r="R46" s="8">
        <f t="shared" si="44"/>
        <v>1978.14</v>
      </c>
      <c r="S46" s="8"/>
      <c r="T46" s="8"/>
      <c r="U46" s="8">
        <f t="shared" si="10"/>
        <v>16.814190000000004</v>
      </c>
      <c r="V46" s="8">
        <f t="shared" si="11"/>
        <v>71.46030750000001</v>
      </c>
      <c r="W46" s="8">
        <f t="shared" si="53"/>
        <v>12.75</v>
      </c>
      <c r="X46" s="8">
        <f t="shared" si="54"/>
        <v>10.25</v>
      </c>
      <c r="Y46" s="8">
        <f t="shared" si="55"/>
        <v>0.15</v>
      </c>
      <c r="Z46" s="8">
        <f t="shared" si="56"/>
        <v>546.9</v>
      </c>
      <c r="AA46" s="8">
        <f t="shared" si="57"/>
        <v>1567.9716401535934</v>
      </c>
      <c r="AB46" s="8">
        <f t="shared" si="58"/>
        <v>14.924179799201365</v>
      </c>
      <c r="AC46" s="8"/>
      <c r="AD46" s="8">
        <f t="shared" si="46"/>
        <v>72.56139057710168</v>
      </c>
      <c r="AE46" s="8">
        <f t="shared" si="59"/>
        <v>51</v>
      </c>
      <c r="AF46" s="8">
        <f t="shared" si="66"/>
        <v>110.92417979920137</v>
      </c>
      <c r="AG46" s="8">
        <f t="shared" si="60"/>
        <v>84.96000000000001</v>
      </c>
      <c r="AH46" s="8">
        <f t="shared" si="61"/>
        <v>1.630815746683783</v>
      </c>
      <c r="AI46" s="8">
        <f t="shared" si="62"/>
        <v>0.564296106118956</v>
      </c>
      <c r="AJ46" s="8">
        <f t="shared" si="47"/>
        <v>0.0550532786457518</v>
      </c>
      <c r="AK46" s="8">
        <f t="shared" si="48"/>
        <v>1.5931284310665828</v>
      </c>
      <c r="AL46" s="8">
        <f t="shared" si="49"/>
        <v>0.4837426038473445</v>
      </c>
      <c r="AM46" s="8">
        <f t="shared" si="50"/>
        <v>0.5099094764727133</v>
      </c>
      <c r="AN46" s="8">
        <f t="shared" si="63"/>
        <v>1.59</v>
      </c>
      <c r="AO46" s="8">
        <f t="shared" si="64"/>
        <v>1.875</v>
      </c>
      <c r="AP46" s="8">
        <f t="shared" si="65"/>
        <v>10.3125</v>
      </c>
      <c r="AQ46" s="8">
        <f t="shared" si="51"/>
        <v>324.36</v>
      </c>
      <c r="AR46" s="8">
        <f t="shared" si="52"/>
        <v>20550.59558350028</v>
      </c>
    </row>
    <row r="47" spans="1:44" ht="12.75">
      <c r="A47">
        <v>2</v>
      </c>
      <c r="B47">
        <v>17</v>
      </c>
      <c r="C47">
        <v>7.08</v>
      </c>
      <c r="D47" s="1">
        <f t="shared" si="45"/>
        <v>778.8</v>
      </c>
      <c r="E47" s="1">
        <f t="shared" si="35"/>
        <v>424.8</v>
      </c>
      <c r="F47" s="1">
        <f t="shared" si="33"/>
        <v>247.8</v>
      </c>
      <c r="G47" s="1">
        <f t="shared" si="34"/>
        <v>1738.14</v>
      </c>
      <c r="H47" s="1">
        <f t="shared" si="36"/>
        <v>173.81400000000002</v>
      </c>
      <c r="I47" s="1">
        <f t="shared" si="37"/>
        <v>347.62800000000004</v>
      </c>
      <c r="J47" s="1">
        <f t="shared" si="38"/>
        <v>16</v>
      </c>
      <c r="K47" s="1">
        <f t="shared" si="39"/>
        <v>20</v>
      </c>
      <c r="L47" s="1">
        <f t="shared" si="40"/>
        <v>8</v>
      </c>
      <c r="M47" s="1">
        <f t="shared" si="41"/>
        <v>10</v>
      </c>
      <c r="N47" s="8">
        <f t="shared" si="42"/>
        <v>133.33333333333331</v>
      </c>
      <c r="O47" s="8">
        <f t="shared" si="43"/>
        <v>208.33333333333337</v>
      </c>
      <c r="P47">
        <v>200</v>
      </c>
      <c r="Q47" s="8">
        <v>0</v>
      </c>
      <c r="R47" s="8">
        <f t="shared" si="44"/>
        <v>1978.14</v>
      </c>
      <c r="S47" s="8"/>
      <c r="T47" s="8"/>
      <c r="U47" s="8">
        <f t="shared" si="10"/>
        <v>16.814190000000004</v>
      </c>
      <c r="V47" s="8">
        <f t="shared" si="11"/>
        <v>71.46030750000001</v>
      </c>
      <c r="W47" s="8">
        <f t="shared" si="53"/>
        <v>12.75</v>
      </c>
      <c r="X47" s="8">
        <f t="shared" si="54"/>
        <v>10.25</v>
      </c>
      <c r="Y47" s="8">
        <f t="shared" si="55"/>
        <v>0.15</v>
      </c>
      <c r="Z47" s="8">
        <f t="shared" si="56"/>
        <v>546.9</v>
      </c>
      <c r="AA47" s="8">
        <f t="shared" si="57"/>
        <v>1567.9716401535934</v>
      </c>
      <c r="AB47" s="8">
        <f t="shared" si="58"/>
        <v>14.924179799201365</v>
      </c>
      <c r="AC47" s="8"/>
      <c r="AD47" s="8">
        <f t="shared" si="46"/>
        <v>72.56139057710168</v>
      </c>
      <c r="AE47" s="8">
        <f t="shared" si="59"/>
        <v>51</v>
      </c>
      <c r="AF47" s="8">
        <f t="shared" si="66"/>
        <v>110.92417979920137</v>
      </c>
      <c r="AG47" s="8">
        <f t="shared" si="60"/>
        <v>84.96000000000001</v>
      </c>
      <c r="AH47" s="8">
        <f t="shared" si="61"/>
        <v>1.630815746683783</v>
      </c>
      <c r="AI47" s="8">
        <f t="shared" si="62"/>
        <v>0.564296106118956</v>
      </c>
      <c r="AJ47" s="8">
        <f t="shared" si="47"/>
        <v>0.0550532786457518</v>
      </c>
      <c r="AK47" s="8">
        <f t="shared" si="48"/>
        <v>1.5931284310665828</v>
      </c>
      <c r="AL47" s="8">
        <f t="shared" si="49"/>
        <v>0.4837426038473445</v>
      </c>
      <c r="AM47" s="8">
        <f t="shared" si="50"/>
        <v>0.5099094764727133</v>
      </c>
      <c r="AN47" s="8">
        <f t="shared" si="63"/>
        <v>1.59</v>
      </c>
      <c r="AO47" s="8">
        <f t="shared" si="64"/>
        <v>1.875</v>
      </c>
      <c r="AP47" s="8">
        <f t="shared" si="65"/>
        <v>10.3125</v>
      </c>
      <c r="AQ47" s="8">
        <f t="shared" si="51"/>
        <v>324.36</v>
      </c>
      <c r="AR47" s="8">
        <f t="shared" si="52"/>
        <v>20550.59558350028</v>
      </c>
    </row>
    <row r="48" spans="1:44" ht="12.75">
      <c r="A48">
        <v>18</v>
      </c>
      <c r="B48">
        <v>17</v>
      </c>
      <c r="C48">
        <v>7.08</v>
      </c>
      <c r="D48" s="1">
        <f t="shared" si="45"/>
        <v>778.8</v>
      </c>
      <c r="E48" s="1">
        <f t="shared" si="35"/>
        <v>424.8</v>
      </c>
      <c r="F48" s="1">
        <f t="shared" si="33"/>
        <v>247.8</v>
      </c>
      <c r="G48" s="1">
        <f t="shared" si="34"/>
        <v>1738.14</v>
      </c>
      <c r="H48" s="1">
        <f t="shared" si="36"/>
        <v>173.81400000000002</v>
      </c>
      <c r="I48" s="1">
        <f t="shared" si="37"/>
        <v>347.62800000000004</v>
      </c>
      <c r="J48" s="1">
        <f t="shared" si="38"/>
        <v>16</v>
      </c>
      <c r="K48" s="1">
        <f t="shared" si="39"/>
        <v>20</v>
      </c>
      <c r="L48" s="1">
        <f t="shared" si="40"/>
        <v>8</v>
      </c>
      <c r="M48" s="1">
        <f t="shared" si="41"/>
        <v>10</v>
      </c>
      <c r="N48" s="8">
        <f t="shared" si="42"/>
        <v>133.33333333333331</v>
      </c>
      <c r="O48" s="8">
        <f t="shared" si="43"/>
        <v>208.33333333333337</v>
      </c>
      <c r="P48">
        <v>200</v>
      </c>
      <c r="Q48" s="8">
        <v>0</v>
      </c>
      <c r="R48" s="8">
        <f t="shared" si="44"/>
        <v>1978.14</v>
      </c>
      <c r="S48" s="8"/>
      <c r="T48" s="8"/>
      <c r="U48" s="8">
        <f t="shared" si="10"/>
        <v>16.814190000000004</v>
      </c>
      <c r="V48" s="8">
        <f t="shared" si="11"/>
        <v>71.46030750000001</v>
      </c>
      <c r="W48" s="8">
        <f t="shared" si="53"/>
        <v>12.75</v>
      </c>
      <c r="X48" s="8">
        <f t="shared" si="54"/>
        <v>10.25</v>
      </c>
      <c r="Y48" s="8">
        <f t="shared" si="55"/>
        <v>0.15</v>
      </c>
      <c r="Z48" s="8">
        <f t="shared" si="56"/>
        <v>546.9</v>
      </c>
      <c r="AA48" s="8">
        <f t="shared" si="57"/>
        <v>1567.9716401535934</v>
      </c>
      <c r="AB48" s="8">
        <f t="shared" si="58"/>
        <v>14.924179799201365</v>
      </c>
      <c r="AC48" s="8"/>
      <c r="AD48" s="8">
        <f t="shared" si="46"/>
        <v>72.56139057710168</v>
      </c>
      <c r="AE48" s="8">
        <f t="shared" si="59"/>
        <v>51</v>
      </c>
      <c r="AF48" s="8">
        <f t="shared" si="66"/>
        <v>110.92417979920137</v>
      </c>
      <c r="AG48" s="8">
        <f t="shared" si="60"/>
        <v>84.96000000000001</v>
      </c>
      <c r="AH48" s="8">
        <f t="shared" si="61"/>
        <v>1.630815746683783</v>
      </c>
      <c r="AI48" s="8">
        <f t="shared" si="62"/>
        <v>0.564296106118956</v>
      </c>
      <c r="AJ48" s="8">
        <f t="shared" si="47"/>
        <v>0.0550532786457518</v>
      </c>
      <c r="AK48" s="8">
        <f t="shared" si="48"/>
        <v>1.5931284310665828</v>
      </c>
      <c r="AL48" s="8">
        <f t="shared" si="49"/>
        <v>0.4837426038473445</v>
      </c>
      <c r="AM48" s="8">
        <f t="shared" si="50"/>
        <v>0.5099094764727133</v>
      </c>
      <c r="AN48" s="8">
        <f t="shared" si="63"/>
        <v>1.59</v>
      </c>
      <c r="AO48" s="8">
        <f t="shared" si="64"/>
        <v>1.875</v>
      </c>
      <c r="AP48" s="8">
        <f t="shared" si="65"/>
        <v>10.3125</v>
      </c>
      <c r="AQ48" s="8">
        <f t="shared" si="51"/>
        <v>324.36</v>
      </c>
      <c r="AR48" s="8">
        <f t="shared" si="52"/>
        <v>20550.59558350028</v>
      </c>
    </row>
    <row r="49" spans="1:44" ht="12.75">
      <c r="A49">
        <v>4</v>
      </c>
      <c r="B49">
        <v>22.4</v>
      </c>
      <c r="C49">
        <v>9</v>
      </c>
      <c r="D49" s="1">
        <f t="shared" si="45"/>
        <v>990</v>
      </c>
      <c r="E49" s="1">
        <f t="shared" si="35"/>
        <v>540</v>
      </c>
      <c r="F49" s="1">
        <f t="shared" si="33"/>
        <v>315</v>
      </c>
      <c r="G49" s="1">
        <f t="shared" si="34"/>
        <v>2209.5</v>
      </c>
      <c r="H49" s="1">
        <f t="shared" si="36"/>
        <v>220.95000000000002</v>
      </c>
      <c r="I49" s="1">
        <f t="shared" si="37"/>
        <v>441.90000000000003</v>
      </c>
      <c r="J49" s="1">
        <f t="shared" si="38"/>
        <v>22</v>
      </c>
      <c r="K49" s="1">
        <f t="shared" si="39"/>
        <v>27</v>
      </c>
      <c r="L49" s="1">
        <f t="shared" si="40"/>
        <v>11</v>
      </c>
      <c r="M49" s="1">
        <f t="shared" si="41"/>
        <v>14</v>
      </c>
      <c r="N49" s="8">
        <f t="shared" si="42"/>
        <v>252.08333333333331</v>
      </c>
      <c r="O49" s="8">
        <f t="shared" si="43"/>
        <v>393.75</v>
      </c>
      <c r="P49">
        <v>300</v>
      </c>
      <c r="Q49" s="8">
        <v>0</v>
      </c>
      <c r="R49" s="8">
        <f t="shared" si="44"/>
        <v>2569.5</v>
      </c>
      <c r="S49" s="8"/>
      <c r="T49" s="8"/>
      <c r="U49" s="8">
        <f t="shared" si="10"/>
        <v>28.778399999999998</v>
      </c>
      <c r="V49" s="8">
        <f t="shared" si="11"/>
        <v>161.15903999999998</v>
      </c>
      <c r="W49" s="8">
        <f t="shared" si="53"/>
        <v>16.799999999999997</v>
      </c>
      <c r="X49" s="8">
        <f t="shared" si="54"/>
        <v>14.299999999999997</v>
      </c>
      <c r="Y49" s="8">
        <f t="shared" si="55"/>
        <v>0.15</v>
      </c>
      <c r="Z49" s="8">
        <f t="shared" si="56"/>
        <v>546.9</v>
      </c>
      <c r="AA49" s="8">
        <f t="shared" si="57"/>
        <v>3536.1281404278657</v>
      </c>
      <c r="AB49" s="8">
        <f t="shared" si="58"/>
        <v>17.292425744182438</v>
      </c>
      <c r="AC49" s="8"/>
      <c r="AD49" s="8">
        <f t="shared" si="46"/>
        <v>117.29600372693491</v>
      </c>
      <c r="AE49" s="8">
        <f t="shared" si="59"/>
        <v>67.19999999999999</v>
      </c>
      <c r="AF49" s="8">
        <f t="shared" si="66"/>
        <v>113.29242574418244</v>
      </c>
      <c r="AG49" s="8">
        <f t="shared" si="60"/>
        <v>108</v>
      </c>
      <c r="AH49" s="8">
        <f t="shared" si="61"/>
        <v>2.6362252484357747</v>
      </c>
      <c r="AI49" s="8">
        <f t="shared" si="62"/>
        <v>0.6922860421312435</v>
      </c>
      <c r="AJ49" s="8">
        <f t="shared" si="47"/>
        <v>0.0484116113378492</v>
      </c>
      <c r="AK49" s="8">
        <f t="shared" si="48"/>
        <v>2.5665391335217027</v>
      </c>
      <c r="AL49" s="8">
        <f t="shared" si="49"/>
        <v>0.781973358179566</v>
      </c>
      <c r="AM49" s="8">
        <f t="shared" si="50"/>
        <v>0.8242722938060294</v>
      </c>
      <c r="AN49" s="8">
        <f t="shared" si="63"/>
        <v>2.57</v>
      </c>
      <c r="AO49" s="8">
        <f t="shared" si="64"/>
        <v>1.875</v>
      </c>
      <c r="AP49" s="8">
        <f t="shared" si="65"/>
        <v>10.3125</v>
      </c>
      <c r="AQ49" s="8">
        <f t="shared" si="51"/>
        <v>690.8159999999998</v>
      </c>
      <c r="AR49" s="8">
        <f t="shared" si="52"/>
        <v>50200.60363239136</v>
      </c>
    </row>
    <row r="50" spans="1:44" ht="12.75">
      <c r="A50">
        <v>20</v>
      </c>
      <c r="B50">
        <v>22.4</v>
      </c>
      <c r="C50">
        <v>9</v>
      </c>
      <c r="D50" s="1">
        <f t="shared" si="45"/>
        <v>990</v>
      </c>
      <c r="E50" s="1">
        <f t="shared" si="35"/>
        <v>540</v>
      </c>
      <c r="F50" s="1">
        <f t="shared" si="33"/>
        <v>315</v>
      </c>
      <c r="G50" s="1">
        <f t="shared" si="34"/>
        <v>2209.5</v>
      </c>
      <c r="H50" s="1">
        <f t="shared" si="36"/>
        <v>220.95000000000002</v>
      </c>
      <c r="I50" s="1">
        <f t="shared" si="37"/>
        <v>441.90000000000003</v>
      </c>
      <c r="J50" s="1">
        <f t="shared" si="38"/>
        <v>22</v>
      </c>
      <c r="K50" s="1">
        <f t="shared" si="39"/>
        <v>27</v>
      </c>
      <c r="L50" s="1">
        <f t="shared" si="40"/>
        <v>11</v>
      </c>
      <c r="M50" s="1">
        <f t="shared" si="41"/>
        <v>14</v>
      </c>
      <c r="N50" s="8">
        <f t="shared" si="42"/>
        <v>252.08333333333331</v>
      </c>
      <c r="O50" s="8">
        <f t="shared" si="43"/>
        <v>393.75</v>
      </c>
      <c r="P50">
        <v>300</v>
      </c>
      <c r="Q50" s="8">
        <v>0</v>
      </c>
      <c r="R50" s="8">
        <f t="shared" si="44"/>
        <v>2569.5</v>
      </c>
      <c r="S50" s="8"/>
      <c r="T50" s="8"/>
      <c r="U50" s="8">
        <f t="shared" si="10"/>
        <v>28.778399999999998</v>
      </c>
      <c r="V50" s="8">
        <f t="shared" si="11"/>
        <v>161.15903999999998</v>
      </c>
      <c r="W50" s="8">
        <f t="shared" si="53"/>
        <v>16.799999999999997</v>
      </c>
      <c r="X50" s="8">
        <f t="shared" si="54"/>
        <v>14.299999999999997</v>
      </c>
      <c r="Y50" s="8">
        <f t="shared" si="55"/>
        <v>0.15</v>
      </c>
      <c r="Z50" s="8">
        <f t="shared" si="56"/>
        <v>546.9</v>
      </c>
      <c r="AA50" s="8">
        <f t="shared" si="57"/>
        <v>3536.1281404278657</v>
      </c>
      <c r="AB50" s="8">
        <f t="shared" si="58"/>
        <v>17.292425744182438</v>
      </c>
      <c r="AC50" s="8"/>
      <c r="AD50" s="8">
        <f t="shared" si="46"/>
        <v>117.29600372693491</v>
      </c>
      <c r="AE50" s="8">
        <f t="shared" si="59"/>
        <v>67.19999999999999</v>
      </c>
      <c r="AF50" s="8">
        <f t="shared" si="66"/>
        <v>113.29242574418244</v>
      </c>
      <c r="AG50" s="8">
        <f t="shared" si="60"/>
        <v>108</v>
      </c>
      <c r="AH50" s="8">
        <f t="shared" si="61"/>
        <v>2.6362252484357747</v>
      </c>
      <c r="AI50" s="8">
        <f t="shared" si="62"/>
        <v>0.6922860421312435</v>
      </c>
      <c r="AJ50" s="8">
        <f t="shared" si="47"/>
        <v>0.0484116113378492</v>
      </c>
      <c r="AK50" s="8">
        <f t="shared" si="48"/>
        <v>2.5665391335217027</v>
      </c>
      <c r="AL50" s="8">
        <f t="shared" si="49"/>
        <v>0.781973358179566</v>
      </c>
      <c r="AM50" s="8">
        <f t="shared" si="50"/>
        <v>0.8242722938060294</v>
      </c>
      <c r="AN50" s="8">
        <f t="shared" si="63"/>
        <v>2.57</v>
      </c>
      <c r="AO50" s="8">
        <f t="shared" si="64"/>
        <v>1.875</v>
      </c>
      <c r="AP50" s="8">
        <f t="shared" si="65"/>
        <v>10.3125</v>
      </c>
      <c r="AQ50" s="8">
        <f t="shared" si="51"/>
        <v>690.8159999999998</v>
      </c>
      <c r="AR50" s="8">
        <f t="shared" si="52"/>
        <v>50200.60363239136</v>
      </c>
    </row>
    <row r="51" spans="1:44" ht="12.75">
      <c r="A51">
        <v>13</v>
      </c>
      <c r="B51">
        <v>22.4</v>
      </c>
      <c r="C51">
        <v>9</v>
      </c>
      <c r="D51" s="1">
        <f t="shared" si="45"/>
        <v>990</v>
      </c>
      <c r="E51" s="1">
        <f t="shared" si="35"/>
        <v>540</v>
      </c>
      <c r="F51" s="1">
        <f t="shared" si="33"/>
        <v>315</v>
      </c>
      <c r="G51" s="1">
        <f t="shared" si="34"/>
        <v>2209.5</v>
      </c>
      <c r="H51" s="1">
        <f t="shared" si="36"/>
        <v>220.95000000000002</v>
      </c>
      <c r="I51" s="1">
        <f t="shared" si="37"/>
        <v>441.90000000000003</v>
      </c>
      <c r="J51" s="1">
        <f t="shared" si="38"/>
        <v>22</v>
      </c>
      <c r="K51" s="1">
        <f t="shared" si="39"/>
        <v>27</v>
      </c>
      <c r="L51" s="1">
        <f t="shared" si="40"/>
        <v>11</v>
      </c>
      <c r="M51" s="1">
        <f t="shared" si="41"/>
        <v>14</v>
      </c>
      <c r="N51" s="8">
        <f t="shared" si="42"/>
        <v>252.08333333333331</v>
      </c>
      <c r="O51" s="8">
        <f t="shared" si="43"/>
        <v>393.75</v>
      </c>
      <c r="P51">
        <v>300</v>
      </c>
      <c r="Q51" s="8">
        <v>0</v>
      </c>
      <c r="R51" s="8">
        <f t="shared" si="44"/>
        <v>2569.5</v>
      </c>
      <c r="S51" s="8"/>
      <c r="T51" s="8"/>
      <c r="U51" s="8">
        <f t="shared" si="10"/>
        <v>28.778399999999998</v>
      </c>
      <c r="V51" s="8">
        <f t="shared" si="11"/>
        <v>161.15903999999998</v>
      </c>
      <c r="W51" s="8">
        <f t="shared" si="53"/>
        <v>16.799999999999997</v>
      </c>
      <c r="X51" s="8">
        <f t="shared" si="54"/>
        <v>14.299999999999997</v>
      </c>
      <c r="Y51" s="8">
        <f t="shared" si="55"/>
        <v>0.15</v>
      </c>
      <c r="Z51" s="8">
        <f t="shared" si="56"/>
        <v>546.9</v>
      </c>
      <c r="AA51" s="8">
        <f t="shared" si="57"/>
        <v>3536.1281404278657</v>
      </c>
      <c r="AB51" s="8">
        <f t="shared" si="58"/>
        <v>17.292425744182438</v>
      </c>
      <c r="AC51" s="8"/>
      <c r="AD51" s="8">
        <f t="shared" si="46"/>
        <v>117.29600372693491</v>
      </c>
      <c r="AE51" s="8">
        <f t="shared" si="59"/>
        <v>67.19999999999999</v>
      </c>
      <c r="AF51" s="8">
        <f t="shared" si="66"/>
        <v>113.29242574418244</v>
      </c>
      <c r="AG51" s="8">
        <f t="shared" si="60"/>
        <v>108</v>
      </c>
      <c r="AH51" s="8">
        <f t="shared" si="61"/>
        <v>2.6362252484357747</v>
      </c>
      <c r="AI51" s="8">
        <f t="shared" si="62"/>
        <v>0.6922860421312435</v>
      </c>
      <c r="AJ51" s="8">
        <f t="shared" si="47"/>
        <v>0.0484116113378492</v>
      </c>
      <c r="AK51" s="8">
        <f t="shared" si="48"/>
        <v>2.5665391335217027</v>
      </c>
      <c r="AL51" s="8">
        <f t="shared" si="49"/>
        <v>0.781973358179566</v>
      </c>
      <c r="AM51" s="8">
        <f t="shared" si="50"/>
        <v>0.8242722938060294</v>
      </c>
      <c r="AN51" s="8">
        <f t="shared" si="63"/>
        <v>2.57</v>
      </c>
      <c r="AO51" s="8">
        <f t="shared" si="64"/>
        <v>1.875</v>
      </c>
      <c r="AP51" s="8">
        <f t="shared" si="65"/>
        <v>10.3125</v>
      </c>
      <c r="AQ51" s="8">
        <f t="shared" si="51"/>
        <v>690.8159999999998</v>
      </c>
      <c r="AR51" s="8">
        <f t="shared" si="52"/>
        <v>50200.60363239136</v>
      </c>
    </row>
    <row r="52" spans="1:44" ht="12.75">
      <c r="A52">
        <v>31</v>
      </c>
      <c r="B52">
        <v>22.4</v>
      </c>
      <c r="C52">
        <v>9</v>
      </c>
      <c r="D52" s="1">
        <f t="shared" si="45"/>
        <v>990</v>
      </c>
      <c r="E52" s="1">
        <f t="shared" si="35"/>
        <v>540</v>
      </c>
      <c r="F52" s="1">
        <f t="shared" si="33"/>
        <v>315</v>
      </c>
      <c r="G52" s="1">
        <f t="shared" si="34"/>
        <v>2209.5</v>
      </c>
      <c r="H52" s="1">
        <f t="shared" si="36"/>
        <v>220.95000000000002</v>
      </c>
      <c r="I52" s="1">
        <f t="shared" si="37"/>
        <v>441.90000000000003</v>
      </c>
      <c r="J52" s="1">
        <f t="shared" si="38"/>
        <v>22</v>
      </c>
      <c r="K52" s="1">
        <f t="shared" si="39"/>
        <v>27</v>
      </c>
      <c r="L52" s="1">
        <f t="shared" si="40"/>
        <v>11</v>
      </c>
      <c r="M52" s="1">
        <f t="shared" si="41"/>
        <v>14</v>
      </c>
      <c r="N52" s="8">
        <f t="shared" si="42"/>
        <v>252.08333333333331</v>
      </c>
      <c r="O52" s="8">
        <f t="shared" si="43"/>
        <v>393.75</v>
      </c>
      <c r="P52">
        <v>300</v>
      </c>
      <c r="Q52" s="8">
        <v>0</v>
      </c>
      <c r="R52" s="8">
        <f t="shared" si="44"/>
        <v>2569.5</v>
      </c>
      <c r="S52" s="8"/>
      <c r="T52" s="8"/>
      <c r="U52" s="8">
        <f t="shared" si="10"/>
        <v>28.778399999999998</v>
      </c>
      <c r="V52" s="8">
        <f t="shared" si="11"/>
        <v>161.15903999999998</v>
      </c>
      <c r="W52" s="8">
        <f t="shared" si="53"/>
        <v>16.799999999999997</v>
      </c>
      <c r="X52" s="8">
        <f t="shared" si="54"/>
        <v>14.299999999999997</v>
      </c>
      <c r="Y52" s="8">
        <f t="shared" si="55"/>
        <v>0.15</v>
      </c>
      <c r="Z52" s="8">
        <f t="shared" si="56"/>
        <v>546.9</v>
      </c>
      <c r="AA52" s="8">
        <f t="shared" si="57"/>
        <v>3536.1281404278657</v>
      </c>
      <c r="AB52" s="8">
        <f t="shared" si="58"/>
        <v>17.292425744182438</v>
      </c>
      <c r="AC52" s="8"/>
      <c r="AD52" s="8">
        <f t="shared" si="46"/>
        <v>117.29600372693491</v>
      </c>
      <c r="AE52" s="8">
        <f t="shared" si="59"/>
        <v>67.19999999999999</v>
      </c>
      <c r="AF52" s="8">
        <f t="shared" si="66"/>
        <v>113.29242574418244</v>
      </c>
      <c r="AG52" s="8">
        <f t="shared" si="60"/>
        <v>108</v>
      </c>
      <c r="AH52" s="8">
        <f t="shared" si="61"/>
        <v>2.6362252484357747</v>
      </c>
      <c r="AI52" s="8">
        <f t="shared" si="62"/>
        <v>0.6922860421312435</v>
      </c>
      <c r="AJ52" s="8">
        <f t="shared" si="47"/>
        <v>0.0484116113378492</v>
      </c>
      <c r="AK52" s="8">
        <f t="shared" si="48"/>
        <v>2.5665391335217027</v>
      </c>
      <c r="AL52" s="8">
        <f t="shared" si="49"/>
        <v>0.781973358179566</v>
      </c>
      <c r="AM52" s="8">
        <f t="shared" si="50"/>
        <v>0.8242722938060294</v>
      </c>
      <c r="AN52" s="8">
        <f t="shared" si="63"/>
        <v>2.57</v>
      </c>
      <c r="AO52" s="8">
        <f t="shared" si="64"/>
        <v>1.875</v>
      </c>
      <c r="AP52" s="8">
        <f t="shared" si="65"/>
        <v>10.3125</v>
      </c>
      <c r="AQ52" s="8">
        <f t="shared" si="51"/>
        <v>690.8159999999998</v>
      </c>
      <c r="AR52" s="8">
        <f t="shared" si="52"/>
        <v>50200.60363239136</v>
      </c>
    </row>
    <row r="53" spans="1:44" ht="12.75">
      <c r="A53" s="6" t="s">
        <v>108</v>
      </c>
      <c r="B53">
        <v>24</v>
      </c>
      <c r="C53">
        <v>7.16</v>
      </c>
      <c r="D53" s="1">
        <f t="shared" si="45"/>
        <v>787.6</v>
      </c>
      <c r="E53" s="1">
        <f t="shared" si="35"/>
        <v>429.6</v>
      </c>
      <c r="F53" s="1">
        <f t="shared" si="33"/>
        <v>250.6</v>
      </c>
      <c r="G53" s="1">
        <f t="shared" si="34"/>
        <v>1757.78</v>
      </c>
      <c r="H53" s="1">
        <f t="shared" si="36"/>
        <v>175.77800000000002</v>
      </c>
      <c r="I53" s="1">
        <f t="shared" si="37"/>
        <v>351.55600000000004</v>
      </c>
      <c r="J53" s="1">
        <f t="shared" si="38"/>
        <v>23</v>
      </c>
      <c r="K53" s="1">
        <f t="shared" si="39"/>
        <v>29</v>
      </c>
      <c r="L53" s="1">
        <f t="shared" si="40"/>
        <v>12</v>
      </c>
      <c r="M53" s="1">
        <f t="shared" si="41"/>
        <v>15</v>
      </c>
      <c r="N53" s="8">
        <f t="shared" si="42"/>
        <v>287.5</v>
      </c>
      <c r="O53" s="8">
        <f t="shared" si="43"/>
        <v>453.12499999999994</v>
      </c>
      <c r="P53">
        <v>300</v>
      </c>
      <c r="Q53" s="8">
        <v>0</v>
      </c>
      <c r="R53" s="8">
        <f t="shared" si="44"/>
        <v>2117.7799999999997</v>
      </c>
      <c r="S53" s="8">
        <v>22.45</v>
      </c>
      <c r="T53" s="8">
        <v>47.88</v>
      </c>
      <c r="U53" s="8">
        <v>25.25</v>
      </c>
      <c r="V53" s="8">
        <v>118.87</v>
      </c>
      <c r="W53" s="8">
        <f t="shared" si="53"/>
        <v>18</v>
      </c>
      <c r="X53" s="8">
        <f t="shared" si="54"/>
        <v>15.5</v>
      </c>
      <c r="Y53" s="8">
        <f t="shared" si="55"/>
        <v>0.15</v>
      </c>
      <c r="Z53" s="8">
        <f t="shared" si="56"/>
        <v>546.9</v>
      </c>
      <c r="AA53" s="8">
        <f t="shared" si="57"/>
        <v>2608.2281952825015</v>
      </c>
      <c r="AB53" s="8">
        <f t="shared" si="58"/>
        <v>10.856308825317385</v>
      </c>
      <c r="AC53" s="8"/>
      <c r="AD53" s="8">
        <f t="shared" si="46"/>
        <v>79.81879117319173</v>
      </c>
      <c r="AE53" s="8">
        <f t="shared" si="59"/>
        <v>72</v>
      </c>
      <c r="AF53" s="8">
        <f t="shared" si="66"/>
        <v>106.85630882531738</v>
      </c>
      <c r="AG53" s="8">
        <f t="shared" si="60"/>
        <v>85.92</v>
      </c>
      <c r="AH53" s="8">
        <f t="shared" si="61"/>
        <v>1.7939256744010563</v>
      </c>
      <c r="AI53" s="8">
        <f t="shared" si="62"/>
        <v>0.43968766529437653</v>
      </c>
      <c r="AJ53" s="8">
        <f t="shared" si="47"/>
        <v>0.02836694614802429</v>
      </c>
      <c r="AK53" s="8">
        <f t="shared" si="48"/>
        <v>1.7287490563738055</v>
      </c>
      <c r="AL53" s="8">
        <f t="shared" si="49"/>
        <v>0.5321252744879448</v>
      </c>
      <c r="AM53" s="8">
        <f t="shared" si="50"/>
        <v>0.5609092893080648</v>
      </c>
      <c r="AN53" s="8">
        <f t="shared" si="63"/>
        <v>1.73</v>
      </c>
      <c r="AO53" s="8">
        <f t="shared" si="64"/>
        <v>1.875</v>
      </c>
      <c r="AP53" s="8">
        <f t="shared" si="65"/>
        <v>10.3125</v>
      </c>
      <c r="AQ53" s="8">
        <f t="shared" si="51"/>
        <v>498.24</v>
      </c>
      <c r="AR53" s="8">
        <f t="shared" si="52"/>
        <v>37519.40330029688</v>
      </c>
    </row>
    <row r="54" spans="1:44" ht="12.75">
      <c r="A54" s="6" t="s">
        <v>109</v>
      </c>
      <c r="B54">
        <v>24</v>
      </c>
      <c r="C54">
        <v>7.16</v>
      </c>
      <c r="D54" s="1">
        <f t="shared" si="45"/>
        <v>787.6</v>
      </c>
      <c r="E54" s="1">
        <f>C54*60</f>
        <v>429.6</v>
      </c>
      <c r="F54" s="1">
        <f>C54*35</f>
        <v>250.6</v>
      </c>
      <c r="G54" s="1">
        <f>(1.2*D54)+(1.6*E54)+(0.5*F54)</f>
        <v>1757.78</v>
      </c>
      <c r="H54" s="1">
        <f t="shared" si="36"/>
        <v>175.77800000000002</v>
      </c>
      <c r="I54" s="1">
        <f t="shared" si="37"/>
        <v>351.55600000000004</v>
      </c>
      <c r="J54" s="1">
        <f>ROUND(((0.08*B54)*12),0)</f>
        <v>23</v>
      </c>
      <c r="K54" s="1">
        <f>ROUND(((0.1*B54)*12),0)</f>
        <v>29</v>
      </c>
      <c r="L54" s="1">
        <f>ROUND((0.5*J54),0)</f>
        <v>12</v>
      </c>
      <c r="M54" s="1">
        <f>ROUND((0.5*K54),0)</f>
        <v>15</v>
      </c>
      <c r="N54" s="8">
        <f>(L54/12)*(J54/12)*150</f>
        <v>287.5</v>
      </c>
      <c r="O54" s="8">
        <f>(M54/12)*(K54/12)*150</f>
        <v>453.12499999999994</v>
      </c>
      <c r="P54">
        <v>300</v>
      </c>
      <c r="Q54" s="8">
        <v>0</v>
      </c>
      <c r="R54" s="8">
        <f>(1.2*P54)+G54</f>
        <v>2117.7799999999997</v>
      </c>
      <c r="S54" s="8">
        <v>22.45</v>
      </c>
      <c r="T54" s="8">
        <v>47.88</v>
      </c>
      <c r="U54" s="8">
        <v>25.25</v>
      </c>
      <c r="V54" s="8">
        <v>611</v>
      </c>
      <c r="W54" s="8">
        <f t="shared" si="53"/>
        <v>18</v>
      </c>
      <c r="X54" s="8">
        <f t="shared" si="54"/>
        <v>15.5</v>
      </c>
      <c r="Y54" s="8">
        <f t="shared" si="55"/>
        <v>0.15</v>
      </c>
      <c r="Z54" s="8">
        <f t="shared" si="56"/>
        <v>546.9</v>
      </c>
      <c r="AA54" s="8">
        <f>(12000*V54)/Z54</f>
        <v>13406.472846955568</v>
      </c>
      <c r="AB54" s="8">
        <f>AA54/(X54^2)</f>
        <v>55.80217626204191</v>
      </c>
      <c r="AC54" s="8"/>
      <c r="AD54" s="8">
        <f t="shared" si="46"/>
        <v>410.2740927636925</v>
      </c>
      <c r="AE54" s="8">
        <f>(B54/4)*12</f>
        <v>72</v>
      </c>
      <c r="AF54" s="8">
        <f>((8*6)*2)+AB54</f>
        <v>151.8021762620419</v>
      </c>
      <c r="AG54" s="8">
        <f>C54*12</f>
        <v>85.92</v>
      </c>
      <c r="AH54" s="8">
        <f>(V54*12000)/(0.9*60000*0.95*X54)</f>
        <v>9.220901716657234</v>
      </c>
      <c r="AI54" s="8">
        <f>(AH54*60000)/(0.85*4000*(MIN(AE54:AG54)))</f>
        <v>2.260024930553244</v>
      </c>
      <c r="AJ54" s="8">
        <f t="shared" si="47"/>
        <v>0.14580806003569316</v>
      </c>
      <c r="AK54" s="8">
        <f t="shared" si="48"/>
        <v>9.448705327662033</v>
      </c>
      <c r="AL54" s="8">
        <f t="shared" si="49"/>
        <v>2.735160618424617</v>
      </c>
      <c r="AM54" s="8">
        <f t="shared" si="50"/>
        <v>2.883112440205499</v>
      </c>
      <c r="AN54" s="8">
        <f>ROUND(MAX(AK54:AM54),2)</f>
        <v>9.45</v>
      </c>
      <c r="AO54" s="8">
        <f t="shared" si="64"/>
        <v>1.875</v>
      </c>
      <c r="AP54" s="8">
        <f t="shared" si="65"/>
        <v>10.3125</v>
      </c>
      <c r="AQ54" s="8">
        <f t="shared" si="51"/>
        <v>2721.6</v>
      </c>
      <c r="AR54" s="8">
        <f t="shared" si="52"/>
        <v>192852.32116161686</v>
      </c>
    </row>
    <row r="55" spans="1:44" ht="12.75">
      <c r="A55" s="6" t="s">
        <v>107</v>
      </c>
      <c r="B55">
        <v>24</v>
      </c>
      <c r="C55">
        <v>7.16</v>
      </c>
      <c r="D55" s="1">
        <f t="shared" si="45"/>
        <v>787.6</v>
      </c>
      <c r="E55" s="1">
        <f t="shared" si="35"/>
        <v>429.6</v>
      </c>
      <c r="F55" s="1">
        <f t="shared" si="33"/>
        <v>250.6</v>
      </c>
      <c r="G55" s="1">
        <f t="shared" si="34"/>
        <v>1757.78</v>
      </c>
      <c r="H55" s="1">
        <f t="shared" si="36"/>
        <v>175.77800000000002</v>
      </c>
      <c r="I55" s="1">
        <f t="shared" si="37"/>
        <v>351.55600000000004</v>
      </c>
      <c r="J55" s="1">
        <f t="shared" si="38"/>
        <v>23</v>
      </c>
      <c r="K55" s="1">
        <f t="shared" si="39"/>
        <v>29</v>
      </c>
      <c r="L55" s="1">
        <f t="shared" si="40"/>
        <v>12</v>
      </c>
      <c r="M55" s="1">
        <f t="shared" si="41"/>
        <v>15</v>
      </c>
      <c r="N55" s="8">
        <f t="shared" si="42"/>
        <v>287.5</v>
      </c>
      <c r="O55" s="8">
        <f t="shared" si="43"/>
        <v>453.12499999999994</v>
      </c>
      <c r="P55">
        <v>300</v>
      </c>
      <c r="Q55" s="8">
        <v>0</v>
      </c>
      <c r="R55" s="8">
        <f t="shared" si="44"/>
        <v>2117.7799999999997</v>
      </c>
      <c r="S55" s="8">
        <v>22.45</v>
      </c>
      <c r="T55" s="8">
        <v>47.88</v>
      </c>
      <c r="U55" s="8">
        <v>25.25</v>
      </c>
      <c r="V55" s="8">
        <v>118.87</v>
      </c>
      <c r="W55" s="8">
        <f t="shared" si="53"/>
        <v>18</v>
      </c>
      <c r="X55" s="8">
        <f t="shared" si="54"/>
        <v>15.5</v>
      </c>
      <c r="Y55" s="8">
        <f t="shared" si="55"/>
        <v>0.15</v>
      </c>
      <c r="Z55" s="8">
        <f t="shared" si="56"/>
        <v>546.9</v>
      </c>
      <c r="AA55" s="8">
        <f t="shared" si="57"/>
        <v>2608.2281952825015</v>
      </c>
      <c r="AB55" s="8">
        <f t="shared" si="58"/>
        <v>10.856308825317385</v>
      </c>
      <c r="AC55" s="8"/>
      <c r="AD55" s="8">
        <f t="shared" si="46"/>
        <v>79.81879117319173</v>
      </c>
      <c r="AE55" s="8">
        <f t="shared" si="59"/>
        <v>72</v>
      </c>
      <c r="AF55" s="8">
        <f t="shared" si="66"/>
        <v>106.85630882531738</v>
      </c>
      <c r="AG55" s="8">
        <f t="shared" si="60"/>
        <v>85.92</v>
      </c>
      <c r="AH55" s="8">
        <f t="shared" si="61"/>
        <v>1.7939256744010563</v>
      </c>
      <c r="AI55" s="8">
        <f t="shared" si="62"/>
        <v>0.43968766529437653</v>
      </c>
      <c r="AJ55" s="8">
        <f t="shared" si="47"/>
        <v>0.02836694614802429</v>
      </c>
      <c r="AK55" s="8">
        <f t="shared" si="48"/>
        <v>1.7287490563738055</v>
      </c>
      <c r="AL55" s="8">
        <f t="shared" si="49"/>
        <v>0.5321252744879448</v>
      </c>
      <c r="AM55" s="8">
        <f t="shared" si="50"/>
        <v>0.5609092893080648</v>
      </c>
      <c r="AN55" s="8">
        <f t="shared" si="63"/>
        <v>1.73</v>
      </c>
      <c r="AO55" s="8">
        <f t="shared" si="64"/>
        <v>1.875</v>
      </c>
      <c r="AP55" s="8">
        <f t="shared" si="65"/>
        <v>10.3125</v>
      </c>
      <c r="AQ55" s="8">
        <f t="shared" si="51"/>
        <v>498.24</v>
      </c>
      <c r="AR55" s="8">
        <f t="shared" si="52"/>
        <v>37519.40330029688</v>
      </c>
    </row>
    <row r="56" spans="1:44" ht="12.75">
      <c r="A56" s="6" t="s">
        <v>106</v>
      </c>
      <c r="B56">
        <v>24</v>
      </c>
      <c r="C56">
        <v>7.16</v>
      </c>
      <c r="D56" s="1">
        <f t="shared" si="45"/>
        <v>787.6</v>
      </c>
      <c r="E56" s="1">
        <f>C56*60</f>
        <v>429.6</v>
      </c>
      <c r="F56" s="1">
        <f>C56*35</f>
        <v>250.6</v>
      </c>
      <c r="G56" s="1">
        <f>(1.2*D56)+(1.6*E56)+(0.5*F56)</f>
        <v>1757.78</v>
      </c>
      <c r="H56" s="1">
        <f t="shared" si="36"/>
        <v>175.77800000000002</v>
      </c>
      <c r="I56" s="1">
        <f t="shared" si="37"/>
        <v>351.55600000000004</v>
      </c>
      <c r="J56" s="1">
        <f>ROUND(((0.08*B56)*12),0)</f>
        <v>23</v>
      </c>
      <c r="K56" s="1">
        <f>ROUND(((0.1*B56)*12),0)</f>
        <v>29</v>
      </c>
      <c r="L56" s="1">
        <f>ROUND((0.5*J56),0)</f>
        <v>12</v>
      </c>
      <c r="M56" s="1">
        <f>ROUND((0.5*K56),0)</f>
        <v>15</v>
      </c>
      <c r="N56" s="8">
        <f>(L56/12)*(J56/12)*150</f>
        <v>287.5</v>
      </c>
      <c r="O56" s="8">
        <f>(M56/12)*(K56/12)*150</f>
        <v>453.12499999999994</v>
      </c>
      <c r="P56">
        <v>300</v>
      </c>
      <c r="Q56" s="8">
        <v>0</v>
      </c>
      <c r="R56" s="8">
        <f>(1.2*P56)+G56</f>
        <v>2117.7799999999997</v>
      </c>
      <c r="S56" s="8">
        <v>22.45</v>
      </c>
      <c r="T56" s="8">
        <v>47.88</v>
      </c>
      <c r="U56" s="8">
        <v>25.25</v>
      </c>
      <c r="V56" s="8">
        <v>611</v>
      </c>
      <c r="W56" s="8">
        <f t="shared" si="53"/>
        <v>18</v>
      </c>
      <c r="X56" s="8">
        <f t="shared" si="54"/>
        <v>15.5</v>
      </c>
      <c r="Y56" s="8">
        <f t="shared" si="55"/>
        <v>0.15</v>
      </c>
      <c r="Z56" s="8">
        <f t="shared" si="56"/>
        <v>546.9</v>
      </c>
      <c r="AA56" s="8">
        <f>(12000*V56)/Z56</f>
        <v>13406.472846955568</v>
      </c>
      <c r="AB56" s="8">
        <f>AA56/(X56^2)</f>
        <v>55.80217626204191</v>
      </c>
      <c r="AC56" s="8"/>
      <c r="AD56" s="8">
        <f t="shared" si="46"/>
        <v>410.2740927636925</v>
      </c>
      <c r="AE56" s="8">
        <f>(B56/4)*12</f>
        <v>72</v>
      </c>
      <c r="AF56" s="8">
        <f>((8*6)*2)+AB56</f>
        <v>151.8021762620419</v>
      </c>
      <c r="AG56" s="8">
        <f>C56*12</f>
        <v>85.92</v>
      </c>
      <c r="AH56" s="8">
        <f>(V56*12000)/(0.9*60000*0.95*X56)</f>
        <v>9.220901716657234</v>
      </c>
      <c r="AI56" s="8">
        <f>(AH56*60000)/(0.85*4000*(MIN(AE56:AG56)))</f>
        <v>2.260024930553244</v>
      </c>
      <c r="AJ56" s="8">
        <f t="shared" si="47"/>
        <v>0.14580806003569316</v>
      </c>
      <c r="AK56" s="8">
        <f t="shared" si="48"/>
        <v>9.448705327662033</v>
      </c>
      <c r="AL56" s="8">
        <f t="shared" si="49"/>
        <v>2.735160618424617</v>
      </c>
      <c r="AM56" s="8">
        <f t="shared" si="50"/>
        <v>2.883112440205499</v>
      </c>
      <c r="AN56" s="8">
        <f>ROUND(MAX(AK56:AM56),2)</f>
        <v>9.45</v>
      </c>
      <c r="AO56" s="8">
        <f t="shared" si="64"/>
        <v>1.875</v>
      </c>
      <c r="AP56" s="8">
        <f t="shared" si="65"/>
        <v>10.3125</v>
      </c>
      <c r="AQ56" s="8">
        <f t="shared" si="51"/>
        <v>2721.6</v>
      </c>
      <c r="AR56" s="8">
        <f t="shared" si="52"/>
        <v>192852.32116161686</v>
      </c>
    </row>
    <row r="57" spans="1:44" ht="12.75">
      <c r="A57" s="6" t="s">
        <v>102</v>
      </c>
      <c r="B57">
        <v>31.45</v>
      </c>
      <c r="C57">
        <v>8.6</v>
      </c>
      <c r="D57" s="1">
        <f t="shared" si="45"/>
        <v>946</v>
      </c>
      <c r="E57" s="1">
        <f aca="true" t="shared" si="67" ref="E57:E64">C57*60</f>
        <v>516</v>
      </c>
      <c r="F57" s="1">
        <f t="shared" si="33"/>
        <v>301</v>
      </c>
      <c r="G57" s="1">
        <f t="shared" si="34"/>
        <v>2111.3</v>
      </c>
      <c r="H57" s="1">
        <f t="shared" si="36"/>
        <v>211.13000000000002</v>
      </c>
      <c r="I57" s="1">
        <f t="shared" si="37"/>
        <v>422.26000000000005</v>
      </c>
      <c r="J57" s="1">
        <f t="shared" si="38"/>
        <v>30</v>
      </c>
      <c r="K57" s="1">
        <f t="shared" si="39"/>
        <v>38</v>
      </c>
      <c r="L57" s="1">
        <f t="shared" si="40"/>
        <v>15</v>
      </c>
      <c r="M57" s="1">
        <f t="shared" si="41"/>
        <v>19</v>
      </c>
      <c r="N57" s="8">
        <f t="shared" si="42"/>
        <v>468.75</v>
      </c>
      <c r="O57" s="8">
        <f t="shared" si="43"/>
        <v>752.0833333333333</v>
      </c>
      <c r="P57">
        <v>800</v>
      </c>
      <c r="Q57" s="8">
        <v>0</v>
      </c>
      <c r="R57" s="8">
        <f aca="true" t="shared" si="68" ref="R57:R64">(1.2*P57)+G57</f>
        <v>3071.3</v>
      </c>
      <c r="S57" s="8">
        <v>28.7</v>
      </c>
      <c r="T57" s="8">
        <v>62.2</v>
      </c>
      <c r="U57" s="8">
        <v>39.32</v>
      </c>
      <c r="V57" s="8">
        <v>252.2</v>
      </c>
      <c r="W57" s="8">
        <f t="shared" si="53"/>
        <v>23.5875</v>
      </c>
      <c r="X57" s="8">
        <f t="shared" si="54"/>
        <v>21.0875</v>
      </c>
      <c r="Y57" s="8">
        <f aca="true" t="shared" si="69" ref="Y57:Y64">(60000/4000)*0.01</f>
        <v>0.15</v>
      </c>
      <c r="Z57" s="8">
        <f aca="true" t="shared" si="70" ref="Z57:Z64">4000*Y57*(1-(0.59*Y57))</f>
        <v>546.9</v>
      </c>
      <c r="AA57" s="8">
        <f aca="true" t="shared" si="71" ref="AA57:AA64">(12000*V57)/Z57</f>
        <v>5533.735600658256</v>
      </c>
      <c r="AB57" s="8">
        <f>AA57/(X57^2)</f>
        <v>12.444235283031137</v>
      </c>
      <c r="AC57" s="8"/>
      <c r="AD57" s="8">
        <f t="shared" si="46"/>
        <v>124.47569745517524</v>
      </c>
      <c r="AE57" s="8">
        <f t="shared" si="59"/>
        <v>94.35</v>
      </c>
      <c r="AF57" s="8">
        <f>((8*6)*2)+AB57</f>
        <v>108.44423528303113</v>
      </c>
      <c r="AG57" s="8">
        <f aca="true" t="shared" si="72" ref="AG57:AG64">C57*12</f>
        <v>103.19999999999999</v>
      </c>
      <c r="AH57" s="8">
        <f aca="true" t="shared" si="73" ref="AH57:AH64">(V57*12000)/(0.9*60000*0.95*X57)</f>
        <v>2.797588715911494</v>
      </c>
      <c r="AI57" s="8">
        <f aca="true" t="shared" si="74" ref="AI57:AI64">(AH57*60000)/(0.85*4000*(MIN(AE57:AG57)))</f>
        <v>0.5232560957470296</v>
      </c>
      <c r="AJ57" s="8">
        <f t="shared" si="47"/>
        <v>0.024813567077511776</v>
      </c>
      <c r="AK57" s="8">
        <f t="shared" si="48"/>
        <v>2.6910971398113235</v>
      </c>
      <c r="AL57" s="8">
        <f t="shared" si="49"/>
        <v>0.8298379830345015</v>
      </c>
      <c r="AM57" s="8">
        <f t="shared" si="50"/>
        <v>0.874726038436397</v>
      </c>
      <c r="AN57" s="8">
        <f aca="true" t="shared" si="75" ref="AN57:AN64">ROUND(MAX(AK57:AM57),2)</f>
        <v>2.69</v>
      </c>
      <c r="AO57" s="8">
        <f aca="true" t="shared" si="76" ref="AO57:AO64">1.875</f>
        <v>1.875</v>
      </c>
      <c r="AP57" s="8">
        <f aca="true" t="shared" si="77" ref="AP57:AP64">(540/(0.6*60))-(2.5*AO57)</f>
        <v>10.3125</v>
      </c>
      <c r="AQ57" s="8">
        <f t="shared" si="51"/>
        <v>1015.2059999999999</v>
      </c>
      <c r="AR57" s="8">
        <f t="shared" si="52"/>
        <v>82598.89168641303</v>
      </c>
    </row>
    <row r="58" spans="1:44" ht="12.75">
      <c r="A58" s="6" t="s">
        <v>103</v>
      </c>
      <c r="B58">
        <v>31.45</v>
      </c>
      <c r="C58">
        <v>8.6</v>
      </c>
      <c r="D58" s="1">
        <f t="shared" si="45"/>
        <v>946</v>
      </c>
      <c r="E58" s="1">
        <f>C58*60</f>
        <v>516</v>
      </c>
      <c r="F58" s="1">
        <f>C58*35</f>
        <v>301</v>
      </c>
      <c r="G58" s="1">
        <f>(1.2*D58)+(1.6*E58)+(0.5*F58)</f>
        <v>2111.3</v>
      </c>
      <c r="H58" s="1">
        <f t="shared" si="36"/>
        <v>211.13000000000002</v>
      </c>
      <c r="I58" s="1">
        <f t="shared" si="37"/>
        <v>422.26000000000005</v>
      </c>
      <c r="J58" s="1">
        <f>ROUND(((0.08*B58)*12),0)</f>
        <v>30</v>
      </c>
      <c r="K58" s="1">
        <f>ROUND(((0.1*B58)*12),0)</f>
        <v>38</v>
      </c>
      <c r="L58" s="1">
        <f aca="true" t="shared" si="78" ref="L58:M60">ROUND((0.5*J58),0)</f>
        <v>15</v>
      </c>
      <c r="M58" s="1">
        <f t="shared" si="78"/>
        <v>19</v>
      </c>
      <c r="N58" s="8">
        <f aca="true" t="shared" si="79" ref="N58:O60">(L58/12)*(J58/12)*150</f>
        <v>468.75</v>
      </c>
      <c r="O58" s="8">
        <f t="shared" si="79"/>
        <v>752.0833333333333</v>
      </c>
      <c r="P58">
        <v>800</v>
      </c>
      <c r="Q58" s="8">
        <v>0</v>
      </c>
      <c r="R58" s="8">
        <f>(1.2*P58)+G58</f>
        <v>3071.3</v>
      </c>
      <c r="S58" s="8">
        <v>28.7</v>
      </c>
      <c r="T58" s="8">
        <v>62.2</v>
      </c>
      <c r="U58" s="8">
        <v>39.32</v>
      </c>
      <c r="V58" s="8">
        <v>38.37</v>
      </c>
      <c r="W58" s="8">
        <f t="shared" si="53"/>
        <v>23.5875</v>
      </c>
      <c r="X58" s="8">
        <f t="shared" si="54"/>
        <v>21.0875</v>
      </c>
      <c r="Y58" s="8">
        <f t="shared" si="69"/>
        <v>0.15</v>
      </c>
      <c r="Z58" s="8">
        <f t="shared" si="70"/>
        <v>546.9</v>
      </c>
      <c r="AA58" s="8">
        <f>(12000*V58)/Z58</f>
        <v>841.9089413055402</v>
      </c>
      <c r="AB58" s="8">
        <f>AA58/(X58^2)</f>
        <v>1.8932803640361011</v>
      </c>
      <c r="AC58" s="8"/>
      <c r="AD58" s="8">
        <f t="shared" si="46"/>
        <v>18.93787673019458</v>
      </c>
      <c r="AE58" s="8">
        <f>(B58/4)*12</f>
        <v>94.35</v>
      </c>
      <c r="AF58" s="8">
        <f>((8*6)*2)+AB58</f>
        <v>97.8932803640361</v>
      </c>
      <c r="AG58" s="8">
        <f>C58*12</f>
        <v>103.19999999999999</v>
      </c>
      <c r="AH58" s="8">
        <f>(V58*12000)/(0.9*60000*0.95*X58)</f>
        <v>0.42562838631849326</v>
      </c>
      <c r="AI58" s="8">
        <f>(AH58*60000)/(0.85*4000*(MIN(AE58:AG58)))</f>
        <v>0.07960878823875306</v>
      </c>
      <c r="AJ58" s="8">
        <f t="shared" si="47"/>
        <v>0.003775164824600027</v>
      </c>
      <c r="AK58" s="8">
        <f t="shared" si="48"/>
        <v>0.405111648625532</v>
      </c>
      <c r="AL58" s="8">
        <f t="shared" si="49"/>
        <v>0.12625251153463055</v>
      </c>
      <c r="AM58" s="8">
        <f t="shared" si="50"/>
        <v>0.13308183225537093</v>
      </c>
      <c r="AN58" s="8">
        <f>ROUND(MAX(AK58:AM58),2)</f>
        <v>0.41</v>
      </c>
      <c r="AO58" s="8">
        <f t="shared" si="76"/>
        <v>1.875</v>
      </c>
      <c r="AP58" s="8">
        <f t="shared" si="77"/>
        <v>10.3125</v>
      </c>
      <c r="AQ58" s="8">
        <f t="shared" si="51"/>
        <v>154.73399999999998</v>
      </c>
      <c r="AR58" s="8">
        <f t="shared" si="52"/>
        <v>12566.69101509781</v>
      </c>
    </row>
    <row r="59" spans="1:44" ht="12.75">
      <c r="A59" s="6" t="s">
        <v>105</v>
      </c>
      <c r="B59">
        <v>31.45</v>
      </c>
      <c r="C59">
        <v>8.6</v>
      </c>
      <c r="D59" s="1">
        <f t="shared" si="45"/>
        <v>946</v>
      </c>
      <c r="E59" s="1">
        <f>C59*60</f>
        <v>516</v>
      </c>
      <c r="F59" s="1">
        <f>C59*35</f>
        <v>301</v>
      </c>
      <c r="G59" s="1">
        <f>(1.2*D59)+(1.6*E59)+(0.5*F59)</f>
        <v>2111.3</v>
      </c>
      <c r="H59" s="1">
        <f t="shared" si="36"/>
        <v>211.13000000000002</v>
      </c>
      <c r="I59" s="1">
        <f t="shared" si="37"/>
        <v>422.26000000000005</v>
      </c>
      <c r="J59" s="1">
        <f>ROUND(((0.08*B59)*12),0)</f>
        <v>30</v>
      </c>
      <c r="K59" s="1">
        <f>ROUND(((0.1*B59)*12),0)</f>
        <v>38</v>
      </c>
      <c r="L59" s="1">
        <f t="shared" si="78"/>
        <v>15</v>
      </c>
      <c r="M59" s="1">
        <f t="shared" si="78"/>
        <v>19</v>
      </c>
      <c r="N59" s="8">
        <f t="shared" si="79"/>
        <v>468.75</v>
      </c>
      <c r="O59" s="8">
        <f t="shared" si="79"/>
        <v>752.0833333333333</v>
      </c>
      <c r="P59">
        <v>800</v>
      </c>
      <c r="Q59" s="8">
        <v>0</v>
      </c>
      <c r="R59" s="8">
        <f>(1.2*P59)+G59</f>
        <v>3071.3</v>
      </c>
      <c r="S59" s="8">
        <v>28.7</v>
      </c>
      <c r="T59" s="8">
        <v>62.2</v>
      </c>
      <c r="U59" s="8">
        <v>39.32</v>
      </c>
      <c r="V59" s="8">
        <v>252.2</v>
      </c>
      <c r="W59" s="8">
        <f t="shared" si="53"/>
        <v>23.5875</v>
      </c>
      <c r="X59" s="8">
        <f t="shared" si="54"/>
        <v>21.0875</v>
      </c>
      <c r="Y59" s="8">
        <f t="shared" si="69"/>
        <v>0.15</v>
      </c>
      <c r="Z59" s="8">
        <f t="shared" si="70"/>
        <v>546.9</v>
      </c>
      <c r="AA59" s="8">
        <f>(12000*V59)/Z59</f>
        <v>5533.735600658256</v>
      </c>
      <c r="AB59" s="8">
        <f>AA59/(X59^2)</f>
        <v>12.444235283031137</v>
      </c>
      <c r="AC59" s="8"/>
      <c r="AD59" s="8">
        <f t="shared" si="46"/>
        <v>124.47569745517524</v>
      </c>
      <c r="AE59" s="8">
        <f>(B59/4)*12</f>
        <v>94.35</v>
      </c>
      <c r="AF59" s="8">
        <f>((8*6)*2)+AB59</f>
        <v>108.44423528303113</v>
      </c>
      <c r="AG59" s="8">
        <f>C59*12</f>
        <v>103.19999999999999</v>
      </c>
      <c r="AH59" s="8">
        <f>(V59*12000)/(0.9*60000*0.95*X59)</f>
        <v>2.797588715911494</v>
      </c>
      <c r="AI59" s="8">
        <f>(AH59*60000)/(0.85*4000*(MIN(AE59:AG59)))</f>
        <v>0.5232560957470296</v>
      </c>
      <c r="AJ59" s="8">
        <f t="shared" si="47"/>
        <v>0.024813567077511776</v>
      </c>
      <c r="AK59" s="8">
        <f t="shared" si="48"/>
        <v>2.6910971398113235</v>
      </c>
      <c r="AL59" s="8">
        <f t="shared" si="49"/>
        <v>0.8298379830345015</v>
      </c>
      <c r="AM59" s="8">
        <f t="shared" si="50"/>
        <v>0.874726038436397</v>
      </c>
      <c r="AN59" s="8">
        <f>ROUND(MAX(AK59:AM59),2)</f>
        <v>2.69</v>
      </c>
      <c r="AO59" s="8">
        <f t="shared" si="76"/>
        <v>1.875</v>
      </c>
      <c r="AP59" s="8">
        <f t="shared" si="77"/>
        <v>10.3125</v>
      </c>
      <c r="AQ59" s="8">
        <f t="shared" si="51"/>
        <v>1015.2059999999999</v>
      </c>
      <c r="AR59" s="8">
        <f t="shared" si="52"/>
        <v>82598.89168641303</v>
      </c>
    </row>
    <row r="60" spans="1:44" ht="12.75">
      <c r="A60" s="6" t="s">
        <v>104</v>
      </c>
      <c r="B60">
        <v>31.45</v>
      </c>
      <c r="C60">
        <v>8.6</v>
      </c>
      <c r="D60" s="1">
        <f t="shared" si="45"/>
        <v>946</v>
      </c>
      <c r="E60" s="1">
        <f>C60*60</f>
        <v>516</v>
      </c>
      <c r="F60" s="1">
        <f>C60*35</f>
        <v>301</v>
      </c>
      <c r="G60" s="1">
        <f>(1.2*D60)+(1.6*E60)+(0.5*F60)</f>
        <v>2111.3</v>
      </c>
      <c r="H60" s="1">
        <f t="shared" si="36"/>
        <v>211.13000000000002</v>
      </c>
      <c r="I60" s="1">
        <f t="shared" si="37"/>
        <v>422.26000000000005</v>
      </c>
      <c r="J60" s="1">
        <f>ROUND(((0.08*B60)*12),0)</f>
        <v>30</v>
      </c>
      <c r="K60" s="1">
        <f>ROUND(((0.1*B60)*12),0)</f>
        <v>38</v>
      </c>
      <c r="L60" s="1">
        <f t="shared" si="78"/>
        <v>15</v>
      </c>
      <c r="M60" s="1">
        <f t="shared" si="78"/>
        <v>19</v>
      </c>
      <c r="N60" s="8">
        <f t="shared" si="79"/>
        <v>468.75</v>
      </c>
      <c r="O60" s="8">
        <f t="shared" si="79"/>
        <v>752.0833333333333</v>
      </c>
      <c r="P60">
        <v>800</v>
      </c>
      <c r="Q60" s="8">
        <v>0</v>
      </c>
      <c r="R60" s="8">
        <f>(1.2*P60)+G60</f>
        <v>3071.3</v>
      </c>
      <c r="S60" s="8">
        <v>28.7</v>
      </c>
      <c r="T60" s="8">
        <v>62.2</v>
      </c>
      <c r="U60" s="8">
        <v>39.32</v>
      </c>
      <c r="V60" s="8">
        <v>38.37</v>
      </c>
      <c r="W60" s="8">
        <f t="shared" si="53"/>
        <v>23.5875</v>
      </c>
      <c r="X60" s="8">
        <f t="shared" si="54"/>
        <v>21.0875</v>
      </c>
      <c r="Y60" s="8">
        <f t="shared" si="69"/>
        <v>0.15</v>
      </c>
      <c r="Z60" s="8">
        <f t="shared" si="70"/>
        <v>546.9</v>
      </c>
      <c r="AA60" s="8">
        <f>(12000*V60)/Z60</f>
        <v>841.9089413055402</v>
      </c>
      <c r="AB60" s="8">
        <f>AA60/(X60^2)</f>
        <v>1.8932803640361011</v>
      </c>
      <c r="AC60" s="8"/>
      <c r="AD60" s="8">
        <f t="shared" si="46"/>
        <v>18.93787673019458</v>
      </c>
      <c r="AE60" s="8">
        <f>(B60/4)*12</f>
        <v>94.35</v>
      </c>
      <c r="AF60" s="8">
        <f>((8*6)*2)+AB60</f>
        <v>97.8932803640361</v>
      </c>
      <c r="AG60" s="8">
        <f>C60*12</f>
        <v>103.19999999999999</v>
      </c>
      <c r="AH60" s="8">
        <f>(V60*12000)/(0.9*60000*0.95*X60)</f>
        <v>0.42562838631849326</v>
      </c>
      <c r="AI60" s="8">
        <f>(AH60*60000)/(0.85*4000*(MIN(AE60:AG60)))</f>
        <v>0.07960878823875306</v>
      </c>
      <c r="AJ60" s="8">
        <f t="shared" si="47"/>
        <v>0.003775164824600027</v>
      </c>
      <c r="AK60" s="8">
        <f t="shared" si="48"/>
        <v>0.405111648625532</v>
      </c>
      <c r="AL60" s="8">
        <f t="shared" si="49"/>
        <v>0.12625251153463055</v>
      </c>
      <c r="AM60" s="8">
        <f t="shared" si="50"/>
        <v>0.13308183225537093</v>
      </c>
      <c r="AN60" s="8">
        <f>ROUND(MAX(AK60:AM60),2)</f>
        <v>0.41</v>
      </c>
      <c r="AO60" s="8">
        <f t="shared" si="76"/>
        <v>1.875</v>
      </c>
      <c r="AP60" s="8">
        <f t="shared" si="77"/>
        <v>10.3125</v>
      </c>
      <c r="AQ60" s="8">
        <f t="shared" si="51"/>
        <v>154.73399999999998</v>
      </c>
      <c r="AR60" s="8">
        <f t="shared" si="52"/>
        <v>12566.69101509781</v>
      </c>
    </row>
    <row r="61" spans="1:44" ht="12.75">
      <c r="A61">
        <v>3</v>
      </c>
      <c r="B61">
        <v>22.4</v>
      </c>
      <c r="C61">
        <v>8.04</v>
      </c>
      <c r="D61" s="1">
        <f t="shared" si="45"/>
        <v>884.3999999999999</v>
      </c>
      <c r="E61" s="1">
        <f t="shared" si="67"/>
        <v>482.4</v>
      </c>
      <c r="F61" s="1">
        <f t="shared" si="33"/>
        <v>281.4</v>
      </c>
      <c r="G61" s="1">
        <f t="shared" si="34"/>
        <v>1973.82</v>
      </c>
      <c r="H61" s="1">
        <f t="shared" si="36"/>
        <v>197.382</v>
      </c>
      <c r="I61" s="1">
        <f t="shared" si="37"/>
        <v>394.764</v>
      </c>
      <c r="J61" s="1">
        <f t="shared" si="38"/>
        <v>22</v>
      </c>
      <c r="K61" s="1">
        <f t="shared" si="39"/>
        <v>27</v>
      </c>
      <c r="L61" s="1">
        <f t="shared" si="40"/>
        <v>11</v>
      </c>
      <c r="M61" s="1">
        <f t="shared" si="41"/>
        <v>14</v>
      </c>
      <c r="N61" s="8">
        <f t="shared" si="42"/>
        <v>252.08333333333331</v>
      </c>
      <c r="O61" s="8">
        <f t="shared" si="43"/>
        <v>393.75</v>
      </c>
      <c r="P61">
        <v>300</v>
      </c>
      <c r="Q61" s="8">
        <v>0</v>
      </c>
      <c r="R61" s="8">
        <f t="shared" si="68"/>
        <v>2333.8199999999997</v>
      </c>
      <c r="S61" s="8">
        <v>33.52</v>
      </c>
      <c r="T61" s="8">
        <v>35.22</v>
      </c>
      <c r="U61" s="8">
        <v>35.22</v>
      </c>
      <c r="V61" s="8">
        <v>234.21</v>
      </c>
      <c r="W61" s="8">
        <f>X61+2.5</f>
        <v>22.25407380021319</v>
      </c>
      <c r="X61" s="8">
        <f>(AA61/AB61)^0.5</f>
        <v>19.75407380021319</v>
      </c>
      <c r="Y61" s="8">
        <f t="shared" si="69"/>
        <v>0.15</v>
      </c>
      <c r="Z61" s="8">
        <f t="shared" si="70"/>
        <v>546.9</v>
      </c>
      <c r="AA61" s="8">
        <f t="shared" si="71"/>
        <v>5139.001645639057</v>
      </c>
      <c r="AB61" s="8">
        <f>(AA61/2.25)^(1/3)</f>
        <v>13.169382533475458</v>
      </c>
      <c r="AC61" s="8"/>
      <c r="AD61" s="8">
        <f t="shared" si="46"/>
        <v>123.39948405526515</v>
      </c>
      <c r="AE61" s="8">
        <f t="shared" si="59"/>
        <v>67.19999999999999</v>
      </c>
      <c r="AF61" s="8">
        <f>(8*6)+AB61</f>
        <v>61.169382533475456</v>
      </c>
      <c r="AG61" s="8">
        <f t="shared" si="72"/>
        <v>96.47999999999999</v>
      </c>
      <c r="AH61" s="8">
        <f t="shared" si="73"/>
        <v>2.77340084209311</v>
      </c>
      <c r="AI61" s="8">
        <f t="shared" si="74"/>
        <v>0.8001121766246209</v>
      </c>
      <c r="AJ61" s="8">
        <f t="shared" si="47"/>
        <v>0.04050365432045646</v>
      </c>
      <c r="AK61" s="8">
        <f t="shared" si="48"/>
        <v>2.689191848505074</v>
      </c>
      <c r="AL61" s="8">
        <f t="shared" si="49"/>
        <v>0.822663227035101</v>
      </c>
      <c r="AM61" s="8">
        <f t="shared" si="50"/>
        <v>0.8671631815650427</v>
      </c>
      <c r="AN61" s="8">
        <f t="shared" si="75"/>
        <v>2.69</v>
      </c>
      <c r="AO61" s="8">
        <f t="shared" si="76"/>
        <v>1.875</v>
      </c>
      <c r="AP61" s="8">
        <f t="shared" si="77"/>
        <v>10.3125</v>
      </c>
      <c r="AQ61" s="8">
        <f t="shared" si="51"/>
        <v>723.0719999999999</v>
      </c>
      <c r="AR61" s="8">
        <f t="shared" si="52"/>
        <v>57538.283873911314</v>
      </c>
    </row>
    <row r="62" spans="1:44" ht="12.75">
      <c r="A62">
        <v>19</v>
      </c>
      <c r="B62">
        <v>22.4</v>
      </c>
      <c r="C62">
        <v>8.04</v>
      </c>
      <c r="D62" s="1">
        <f t="shared" si="45"/>
        <v>884.3999999999999</v>
      </c>
      <c r="E62" s="1">
        <f t="shared" si="67"/>
        <v>482.4</v>
      </c>
      <c r="F62" s="1">
        <f t="shared" si="33"/>
        <v>281.4</v>
      </c>
      <c r="G62" s="1">
        <f t="shared" si="34"/>
        <v>1973.82</v>
      </c>
      <c r="H62" s="1">
        <f t="shared" si="36"/>
        <v>197.382</v>
      </c>
      <c r="I62" s="1">
        <f t="shared" si="37"/>
        <v>394.764</v>
      </c>
      <c r="J62" s="1">
        <f t="shared" si="38"/>
        <v>22</v>
      </c>
      <c r="K62" s="1">
        <f t="shared" si="39"/>
        <v>27</v>
      </c>
      <c r="L62" s="1">
        <f t="shared" si="40"/>
        <v>11</v>
      </c>
      <c r="M62" s="1">
        <f t="shared" si="41"/>
        <v>14</v>
      </c>
      <c r="N62" s="8">
        <f t="shared" si="42"/>
        <v>252.08333333333331</v>
      </c>
      <c r="O62" s="8">
        <f t="shared" si="43"/>
        <v>393.75</v>
      </c>
      <c r="P62">
        <v>300</v>
      </c>
      <c r="Q62" s="8">
        <v>0</v>
      </c>
      <c r="R62" s="8">
        <f t="shared" si="68"/>
        <v>2333.8199999999997</v>
      </c>
      <c r="S62" s="8">
        <v>33.52</v>
      </c>
      <c r="T62" s="8">
        <v>35.22</v>
      </c>
      <c r="U62" s="8">
        <v>35.22</v>
      </c>
      <c r="V62" s="8">
        <v>234.21</v>
      </c>
      <c r="W62" s="8">
        <f>X62+2.5</f>
        <v>22.25407380021319</v>
      </c>
      <c r="X62" s="8">
        <f>(AA62/AB62)^0.5</f>
        <v>19.75407380021319</v>
      </c>
      <c r="Y62" s="8">
        <f t="shared" si="69"/>
        <v>0.15</v>
      </c>
      <c r="Z62" s="8">
        <f t="shared" si="70"/>
        <v>546.9</v>
      </c>
      <c r="AA62" s="8">
        <f t="shared" si="71"/>
        <v>5139.001645639057</v>
      </c>
      <c r="AB62" s="8">
        <f>(AA62/2.25)^(1/3)</f>
        <v>13.169382533475458</v>
      </c>
      <c r="AC62" s="8"/>
      <c r="AD62" s="8">
        <f t="shared" si="46"/>
        <v>123.39948405526515</v>
      </c>
      <c r="AE62" s="8">
        <f t="shared" si="59"/>
        <v>67.19999999999999</v>
      </c>
      <c r="AF62" s="8">
        <f>(8*6)+AB62</f>
        <v>61.169382533475456</v>
      </c>
      <c r="AG62" s="8">
        <f t="shared" si="72"/>
        <v>96.47999999999999</v>
      </c>
      <c r="AH62" s="8">
        <f t="shared" si="73"/>
        <v>2.77340084209311</v>
      </c>
      <c r="AI62" s="8">
        <f t="shared" si="74"/>
        <v>0.8001121766246209</v>
      </c>
      <c r="AJ62" s="8">
        <f t="shared" si="47"/>
        <v>0.04050365432045646</v>
      </c>
      <c r="AK62" s="8">
        <f t="shared" si="48"/>
        <v>2.689191848505074</v>
      </c>
      <c r="AL62" s="8">
        <f t="shared" si="49"/>
        <v>0.822663227035101</v>
      </c>
      <c r="AM62" s="8">
        <f t="shared" si="50"/>
        <v>0.8671631815650427</v>
      </c>
      <c r="AN62" s="8">
        <f t="shared" si="75"/>
        <v>2.69</v>
      </c>
      <c r="AO62" s="8">
        <f t="shared" si="76"/>
        <v>1.875</v>
      </c>
      <c r="AP62" s="8">
        <f t="shared" si="77"/>
        <v>10.3125</v>
      </c>
      <c r="AQ62" s="8">
        <f t="shared" si="51"/>
        <v>723.0719999999999</v>
      </c>
      <c r="AR62" s="8">
        <f t="shared" si="52"/>
        <v>57538.283873911314</v>
      </c>
    </row>
    <row r="63" spans="1:44" ht="12.75">
      <c r="A63">
        <v>14</v>
      </c>
      <c r="B63">
        <v>22.4</v>
      </c>
      <c r="C63">
        <v>8.04</v>
      </c>
      <c r="D63" s="1">
        <f t="shared" si="45"/>
        <v>884.3999999999999</v>
      </c>
      <c r="E63" s="1">
        <f t="shared" si="67"/>
        <v>482.4</v>
      </c>
      <c r="F63" s="1">
        <f t="shared" si="33"/>
        <v>281.4</v>
      </c>
      <c r="G63" s="1">
        <f t="shared" si="34"/>
        <v>1973.82</v>
      </c>
      <c r="H63" s="1">
        <f t="shared" si="36"/>
        <v>197.382</v>
      </c>
      <c r="I63" s="1">
        <f t="shared" si="37"/>
        <v>394.764</v>
      </c>
      <c r="J63" s="1">
        <f t="shared" si="38"/>
        <v>22</v>
      </c>
      <c r="K63" s="1">
        <f t="shared" si="39"/>
        <v>27</v>
      </c>
      <c r="L63" s="1">
        <f t="shared" si="40"/>
        <v>11</v>
      </c>
      <c r="M63" s="1">
        <f t="shared" si="41"/>
        <v>14</v>
      </c>
      <c r="N63" s="8">
        <f t="shared" si="42"/>
        <v>252.08333333333331</v>
      </c>
      <c r="O63" s="8">
        <f t="shared" si="43"/>
        <v>393.75</v>
      </c>
      <c r="P63">
        <v>300</v>
      </c>
      <c r="Q63" s="8">
        <v>0</v>
      </c>
      <c r="R63" s="8">
        <f t="shared" si="68"/>
        <v>2333.8199999999997</v>
      </c>
      <c r="S63" s="8">
        <v>33.52</v>
      </c>
      <c r="T63" s="8">
        <v>35.22</v>
      </c>
      <c r="U63" s="8">
        <v>35.22</v>
      </c>
      <c r="V63" s="8">
        <v>234.21</v>
      </c>
      <c r="W63" s="8">
        <f>X63+2.5</f>
        <v>22.25407380021319</v>
      </c>
      <c r="X63" s="8">
        <f>(AA63/AB63)^0.5</f>
        <v>19.75407380021319</v>
      </c>
      <c r="Y63" s="8">
        <f t="shared" si="69"/>
        <v>0.15</v>
      </c>
      <c r="Z63" s="8">
        <f t="shared" si="70"/>
        <v>546.9</v>
      </c>
      <c r="AA63" s="8">
        <f t="shared" si="71"/>
        <v>5139.001645639057</v>
      </c>
      <c r="AB63" s="8">
        <f>(AA63/2.25)^(1/3)</f>
        <v>13.169382533475458</v>
      </c>
      <c r="AC63" s="8"/>
      <c r="AD63" s="8">
        <f t="shared" si="46"/>
        <v>123.39948405526515</v>
      </c>
      <c r="AE63" s="8">
        <f t="shared" si="59"/>
        <v>67.19999999999999</v>
      </c>
      <c r="AF63" s="8">
        <f>(8*6)+AB63</f>
        <v>61.169382533475456</v>
      </c>
      <c r="AG63" s="8">
        <f t="shared" si="72"/>
        <v>96.47999999999999</v>
      </c>
      <c r="AH63" s="8">
        <f t="shared" si="73"/>
        <v>2.77340084209311</v>
      </c>
      <c r="AI63" s="8">
        <f t="shared" si="74"/>
        <v>0.8001121766246209</v>
      </c>
      <c r="AJ63" s="8">
        <f t="shared" si="47"/>
        <v>0.04050365432045646</v>
      </c>
      <c r="AK63" s="8">
        <f t="shared" si="48"/>
        <v>2.689191848505074</v>
      </c>
      <c r="AL63" s="8">
        <f t="shared" si="49"/>
        <v>0.822663227035101</v>
      </c>
      <c r="AM63" s="8">
        <f t="shared" si="50"/>
        <v>0.8671631815650427</v>
      </c>
      <c r="AN63" s="8">
        <f t="shared" si="75"/>
        <v>2.69</v>
      </c>
      <c r="AO63" s="8">
        <f t="shared" si="76"/>
        <v>1.875</v>
      </c>
      <c r="AP63" s="8">
        <f t="shared" si="77"/>
        <v>10.3125</v>
      </c>
      <c r="AQ63" s="8">
        <f t="shared" si="51"/>
        <v>723.0719999999999</v>
      </c>
      <c r="AR63" s="8">
        <f t="shared" si="52"/>
        <v>57538.283873911314</v>
      </c>
    </row>
    <row r="64" spans="1:44" ht="12.75">
      <c r="A64">
        <v>32</v>
      </c>
      <c r="B64">
        <v>22.4</v>
      </c>
      <c r="C64">
        <v>8.04</v>
      </c>
      <c r="D64" s="1">
        <f t="shared" si="45"/>
        <v>884.3999999999999</v>
      </c>
      <c r="E64" s="1">
        <f t="shared" si="67"/>
        <v>482.4</v>
      </c>
      <c r="F64" s="1">
        <f t="shared" si="33"/>
        <v>281.4</v>
      </c>
      <c r="G64" s="1">
        <f t="shared" si="34"/>
        <v>1973.82</v>
      </c>
      <c r="H64" s="1">
        <f t="shared" si="36"/>
        <v>197.382</v>
      </c>
      <c r="I64" s="1">
        <f t="shared" si="37"/>
        <v>394.764</v>
      </c>
      <c r="J64" s="1">
        <f t="shared" si="38"/>
        <v>22</v>
      </c>
      <c r="K64" s="1">
        <f t="shared" si="39"/>
        <v>27</v>
      </c>
      <c r="L64" s="1">
        <f t="shared" si="40"/>
        <v>11</v>
      </c>
      <c r="M64" s="1">
        <f t="shared" si="41"/>
        <v>14</v>
      </c>
      <c r="N64" s="8">
        <f t="shared" si="42"/>
        <v>252.08333333333331</v>
      </c>
      <c r="O64" s="8">
        <f t="shared" si="43"/>
        <v>393.75</v>
      </c>
      <c r="P64">
        <v>300</v>
      </c>
      <c r="Q64" s="8">
        <v>0</v>
      </c>
      <c r="R64" s="8">
        <f t="shared" si="68"/>
        <v>2333.8199999999997</v>
      </c>
      <c r="S64" s="8">
        <v>33.52</v>
      </c>
      <c r="T64" s="8">
        <v>35.22</v>
      </c>
      <c r="U64" s="8">
        <v>35.22</v>
      </c>
      <c r="V64" s="8">
        <v>234.21</v>
      </c>
      <c r="W64" s="8">
        <f>X64+2.5</f>
        <v>22.25407380021319</v>
      </c>
      <c r="X64" s="8">
        <f>(AA64/AB64)^0.5</f>
        <v>19.75407380021319</v>
      </c>
      <c r="Y64" s="8">
        <f t="shared" si="69"/>
        <v>0.15</v>
      </c>
      <c r="Z64" s="8">
        <f t="shared" si="70"/>
        <v>546.9</v>
      </c>
      <c r="AA64" s="8">
        <f t="shared" si="71"/>
        <v>5139.001645639057</v>
      </c>
      <c r="AB64" s="8">
        <f>(AA64/2.25)^(1/3)</f>
        <v>13.169382533475458</v>
      </c>
      <c r="AC64" s="8"/>
      <c r="AD64" s="8">
        <f t="shared" si="46"/>
        <v>123.39948405526515</v>
      </c>
      <c r="AE64" s="8">
        <f t="shared" si="59"/>
        <v>67.19999999999999</v>
      </c>
      <c r="AF64" s="8">
        <f>(8*6)+AB64</f>
        <v>61.169382533475456</v>
      </c>
      <c r="AG64" s="8">
        <f t="shared" si="72"/>
        <v>96.47999999999999</v>
      </c>
      <c r="AH64" s="8">
        <f t="shared" si="73"/>
        <v>2.77340084209311</v>
      </c>
      <c r="AI64" s="8">
        <f t="shared" si="74"/>
        <v>0.8001121766246209</v>
      </c>
      <c r="AJ64" s="8">
        <f t="shared" si="47"/>
        <v>0.04050365432045646</v>
      </c>
      <c r="AK64" s="8">
        <f t="shared" si="48"/>
        <v>2.689191848505074</v>
      </c>
      <c r="AL64" s="8">
        <f t="shared" si="49"/>
        <v>0.822663227035101</v>
      </c>
      <c r="AM64" s="8">
        <f t="shared" si="50"/>
        <v>0.8671631815650427</v>
      </c>
      <c r="AN64" s="8">
        <f t="shared" si="75"/>
        <v>2.69</v>
      </c>
      <c r="AO64" s="8">
        <f t="shared" si="76"/>
        <v>1.875</v>
      </c>
      <c r="AP64" s="8">
        <f t="shared" si="77"/>
        <v>10.3125</v>
      </c>
      <c r="AQ64" s="8">
        <f t="shared" si="51"/>
        <v>723.0719999999999</v>
      </c>
      <c r="AR64" s="8">
        <f t="shared" si="52"/>
        <v>57538.283873911314</v>
      </c>
    </row>
    <row r="65" spans="4:44" ht="12.75">
      <c r="D65" s="1">
        <f aca="true" t="shared" si="80" ref="D65:D74">C65*((0.5*150)+5+10+20+40)</f>
        <v>0</v>
      </c>
      <c r="E65" s="1"/>
      <c r="F65" s="1">
        <f t="shared" si="33"/>
        <v>0</v>
      </c>
      <c r="G65" s="1">
        <f t="shared" si="34"/>
        <v>0</v>
      </c>
      <c r="H65" s="1"/>
      <c r="I65" s="1"/>
      <c r="J65" s="1"/>
      <c r="K65" s="1"/>
      <c r="L65" s="1"/>
      <c r="M65" s="1"/>
      <c r="N65" s="8"/>
      <c r="O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>
        <v>50</v>
      </c>
      <c r="B66">
        <v>13</v>
      </c>
      <c r="C66">
        <v>5.22</v>
      </c>
      <c r="D66" s="1">
        <f t="shared" si="80"/>
        <v>783</v>
      </c>
      <c r="E66" s="1">
        <f aca="true" t="shared" si="81" ref="E66:E90">C66*60</f>
        <v>313.2</v>
      </c>
      <c r="F66" s="1">
        <f t="shared" si="33"/>
        <v>182.7</v>
      </c>
      <c r="G66" s="1">
        <f t="shared" si="34"/>
        <v>1532.0699999999997</v>
      </c>
      <c r="H66" s="1">
        <f aca="true" t="shared" si="82" ref="H66:H90">0.1*MAX(G66:G66)</f>
        <v>153.20699999999997</v>
      </c>
      <c r="I66" s="1">
        <f aca="true" t="shared" si="83" ref="I66:I90">0.2*MAX(G66:G66)</f>
        <v>306.41399999999993</v>
      </c>
      <c r="J66" s="1">
        <f aca="true" t="shared" si="84" ref="J66:J90">ROUND(((0.08*B66)*12),0)</f>
        <v>12</v>
      </c>
      <c r="K66" s="1">
        <f aca="true" t="shared" si="85" ref="K66:K90">ROUND(((0.1*B66)*12),0)</f>
        <v>16</v>
      </c>
      <c r="L66" s="1">
        <f aca="true" t="shared" si="86" ref="L66:L90">ROUND((0.5*J66),0)</f>
        <v>6</v>
      </c>
      <c r="M66" s="1">
        <f aca="true" t="shared" si="87" ref="M66:M90">ROUND((0.5*K66),0)</f>
        <v>8</v>
      </c>
      <c r="N66" s="8">
        <f aca="true" t="shared" si="88" ref="N66:N90">(L66/12)*(J66/12)*150</f>
        <v>75</v>
      </c>
      <c r="O66" s="8">
        <f aca="true" t="shared" si="89" ref="O66:O90">(M66/12)*(K66/12)*150</f>
        <v>133.33333333333331</v>
      </c>
      <c r="P66">
        <v>100</v>
      </c>
      <c r="Q66" s="8">
        <v>0</v>
      </c>
      <c r="R66" s="8">
        <f>(1.2*P66)+G66</f>
        <v>1652.0699999999997</v>
      </c>
      <c r="S66" s="8"/>
      <c r="T66" s="8"/>
      <c r="U66" s="8">
        <f>(R66*B66)/2000</f>
        <v>10.738454999999998</v>
      </c>
      <c r="V66" s="8">
        <f>(0.5*B66)*U66*0.5</f>
        <v>34.899978749999995</v>
      </c>
      <c r="W66" s="8">
        <f aca="true" t="shared" si="90" ref="W66:W90">(B66/16)*12</f>
        <v>9.75</v>
      </c>
      <c r="X66" s="8">
        <f aca="true" t="shared" si="91" ref="X66:X90">W66-2.5</f>
        <v>7.25</v>
      </c>
      <c r="Y66" s="8">
        <f aca="true" t="shared" si="92" ref="Y66:Y90">(60000/4000)*0.01</f>
        <v>0.15</v>
      </c>
      <c r="Z66" s="8">
        <f aca="true" t="shared" si="93" ref="Z66:Z90">4000*Y66*(1-(0.59*Y66))</f>
        <v>546.9</v>
      </c>
      <c r="AA66" s="8">
        <f aca="true" t="shared" si="94" ref="AA66:AA90">(12000*V66)/Z66</f>
        <v>765.7702413603948</v>
      </c>
      <c r="AB66" s="8">
        <f aca="true" t="shared" si="95" ref="AB66:AB90">AA66/(X66^2)</f>
        <v>14.56875607820014</v>
      </c>
      <c r="AC66" s="8"/>
      <c r="AD66" s="8">
        <f aca="true" t="shared" si="96" ref="AD66:AD90">0.75*((((2*(4000^0.5)*AB66*X66)+(8*(4000^0.5)*AB66*X66)))/1000)</f>
        <v>50.10161642225637</v>
      </c>
      <c r="AE66" s="8">
        <f aca="true" t="shared" si="97" ref="AE66:AE90">(B66/4)*12</f>
        <v>39</v>
      </c>
      <c r="AF66" s="8">
        <f aca="true" t="shared" si="98" ref="AF66:AF73">((8*6)*2)+AB66</f>
        <v>110.56875607820014</v>
      </c>
      <c r="AG66" s="8">
        <f aca="true" t="shared" si="99" ref="AG66:AG90">C66*12</f>
        <v>62.64</v>
      </c>
      <c r="AH66" s="8">
        <f aca="true" t="shared" si="100" ref="AH66:AH90">(V66*12000)/(0.9*60000*0.95*X66)</f>
        <v>1.1260327888687234</v>
      </c>
      <c r="AI66" s="8">
        <f aca="true" t="shared" si="101" ref="AI66:AI90">(AH66*60000)/(0.85*4000*(MIN(AE66:AG66)))</f>
        <v>0.5095170990356214</v>
      </c>
      <c r="AJ66" s="8">
        <f aca="true" t="shared" si="102" ref="AJ66:AJ90">AI66/X66</f>
        <v>0.07027822055663743</v>
      </c>
      <c r="AK66" s="8">
        <f aca="true" t="shared" si="103" ref="AK66:AK90">(V66*12000)/(0.9*60000*(X66-(AI66/2)))</f>
        <v>1.1086895124683271</v>
      </c>
      <c r="AL66" s="8">
        <f aca="true" t="shared" si="104" ref="AL66:AL90">(3*(4000^0.5)*AB66*X66)/60000</f>
        <v>0.33401077614837577</v>
      </c>
      <c r="AM66" s="8">
        <f aca="true" t="shared" si="105" ref="AM66:AM90">(200*AB66*X66)/60000</f>
        <v>0.3520782718898367</v>
      </c>
      <c r="AN66" s="8">
        <f aca="true" t="shared" si="106" ref="AN66:AN90">ROUND(MAX(AK66:AM66),2)</f>
        <v>1.11</v>
      </c>
      <c r="AO66" s="8">
        <f aca="true" t="shared" si="107" ref="AO66:AO90">1.875</f>
        <v>1.875</v>
      </c>
      <c r="AP66" s="8">
        <f aca="true" t="shared" si="108" ref="AP66:AP90">(540/(0.6*60))-(2.5*AO66)</f>
        <v>10.3125</v>
      </c>
      <c r="AQ66" s="8">
        <f aca="true" t="shared" si="109" ref="AQ66:AQ77">AN66*(B66*12)</f>
        <v>173.16000000000003</v>
      </c>
      <c r="AR66" s="8">
        <f aca="true" t="shared" si="110" ref="AR66:AR90">(W66-6)*AB66*(12*B66)</f>
        <v>8522.722305747082</v>
      </c>
    </row>
    <row r="67" spans="1:44" ht="12.75">
      <c r="A67">
        <v>51</v>
      </c>
      <c r="B67">
        <v>13</v>
      </c>
      <c r="C67">
        <v>5.22</v>
      </c>
      <c r="D67" s="1">
        <f t="shared" si="80"/>
        <v>783</v>
      </c>
      <c r="E67" s="1">
        <f t="shared" si="81"/>
        <v>313.2</v>
      </c>
      <c r="F67" s="1">
        <f t="shared" si="33"/>
        <v>182.7</v>
      </c>
      <c r="G67" s="1">
        <f t="shared" si="34"/>
        <v>1532.0699999999997</v>
      </c>
      <c r="H67" s="1">
        <f t="shared" si="82"/>
        <v>153.20699999999997</v>
      </c>
      <c r="I67" s="1">
        <f t="shared" si="83"/>
        <v>306.41399999999993</v>
      </c>
      <c r="J67" s="1">
        <f t="shared" si="84"/>
        <v>12</v>
      </c>
      <c r="K67" s="1">
        <f t="shared" si="85"/>
        <v>16</v>
      </c>
      <c r="L67" s="1">
        <f t="shared" si="86"/>
        <v>6</v>
      </c>
      <c r="M67" s="1">
        <f t="shared" si="87"/>
        <v>8</v>
      </c>
      <c r="N67" s="8">
        <f t="shared" si="88"/>
        <v>75</v>
      </c>
      <c r="O67" s="8">
        <f t="shared" si="89"/>
        <v>133.33333333333331</v>
      </c>
      <c r="P67">
        <v>100</v>
      </c>
      <c r="Q67" s="8">
        <v>0</v>
      </c>
      <c r="R67" s="8">
        <f>(1.2*P67)+G67</f>
        <v>1652.0699999999997</v>
      </c>
      <c r="S67" s="8"/>
      <c r="T67" s="8"/>
      <c r="U67" s="8">
        <f>(R67*B67)/2000</f>
        <v>10.738454999999998</v>
      </c>
      <c r="V67" s="8">
        <f>(0.5*B67)*U67*0.5</f>
        <v>34.899978749999995</v>
      </c>
      <c r="W67" s="8">
        <f t="shared" si="90"/>
        <v>9.75</v>
      </c>
      <c r="X67" s="8">
        <f t="shared" si="91"/>
        <v>7.25</v>
      </c>
      <c r="Y67" s="8">
        <f t="shared" si="92"/>
        <v>0.15</v>
      </c>
      <c r="Z67" s="8">
        <f t="shared" si="93"/>
        <v>546.9</v>
      </c>
      <c r="AA67" s="8">
        <f t="shared" si="94"/>
        <v>765.7702413603948</v>
      </c>
      <c r="AB67" s="8">
        <f t="shared" si="95"/>
        <v>14.56875607820014</v>
      </c>
      <c r="AC67" s="8"/>
      <c r="AD67" s="8">
        <f t="shared" si="96"/>
        <v>50.10161642225637</v>
      </c>
      <c r="AE67" s="8">
        <f t="shared" si="97"/>
        <v>39</v>
      </c>
      <c r="AF67" s="8">
        <f t="shared" si="98"/>
        <v>110.56875607820014</v>
      </c>
      <c r="AG67" s="8">
        <f t="shared" si="99"/>
        <v>62.64</v>
      </c>
      <c r="AH67" s="8">
        <f t="shared" si="100"/>
        <v>1.1260327888687234</v>
      </c>
      <c r="AI67" s="8">
        <f t="shared" si="101"/>
        <v>0.5095170990356214</v>
      </c>
      <c r="AJ67" s="8">
        <f t="shared" si="102"/>
        <v>0.07027822055663743</v>
      </c>
      <c r="AK67" s="8">
        <f t="shared" si="103"/>
        <v>1.1086895124683271</v>
      </c>
      <c r="AL67" s="8">
        <f t="shared" si="104"/>
        <v>0.33401077614837577</v>
      </c>
      <c r="AM67" s="8">
        <f t="shared" si="105"/>
        <v>0.3520782718898367</v>
      </c>
      <c r="AN67" s="8">
        <f t="shared" si="106"/>
        <v>1.11</v>
      </c>
      <c r="AO67" s="8">
        <f t="shared" si="107"/>
        <v>1.875</v>
      </c>
      <c r="AP67" s="8">
        <f t="shared" si="108"/>
        <v>10.3125</v>
      </c>
      <c r="AQ67" s="8">
        <f t="shared" si="109"/>
        <v>173.16000000000003</v>
      </c>
      <c r="AR67" s="8">
        <f t="shared" si="110"/>
        <v>8522.722305747082</v>
      </c>
    </row>
    <row r="68" spans="1:44" ht="12.75">
      <c r="A68">
        <v>52</v>
      </c>
      <c r="B68">
        <v>13</v>
      </c>
      <c r="C68">
        <v>2.61</v>
      </c>
      <c r="D68" s="1">
        <f t="shared" si="80"/>
        <v>391.5</v>
      </c>
      <c r="E68" s="1">
        <f t="shared" si="81"/>
        <v>156.6</v>
      </c>
      <c r="F68" s="1">
        <f t="shared" si="33"/>
        <v>91.35</v>
      </c>
      <c r="G68" s="1">
        <f t="shared" si="34"/>
        <v>766.0349999999999</v>
      </c>
      <c r="H68" s="1">
        <f t="shared" si="82"/>
        <v>76.60349999999998</v>
      </c>
      <c r="I68" s="1">
        <f t="shared" si="83"/>
        <v>153.20699999999997</v>
      </c>
      <c r="J68" s="1">
        <f t="shared" si="84"/>
        <v>12</v>
      </c>
      <c r="K68" s="1">
        <f t="shared" si="85"/>
        <v>16</v>
      </c>
      <c r="L68" s="1">
        <f t="shared" si="86"/>
        <v>6</v>
      </c>
      <c r="M68" s="1">
        <f t="shared" si="87"/>
        <v>8</v>
      </c>
      <c r="N68" s="8">
        <f t="shared" si="88"/>
        <v>75</v>
      </c>
      <c r="O68" s="8">
        <f t="shared" si="89"/>
        <v>133.33333333333331</v>
      </c>
      <c r="P68">
        <v>100</v>
      </c>
      <c r="Q68" s="8">
        <v>0</v>
      </c>
      <c r="R68" s="8">
        <f>(1.2*(P68+0.64))+G68</f>
        <v>886.8029999999999</v>
      </c>
      <c r="S68" s="8"/>
      <c r="T68" s="8"/>
      <c r="U68" s="8">
        <f>(R68*B68)/2000</f>
        <v>5.764219499999999</v>
      </c>
      <c r="V68" s="8">
        <f>(0.5*B68)*U68*0.5</f>
        <v>18.733713374999997</v>
      </c>
      <c r="W68" s="8">
        <f t="shared" si="90"/>
        <v>9.75</v>
      </c>
      <c r="X68" s="8">
        <f t="shared" si="91"/>
        <v>7.25</v>
      </c>
      <c r="Y68" s="8">
        <f t="shared" si="92"/>
        <v>0.15</v>
      </c>
      <c r="Z68" s="8">
        <f t="shared" si="93"/>
        <v>546.9</v>
      </c>
      <c r="AA68" s="8">
        <f t="shared" si="94"/>
        <v>411.0524053757542</v>
      </c>
      <c r="AB68" s="8">
        <f t="shared" si="95"/>
        <v>7.820259793117796</v>
      </c>
      <c r="AC68" s="8"/>
      <c r="AD68" s="8">
        <f t="shared" si="96"/>
        <v>26.893693214032222</v>
      </c>
      <c r="AE68" s="8">
        <f t="shared" si="97"/>
        <v>39</v>
      </c>
      <c r="AF68" s="8">
        <f t="shared" si="98"/>
        <v>103.8202597931178</v>
      </c>
      <c r="AG68" s="8">
        <f t="shared" si="99"/>
        <v>31.32</v>
      </c>
      <c r="AH68" s="8">
        <f t="shared" si="100"/>
        <v>0.6044351966122201</v>
      </c>
      <c r="AI68" s="8">
        <f t="shared" si="101"/>
        <v>0.3405652448795471</v>
      </c>
      <c r="AJ68" s="8">
        <f t="shared" si="102"/>
        <v>0.04697451653510994</v>
      </c>
      <c r="AK68" s="8">
        <f t="shared" si="103"/>
        <v>0.588024520563745</v>
      </c>
      <c r="AL68" s="8">
        <f t="shared" si="104"/>
        <v>0.17929128809354813</v>
      </c>
      <c r="AM68" s="8">
        <f t="shared" si="105"/>
        <v>0.18898961166701342</v>
      </c>
      <c r="AN68" s="8">
        <f t="shared" si="106"/>
        <v>0.59</v>
      </c>
      <c r="AO68" s="8">
        <f t="shared" si="107"/>
        <v>1.875</v>
      </c>
      <c r="AP68" s="8">
        <f t="shared" si="108"/>
        <v>10.3125</v>
      </c>
      <c r="AQ68" s="8">
        <f t="shared" si="109"/>
        <v>92.03999999999999</v>
      </c>
      <c r="AR68" s="8">
        <f t="shared" si="110"/>
        <v>4574.851978973911</v>
      </c>
    </row>
    <row r="69" spans="1:44" ht="12.75">
      <c r="A69" s="6" t="s">
        <v>131</v>
      </c>
      <c r="B69">
        <v>23.21</v>
      </c>
      <c r="C69">
        <v>4.5</v>
      </c>
      <c r="D69" s="1">
        <f t="shared" si="80"/>
        <v>675</v>
      </c>
      <c r="E69" s="1">
        <f t="shared" si="81"/>
        <v>270</v>
      </c>
      <c r="F69" s="1">
        <f t="shared" si="33"/>
        <v>157.5</v>
      </c>
      <c r="G69" s="1">
        <f t="shared" si="34"/>
        <v>1320.75</v>
      </c>
      <c r="H69" s="1">
        <f t="shared" si="82"/>
        <v>132.07500000000002</v>
      </c>
      <c r="I69" s="1">
        <f t="shared" si="83"/>
        <v>264.15000000000003</v>
      </c>
      <c r="J69" s="1">
        <f t="shared" si="84"/>
        <v>22</v>
      </c>
      <c r="K69" s="1">
        <f t="shared" si="85"/>
        <v>28</v>
      </c>
      <c r="L69" s="1">
        <f t="shared" si="86"/>
        <v>11</v>
      </c>
      <c r="M69" s="1">
        <f t="shared" si="87"/>
        <v>14</v>
      </c>
      <c r="N69" s="8">
        <f t="shared" si="88"/>
        <v>252.08333333333331</v>
      </c>
      <c r="O69" s="8">
        <f t="shared" si="89"/>
        <v>408.3333333333334</v>
      </c>
      <c r="P69">
        <v>300</v>
      </c>
      <c r="Q69" s="8">
        <v>0</v>
      </c>
      <c r="R69" s="8">
        <f>(1.2*(P69+0.64))+G69</f>
        <v>1681.518</v>
      </c>
      <c r="S69" s="8">
        <v>35.6</v>
      </c>
      <c r="T69" s="8">
        <v>30.63</v>
      </c>
      <c r="U69" s="8">
        <f>MAX(S69:T69)</f>
        <v>35.6</v>
      </c>
      <c r="V69" s="8">
        <v>224.13</v>
      </c>
      <c r="W69" s="8">
        <f t="shared" si="90"/>
        <v>17.4075</v>
      </c>
      <c r="X69" s="8">
        <f t="shared" si="91"/>
        <v>14.907499999999999</v>
      </c>
      <c r="Y69" s="8">
        <f t="shared" si="92"/>
        <v>0.15</v>
      </c>
      <c r="Z69" s="8">
        <f t="shared" si="93"/>
        <v>546.9</v>
      </c>
      <c r="AA69" s="8">
        <f t="shared" si="94"/>
        <v>4917.82775644542</v>
      </c>
      <c r="AB69" s="8">
        <f t="shared" si="95"/>
        <v>22.12909625094217</v>
      </c>
      <c r="AC69" s="8"/>
      <c r="AD69" s="8">
        <f t="shared" si="96"/>
        <v>156.48033054600035</v>
      </c>
      <c r="AE69" s="8">
        <f t="shared" si="97"/>
        <v>69.63</v>
      </c>
      <c r="AF69" s="8">
        <f t="shared" si="98"/>
        <v>118.12909625094217</v>
      </c>
      <c r="AG69" s="8">
        <f t="shared" si="99"/>
        <v>54</v>
      </c>
      <c r="AH69" s="8">
        <f t="shared" si="100"/>
        <v>3.516892180140104</v>
      </c>
      <c r="AI69" s="8">
        <f t="shared" si="101"/>
        <v>1.1493111699804262</v>
      </c>
      <c r="AJ69" s="8">
        <f t="shared" si="102"/>
        <v>0.07709617105352515</v>
      </c>
      <c r="AK69" s="8">
        <f t="shared" si="103"/>
        <v>3.4750022552751374</v>
      </c>
      <c r="AL69" s="8">
        <f t="shared" si="104"/>
        <v>1.0432022036400022</v>
      </c>
      <c r="AM69" s="8">
        <f t="shared" si="105"/>
        <v>1.0996316745364012</v>
      </c>
      <c r="AN69" s="8">
        <f t="shared" si="106"/>
        <v>3.48</v>
      </c>
      <c r="AO69" s="8">
        <f t="shared" si="107"/>
        <v>1.875</v>
      </c>
      <c r="AP69" s="8">
        <f t="shared" si="108"/>
        <v>10.3125</v>
      </c>
      <c r="AQ69" s="8">
        <f t="shared" si="109"/>
        <v>969.2496</v>
      </c>
      <c r="AR69" s="8">
        <f t="shared" si="110"/>
        <v>70308.93859022009</v>
      </c>
    </row>
    <row r="70" spans="1:44" ht="12.75">
      <c r="A70" s="6" t="s">
        <v>132</v>
      </c>
      <c r="B70">
        <v>23.21</v>
      </c>
      <c r="C70">
        <v>4.5</v>
      </c>
      <c r="D70" s="1">
        <f t="shared" si="80"/>
        <v>675</v>
      </c>
      <c r="E70" s="1">
        <f>C70*60</f>
        <v>270</v>
      </c>
      <c r="F70" s="1">
        <f>C70*35</f>
        <v>157.5</v>
      </c>
      <c r="G70" s="1">
        <f>(1.2*D70)+(1.6*E70)+(0.5*F70)</f>
        <v>1320.75</v>
      </c>
      <c r="H70" s="1">
        <f t="shared" si="82"/>
        <v>132.07500000000002</v>
      </c>
      <c r="I70" s="1">
        <f>0.2*MAX(G70:G70)</f>
        <v>264.15000000000003</v>
      </c>
      <c r="J70" s="1">
        <f>ROUND(((0.08*B70)*12),0)</f>
        <v>22</v>
      </c>
      <c r="K70" s="1">
        <f>ROUND(((0.1*B70)*12),0)</f>
        <v>28</v>
      </c>
      <c r="L70" s="1">
        <f>ROUND((0.5*J70),0)</f>
        <v>11</v>
      </c>
      <c r="M70" s="1">
        <f>ROUND((0.5*K70),0)</f>
        <v>14</v>
      </c>
      <c r="N70" s="8">
        <f>(L70/12)*(J70/12)*150</f>
        <v>252.08333333333331</v>
      </c>
      <c r="O70" s="8">
        <f>(M70/12)*(K70/12)*150</f>
        <v>408.3333333333334</v>
      </c>
      <c r="P70">
        <v>300</v>
      </c>
      <c r="Q70" s="8">
        <v>0</v>
      </c>
      <c r="R70" s="8">
        <f>(1.2*(P70+0.64))+G70</f>
        <v>1681.518</v>
      </c>
      <c r="S70" s="8">
        <v>35.6</v>
      </c>
      <c r="T70" s="8">
        <v>30.63</v>
      </c>
      <c r="U70" s="8">
        <f>MAX(S70:T70)</f>
        <v>35.6</v>
      </c>
      <c r="V70" s="8">
        <v>611</v>
      </c>
      <c r="W70" s="8">
        <f>(B70/16)*12</f>
        <v>17.4075</v>
      </c>
      <c r="X70" s="8">
        <f t="shared" si="91"/>
        <v>14.907499999999999</v>
      </c>
      <c r="Y70" s="8">
        <f t="shared" si="92"/>
        <v>0.15</v>
      </c>
      <c r="Z70" s="8">
        <f t="shared" si="93"/>
        <v>546.9</v>
      </c>
      <c r="AA70" s="8">
        <f>(12000*V70)/Z70</f>
        <v>13406.472846955568</v>
      </c>
      <c r="AB70" s="8">
        <f>AA70/(X70^2)</f>
        <v>60.326050994180456</v>
      </c>
      <c r="AC70" s="8"/>
      <c r="AD70" s="8">
        <f>0.75*((((2*(4000^0.5)*AB70*X70)+(8*(4000^0.5)*AB70*X70)))/1000)</f>
        <v>426.5804754544514</v>
      </c>
      <c r="AE70" s="8">
        <f>(B70/4)*12</f>
        <v>69.63</v>
      </c>
      <c r="AF70" s="8">
        <f>((8*6)*2)+AB70</f>
        <v>156.32605099418046</v>
      </c>
      <c r="AG70" s="8">
        <f>C70*12</f>
        <v>54</v>
      </c>
      <c r="AH70" s="8">
        <f>(V70*12000)/(0.9*60000*0.95*X70)</f>
        <v>9.587387329075106</v>
      </c>
      <c r="AI70" s="8">
        <f>(AH70*60000)/(0.85*4000*(MIN(AE70:AG70)))</f>
        <v>3.1331331140768324</v>
      </c>
      <c r="AJ70" s="8">
        <f>AI70/X70</f>
        <v>0.21017159913310968</v>
      </c>
      <c r="AK70" s="8">
        <f>(V70*12000)/(0.9*60000*(X70-(AI70/2)))</f>
        <v>10.17753205638032</v>
      </c>
      <c r="AL70" s="8">
        <f>(3*(4000^0.5)*AB70*X70)/60000</f>
        <v>2.8438698363630097</v>
      </c>
      <c r="AM70" s="8">
        <f>(200*AB70*X70)/60000</f>
        <v>2.9977020173191504</v>
      </c>
      <c r="AN70" s="8">
        <f>ROUND(MAX(AK70:AM70),2)</f>
        <v>10.18</v>
      </c>
      <c r="AO70" s="8">
        <f t="shared" si="107"/>
        <v>1.875</v>
      </c>
      <c r="AP70" s="8">
        <f t="shared" si="108"/>
        <v>10.3125</v>
      </c>
      <c r="AQ70" s="8">
        <f>AN70*(B70*12)</f>
        <v>2835.3336</v>
      </c>
      <c r="AR70" s="8">
        <f>(W70-6)*AB70*(12*B70)</f>
        <v>191668.9487289719</v>
      </c>
    </row>
    <row r="71" spans="1:44" ht="12.75">
      <c r="A71">
        <v>54</v>
      </c>
      <c r="B71">
        <v>23.21</v>
      </c>
      <c r="C71">
        <v>9</v>
      </c>
      <c r="D71" s="1">
        <f t="shared" si="80"/>
        <v>1350</v>
      </c>
      <c r="E71" s="1">
        <f t="shared" si="81"/>
        <v>540</v>
      </c>
      <c r="F71" s="1">
        <f t="shared" si="33"/>
        <v>315</v>
      </c>
      <c r="G71" s="1">
        <f t="shared" si="34"/>
        <v>2641.5</v>
      </c>
      <c r="H71" s="1">
        <f t="shared" si="82"/>
        <v>264.15000000000003</v>
      </c>
      <c r="I71" s="1">
        <f t="shared" si="83"/>
        <v>528.3000000000001</v>
      </c>
      <c r="J71" s="1">
        <f t="shared" si="84"/>
        <v>22</v>
      </c>
      <c r="K71" s="1">
        <f t="shared" si="85"/>
        <v>28</v>
      </c>
      <c r="L71" s="1">
        <f t="shared" si="86"/>
        <v>11</v>
      </c>
      <c r="M71" s="1">
        <f t="shared" si="87"/>
        <v>14</v>
      </c>
      <c r="N71" s="8">
        <f t="shared" si="88"/>
        <v>252.08333333333331</v>
      </c>
      <c r="O71" s="8">
        <f t="shared" si="89"/>
        <v>408.3333333333334</v>
      </c>
      <c r="P71">
        <v>300</v>
      </c>
      <c r="Q71" s="8">
        <v>0</v>
      </c>
      <c r="R71" s="8">
        <f aca="true" t="shared" si="111" ref="R71:R85">(1.2*P71)+G71</f>
        <v>3001.5</v>
      </c>
      <c r="S71" s="8"/>
      <c r="T71" s="8"/>
      <c r="U71" s="8">
        <f>(R71*B71)/2000</f>
        <v>34.8324075</v>
      </c>
      <c r="V71" s="8">
        <f>(0.5*B71)*U71*0.5</f>
        <v>202.11504451875</v>
      </c>
      <c r="W71" s="8">
        <f t="shared" si="90"/>
        <v>17.4075</v>
      </c>
      <c r="X71" s="8">
        <f t="shared" si="91"/>
        <v>14.907499999999999</v>
      </c>
      <c r="Y71" s="8">
        <f t="shared" si="92"/>
        <v>0.15</v>
      </c>
      <c r="Z71" s="8">
        <f t="shared" si="93"/>
        <v>546.9</v>
      </c>
      <c r="AA71" s="8">
        <f t="shared" si="94"/>
        <v>4434.778815551289</v>
      </c>
      <c r="AB71" s="8">
        <f t="shared" si="95"/>
        <v>19.95548687778914</v>
      </c>
      <c r="AC71" s="8"/>
      <c r="AD71" s="8">
        <f t="shared" si="96"/>
        <v>141.11019932455977</v>
      </c>
      <c r="AE71" s="8">
        <f t="shared" si="97"/>
        <v>69.63</v>
      </c>
      <c r="AF71" s="8">
        <f t="shared" si="98"/>
        <v>115.95548687778914</v>
      </c>
      <c r="AG71" s="8">
        <f t="shared" si="99"/>
        <v>108</v>
      </c>
      <c r="AH71" s="8">
        <f t="shared" si="100"/>
        <v>3.1714488000564893</v>
      </c>
      <c r="AI71" s="8">
        <f t="shared" si="101"/>
        <v>0.803773424248293</v>
      </c>
      <c r="AJ71" s="8">
        <f t="shared" si="102"/>
        <v>0.053917385493764416</v>
      </c>
      <c r="AK71" s="8">
        <f t="shared" si="103"/>
        <v>3.096349905800991</v>
      </c>
      <c r="AL71" s="8">
        <f t="shared" si="104"/>
        <v>0.9407346621637316</v>
      </c>
      <c r="AM71" s="8">
        <f t="shared" si="105"/>
        <v>0.9916214021021388</v>
      </c>
      <c r="AN71" s="8">
        <f t="shared" si="106"/>
        <v>3.1</v>
      </c>
      <c r="AO71" s="8">
        <f t="shared" si="107"/>
        <v>1.875</v>
      </c>
      <c r="AP71" s="8">
        <f t="shared" si="108"/>
        <v>10.3125</v>
      </c>
      <c r="AQ71" s="8">
        <f t="shared" si="109"/>
        <v>863.4119999999999</v>
      </c>
      <c r="AR71" s="8">
        <f t="shared" si="110"/>
        <v>63402.91015583988</v>
      </c>
    </row>
    <row r="72" spans="1:44" ht="12.75">
      <c r="A72" s="6" t="s">
        <v>88</v>
      </c>
      <c r="B72">
        <v>25</v>
      </c>
      <c r="C72">
        <v>7.38</v>
      </c>
      <c r="D72" s="1">
        <f t="shared" si="80"/>
        <v>1107</v>
      </c>
      <c r="E72" s="1">
        <f t="shared" si="81"/>
        <v>442.8</v>
      </c>
      <c r="F72" s="1">
        <f t="shared" si="33"/>
        <v>258.3</v>
      </c>
      <c r="G72" s="1">
        <f t="shared" si="34"/>
        <v>2166.0299999999997</v>
      </c>
      <c r="H72" s="1">
        <f t="shared" si="82"/>
        <v>216.60299999999998</v>
      </c>
      <c r="I72" s="1">
        <f t="shared" si="83"/>
        <v>433.20599999999996</v>
      </c>
      <c r="J72" s="1">
        <f t="shared" si="84"/>
        <v>24</v>
      </c>
      <c r="K72" s="1">
        <f t="shared" si="85"/>
        <v>30</v>
      </c>
      <c r="L72" s="1">
        <f t="shared" si="86"/>
        <v>12</v>
      </c>
      <c r="M72" s="1">
        <f t="shared" si="87"/>
        <v>15</v>
      </c>
      <c r="N72" s="8">
        <f t="shared" si="88"/>
        <v>300</v>
      </c>
      <c r="O72" s="8">
        <f t="shared" si="89"/>
        <v>468.75</v>
      </c>
      <c r="P72">
        <v>300</v>
      </c>
      <c r="Q72" s="8">
        <v>0</v>
      </c>
      <c r="R72" s="8">
        <f t="shared" si="111"/>
        <v>2526.0299999999997</v>
      </c>
      <c r="S72" s="8">
        <v>27.95</v>
      </c>
      <c r="T72" s="8">
        <v>47.68</v>
      </c>
      <c r="U72" s="8">
        <v>30.77</v>
      </c>
      <c r="V72" s="8">
        <v>154.42</v>
      </c>
      <c r="W72" s="8">
        <f t="shared" si="90"/>
        <v>18.75</v>
      </c>
      <c r="X72" s="8">
        <f t="shared" si="91"/>
        <v>16.25</v>
      </c>
      <c r="Y72" s="8">
        <f t="shared" si="92"/>
        <v>0.15</v>
      </c>
      <c r="Z72" s="8">
        <f t="shared" si="93"/>
        <v>546.9</v>
      </c>
      <c r="AA72" s="8">
        <f t="shared" si="94"/>
        <v>3388.261108063631</v>
      </c>
      <c r="AB72" s="8">
        <f t="shared" si="95"/>
        <v>12.831284669590083</v>
      </c>
      <c r="AC72" s="8"/>
      <c r="AD72" s="8">
        <f t="shared" si="96"/>
        <v>98.9042068508952</v>
      </c>
      <c r="AE72" s="8">
        <f t="shared" si="97"/>
        <v>75</v>
      </c>
      <c r="AF72" s="8">
        <f t="shared" si="98"/>
        <v>108.83128466959008</v>
      </c>
      <c r="AG72" s="8">
        <f t="shared" si="99"/>
        <v>88.56</v>
      </c>
      <c r="AH72" s="8">
        <f t="shared" si="100"/>
        <v>2.2228699955015743</v>
      </c>
      <c r="AI72" s="8">
        <f t="shared" si="101"/>
        <v>0.5230282342356646</v>
      </c>
      <c r="AJ72" s="8">
        <f t="shared" si="102"/>
        <v>0.032186352876040894</v>
      </c>
      <c r="AK72" s="8">
        <f t="shared" si="103"/>
        <v>2.1462667451390742</v>
      </c>
      <c r="AL72" s="8">
        <f t="shared" si="104"/>
        <v>0.659361379005968</v>
      </c>
      <c r="AM72" s="8">
        <f t="shared" si="105"/>
        <v>0.6950279196027962</v>
      </c>
      <c r="AN72" s="8">
        <f t="shared" si="106"/>
        <v>2.15</v>
      </c>
      <c r="AO72" s="8">
        <f t="shared" si="107"/>
        <v>1.875</v>
      </c>
      <c r="AP72" s="8">
        <f t="shared" si="108"/>
        <v>10.3125</v>
      </c>
      <c r="AQ72" s="8">
        <f t="shared" si="109"/>
        <v>645</v>
      </c>
      <c r="AR72" s="8">
        <f t="shared" si="110"/>
        <v>49079.66386118207</v>
      </c>
    </row>
    <row r="73" spans="1:44" ht="12.75">
      <c r="A73" s="6" t="s">
        <v>89</v>
      </c>
      <c r="B73">
        <v>25</v>
      </c>
      <c r="C73">
        <v>2.88</v>
      </c>
      <c r="D73" s="1">
        <f t="shared" si="80"/>
        <v>432</v>
      </c>
      <c r="E73" s="1">
        <f t="shared" si="81"/>
        <v>172.79999999999998</v>
      </c>
      <c r="F73" s="1">
        <f t="shared" si="33"/>
        <v>100.8</v>
      </c>
      <c r="G73" s="1">
        <f t="shared" si="34"/>
        <v>845.2799999999999</v>
      </c>
      <c r="H73" s="1">
        <f t="shared" si="82"/>
        <v>84.52799999999999</v>
      </c>
      <c r="I73" s="1">
        <f t="shared" si="83"/>
        <v>169.05599999999998</v>
      </c>
      <c r="J73" s="1">
        <f t="shared" si="84"/>
        <v>24</v>
      </c>
      <c r="K73" s="1">
        <f t="shared" si="85"/>
        <v>30</v>
      </c>
      <c r="L73" s="1">
        <f t="shared" si="86"/>
        <v>12</v>
      </c>
      <c r="M73" s="1">
        <f t="shared" si="87"/>
        <v>15</v>
      </c>
      <c r="N73" s="8">
        <f t="shared" si="88"/>
        <v>300</v>
      </c>
      <c r="O73" s="8">
        <f t="shared" si="89"/>
        <v>468.75</v>
      </c>
      <c r="P73">
        <v>300</v>
      </c>
      <c r="Q73" s="8">
        <v>0</v>
      </c>
      <c r="R73" s="8">
        <f t="shared" si="111"/>
        <v>1205.2799999999997</v>
      </c>
      <c r="S73" s="8">
        <v>27.95</v>
      </c>
      <c r="T73" s="8">
        <v>47.68</v>
      </c>
      <c r="U73" s="8">
        <v>30.77</v>
      </c>
      <c r="V73" s="8">
        <v>32.66</v>
      </c>
      <c r="W73" s="8">
        <f t="shared" si="90"/>
        <v>18.75</v>
      </c>
      <c r="X73" s="8">
        <f t="shared" si="91"/>
        <v>16.25</v>
      </c>
      <c r="Y73" s="8">
        <f t="shared" si="92"/>
        <v>0.15</v>
      </c>
      <c r="Z73" s="8">
        <f t="shared" si="93"/>
        <v>546.9</v>
      </c>
      <c r="AA73" s="8">
        <f t="shared" si="94"/>
        <v>716.6209544706527</v>
      </c>
      <c r="AB73" s="8">
        <f t="shared" si="95"/>
        <v>2.7138308334983297</v>
      </c>
      <c r="AC73" s="8"/>
      <c r="AD73" s="8">
        <f t="shared" si="96"/>
        <v>20.918348631979256</v>
      </c>
      <c r="AE73" s="8">
        <f t="shared" si="97"/>
        <v>75</v>
      </c>
      <c r="AF73" s="8">
        <f t="shared" si="98"/>
        <v>98.71383083349833</v>
      </c>
      <c r="AG73" s="8">
        <f t="shared" si="99"/>
        <v>34.56</v>
      </c>
      <c r="AH73" s="8">
        <f t="shared" si="100"/>
        <v>0.4701394511920827</v>
      </c>
      <c r="AI73" s="8">
        <f t="shared" si="101"/>
        <v>0.24006303676066312</v>
      </c>
      <c r="AJ73" s="8">
        <f t="shared" si="102"/>
        <v>0.014773109954502346</v>
      </c>
      <c r="AK73" s="8">
        <f t="shared" si="103"/>
        <v>0.4499561041330068</v>
      </c>
      <c r="AL73" s="8">
        <f t="shared" si="104"/>
        <v>0.1394556575465284</v>
      </c>
      <c r="AM73" s="8">
        <f t="shared" si="105"/>
        <v>0.1469991701478262</v>
      </c>
      <c r="AN73" s="8">
        <f t="shared" si="106"/>
        <v>0.45</v>
      </c>
      <c r="AO73" s="8">
        <f t="shared" si="107"/>
        <v>1.875</v>
      </c>
      <c r="AP73" s="8">
        <f t="shared" si="108"/>
        <v>10.3125</v>
      </c>
      <c r="AQ73" s="8">
        <f t="shared" si="109"/>
        <v>135</v>
      </c>
      <c r="AR73" s="8">
        <f t="shared" si="110"/>
        <v>10380.40293813111</v>
      </c>
    </row>
    <row r="74" spans="1:44" ht="12.75">
      <c r="A74">
        <v>56</v>
      </c>
      <c r="B74">
        <v>25</v>
      </c>
      <c r="C74">
        <v>5.75</v>
      </c>
      <c r="D74" s="1">
        <f t="shared" si="80"/>
        <v>862.5</v>
      </c>
      <c r="E74" s="1">
        <f t="shared" si="81"/>
        <v>345</v>
      </c>
      <c r="F74" s="1">
        <f t="shared" si="33"/>
        <v>201.25</v>
      </c>
      <c r="G74" s="1">
        <f t="shared" si="34"/>
        <v>1687.625</v>
      </c>
      <c r="H74" s="1">
        <f t="shared" si="82"/>
        <v>168.76250000000002</v>
      </c>
      <c r="I74" s="1">
        <f t="shared" si="83"/>
        <v>337.52500000000003</v>
      </c>
      <c r="J74" s="1">
        <f t="shared" si="84"/>
        <v>24</v>
      </c>
      <c r="K74" s="1">
        <f t="shared" si="85"/>
        <v>30</v>
      </c>
      <c r="L74" s="1">
        <f t="shared" si="86"/>
        <v>12</v>
      </c>
      <c r="M74" s="1">
        <f t="shared" si="87"/>
        <v>15</v>
      </c>
      <c r="N74" s="8">
        <f t="shared" si="88"/>
        <v>300</v>
      </c>
      <c r="O74" s="8">
        <f t="shared" si="89"/>
        <v>468.75</v>
      </c>
      <c r="P74">
        <v>300</v>
      </c>
      <c r="Q74" s="8">
        <v>0</v>
      </c>
      <c r="R74" s="8">
        <f t="shared" si="111"/>
        <v>2047.625</v>
      </c>
      <c r="S74" s="8"/>
      <c r="T74" s="8"/>
      <c r="U74" s="8">
        <f>(R74*B74)/2000</f>
        <v>25.5953125</v>
      </c>
      <c r="V74" s="8">
        <f>(0.5*B74)*U74*0.5</f>
        <v>159.970703125</v>
      </c>
      <c r="W74" s="8">
        <f t="shared" si="90"/>
        <v>18.75</v>
      </c>
      <c r="X74" s="8">
        <f t="shared" si="91"/>
        <v>16.25</v>
      </c>
      <c r="Y74" s="8">
        <f t="shared" si="92"/>
        <v>0.15</v>
      </c>
      <c r="Z74" s="8">
        <f t="shared" si="93"/>
        <v>546.9</v>
      </c>
      <c r="AA74" s="8">
        <f t="shared" si="94"/>
        <v>3510.0538261108063</v>
      </c>
      <c r="AB74" s="8">
        <f t="shared" si="95"/>
        <v>13.292511530833822</v>
      </c>
      <c r="AC74" s="8"/>
      <c r="AD74" s="8">
        <f t="shared" si="96"/>
        <v>102.45936738737306</v>
      </c>
      <c r="AE74" s="8">
        <f t="shared" si="97"/>
        <v>75</v>
      </c>
      <c r="AF74" s="8">
        <f>((8*6))+AB74</f>
        <v>61.29251153083382</v>
      </c>
      <c r="AG74" s="8">
        <f t="shared" si="99"/>
        <v>69</v>
      </c>
      <c r="AH74" s="8">
        <f t="shared" si="100"/>
        <v>2.302772154745839</v>
      </c>
      <c r="AI74" s="8">
        <f t="shared" si="101"/>
        <v>0.6630035979443012</v>
      </c>
      <c r="AJ74" s="8">
        <f t="shared" si="102"/>
        <v>0.040800221411956994</v>
      </c>
      <c r="AK74" s="8">
        <f t="shared" si="103"/>
        <v>2.2331908883586458</v>
      </c>
      <c r="AL74" s="8">
        <f t="shared" si="104"/>
        <v>0.6830624492491537</v>
      </c>
      <c r="AM74" s="8">
        <f t="shared" si="105"/>
        <v>0.7200110412534987</v>
      </c>
      <c r="AN74" s="8">
        <f t="shared" si="106"/>
        <v>2.23</v>
      </c>
      <c r="AO74" s="8">
        <f t="shared" si="107"/>
        <v>1.875</v>
      </c>
      <c r="AP74" s="8">
        <f t="shared" si="108"/>
        <v>10.3125</v>
      </c>
      <c r="AQ74" s="8">
        <f t="shared" si="109"/>
        <v>669</v>
      </c>
      <c r="AR74" s="8">
        <f t="shared" si="110"/>
        <v>50843.85660543937</v>
      </c>
    </row>
    <row r="75" spans="1:44" ht="12.75">
      <c r="A75" s="6" t="s">
        <v>90</v>
      </c>
      <c r="B75">
        <v>25</v>
      </c>
      <c r="C75">
        <v>7.38</v>
      </c>
      <c r="D75" s="1">
        <f aca="true" t="shared" si="112" ref="D75:D90">C75*((0.5*150)+5+10+20+40)</f>
        <v>1107</v>
      </c>
      <c r="E75" s="1">
        <f t="shared" si="81"/>
        <v>442.8</v>
      </c>
      <c r="F75" s="1">
        <f aca="true" t="shared" si="113" ref="F75:F90">C75*35</f>
        <v>258.3</v>
      </c>
      <c r="G75" s="1">
        <f aca="true" t="shared" si="114" ref="G75:G90">(1.2*D75)+(1.6*E75)+(0.5*F75)</f>
        <v>2166.0299999999997</v>
      </c>
      <c r="H75" s="1">
        <f t="shared" si="82"/>
        <v>216.60299999999998</v>
      </c>
      <c r="I75" s="1">
        <f t="shared" si="83"/>
        <v>433.20599999999996</v>
      </c>
      <c r="J75" s="1">
        <f t="shared" si="84"/>
        <v>24</v>
      </c>
      <c r="K75" s="1">
        <f t="shared" si="85"/>
        <v>30</v>
      </c>
      <c r="L75" s="1">
        <f t="shared" si="86"/>
        <v>12</v>
      </c>
      <c r="M75" s="1">
        <f t="shared" si="87"/>
        <v>15</v>
      </c>
      <c r="N75" s="8">
        <f t="shared" si="88"/>
        <v>300</v>
      </c>
      <c r="O75" s="8">
        <f t="shared" si="89"/>
        <v>468.75</v>
      </c>
      <c r="P75">
        <v>300</v>
      </c>
      <c r="Q75" s="8">
        <v>0</v>
      </c>
      <c r="R75" s="8">
        <f t="shared" si="111"/>
        <v>2526.0299999999997</v>
      </c>
      <c r="S75" s="8">
        <v>27.95</v>
      </c>
      <c r="T75" s="8">
        <v>47.68</v>
      </c>
      <c r="U75" s="8">
        <v>30.77</v>
      </c>
      <c r="V75" s="8">
        <v>154.42</v>
      </c>
      <c r="W75" s="8">
        <f t="shared" si="90"/>
        <v>18.75</v>
      </c>
      <c r="X75" s="8">
        <f t="shared" si="91"/>
        <v>16.25</v>
      </c>
      <c r="Y75" s="8">
        <f t="shared" si="92"/>
        <v>0.15</v>
      </c>
      <c r="Z75" s="8">
        <f t="shared" si="93"/>
        <v>546.9</v>
      </c>
      <c r="AA75" s="8">
        <f t="shared" si="94"/>
        <v>3388.261108063631</v>
      </c>
      <c r="AB75" s="8">
        <f t="shared" si="95"/>
        <v>12.831284669590083</v>
      </c>
      <c r="AC75" s="8"/>
      <c r="AD75" s="8">
        <f t="shared" si="96"/>
        <v>98.9042068508952</v>
      </c>
      <c r="AE75" s="8">
        <f t="shared" si="97"/>
        <v>75</v>
      </c>
      <c r="AF75" s="8">
        <f aca="true" t="shared" si="115" ref="AF75:AF90">((8*6)*2)+AB75</f>
        <v>108.83128466959008</v>
      </c>
      <c r="AG75" s="8">
        <f t="shared" si="99"/>
        <v>88.56</v>
      </c>
      <c r="AH75" s="8">
        <f t="shared" si="100"/>
        <v>2.2228699955015743</v>
      </c>
      <c r="AI75" s="8">
        <f t="shared" si="101"/>
        <v>0.5230282342356646</v>
      </c>
      <c r="AJ75" s="8">
        <f t="shared" si="102"/>
        <v>0.032186352876040894</v>
      </c>
      <c r="AK75" s="8">
        <f t="shared" si="103"/>
        <v>2.1462667451390742</v>
      </c>
      <c r="AL75" s="8">
        <f t="shared" si="104"/>
        <v>0.659361379005968</v>
      </c>
      <c r="AM75" s="8">
        <f t="shared" si="105"/>
        <v>0.6950279196027962</v>
      </c>
      <c r="AN75" s="8">
        <f t="shared" si="106"/>
        <v>2.15</v>
      </c>
      <c r="AO75" s="8">
        <f t="shared" si="107"/>
        <v>1.875</v>
      </c>
      <c r="AP75" s="8">
        <f t="shared" si="108"/>
        <v>10.3125</v>
      </c>
      <c r="AQ75" s="8">
        <f t="shared" si="109"/>
        <v>645</v>
      </c>
      <c r="AR75" s="8">
        <f t="shared" si="110"/>
        <v>49079.66386118207</v>
      </c>
    </row>
    <row r="76" spans="1:44" ht="12.75">
      <c r="A76" s="6" t="s">
        <v>91</v>
      </c>
      <c r="B76">
        <v>25</v>
      </c>
      <c r="C76">
        <v>2.88</v>
      </c>
      <c r="D76" s="1">
        <f t="shared" si="112"/>
        <v>432</v>
      </c>
      <c r="E76" s="1">
        <f t="shared" si="81"/>
        <v>172.79999999999998</v>
      </c>
      <c r="F76" s="1">
        <f t="shared" si="113"/>
        <v>100.8</v>
      </c>
      <c r="G76" s="1">
        <f t="shared" si="114"/>
        <v>845.2799999999999</v>
      </c>
      <c r="H76" s="1">
        <f t="shared" si="82"/>
        <v>84.52799999999999</v>
      </c>
      <c r="I76" s="1">
        <f t="shared" si="83"/>
        <v>169.05599999999998</v>
      </c>
      <c r="J76" s="1">
        <f t="shared" si="84"/>
        <v>24</v>
      </c>
      <c r="K76" s="1">
        <f t="shared" si="85"/>
        <v>30</v>
      </c>
      <c r="L76" s="1">
        <f t="shared" si="86"/>
        <v>12</v>
      </c>
      <c r="M76" s="1">
        <f t="shared" si="87"/>
        <v>15</v>
      </c>
      <c r="N76" s="8">
        <f t="shared" si="88"/>
        <v>300</v>
      </c>
      <c r="O76" s="8">
        <f t="shared" si="89"/>
        <v>468.75</v>
      </c>
      <c r="P76">
        <v>300</v>
      </c>
      <c r="Q76" s="8">
        <v>0</v>
      </c>
      <c r="R76" s="8">
        <f t="shared" si="111"/>
        <v>1205.2799999999997</v>
      </c>
      <c r="S76" s="8">
        <v>27.95</v>
      </c>
      <c r="T76" s="8">
        <v>47.68</v>
      </c>
      <c r="U76" s="8">
        <v>30.77</v>
      </c>
      <c r="V76" s="8">
        <v>32.66</v>
      </c>
      <c r="W76" s="8">
        <f t="shared" si="90"/>
        <v>18.75</v>
      </c>
      <c r="X76" s="8">
        <f t="shared" si="91"/>
        <v>16.25</v>
      </c>
      <c r="Y76" s="8">
        <f t="shared" si="92"/>
        <v>0.15</v>
      </c>
      <c r="Z76" s="8">
        <f t="shared" si="93"/>
        <v>546.9</v>
      </c>
      <c r="AA76" s="8">
        <f t="shared" si="94"/>
        <v>716.6209544706527</v>
      </c>
      <c r="AB76" s="8">
        <f t="shared" si="95"/>
        <v>2.7138308334983297</v>
      </c>
      <c r="AC76" s="8"/>
      <c r="AD76" s="8">
        <f t="shared" si="96"/>
        <v>20.918348631979256</v>
      </c>
      <c r="AE76" s="8">
        <f t="shared" si="97"/>
        <v>75</v>
      </c>
      <c r="AF76" s="8">
        <f t="shared" si="115"/>
        <v>98.71383083349833</v>
      </c>
      <c r="AG76" s="8">
        <f t="shared" si="99"/>
        <v>34.56</v>
      </c>
      <c r="AH76" s="8">
        <f t="shared" si="100"/>
        <v>0.4701394511920827</v>
      </c>
      <c r="AI76" s="8">
        <f t="shared" si="101"/>
        <v>0.24006303676066312</v>
      </c>
      <c r="AJ76" s="8">
        <f t="shared" si="102"/>
        <v>0.014773109954502346</v>
      </c>
      <c r="AK76" s="8">
        <f t="shared" si="103"/>
        <v>0.4499561041330068</v>
      </c>
      <c r="AL76" s="8">
        <f t="shared" si="104"/>
        <v>0.1394556575465284</v>
      </c>
      <c r="AM76" s="8">
        <f t="shared" si="105"/>
        <v>0.1469991701478262</v>
      </c>
      <c r="AN76" s="8">
        <f t="shared" si="106"/>
        <v>0.45</v>
      </c>
      <c r="AO76" s="8">
        <f t="shared" si="107"/>
        <v>1.875</v>
      </c>
      <c r="AP76" s="8">
        <f t="shared" si="108"/>
        <v>10.3125</v>
      </c>
      <c r="AQ76" s="8">
        <f t="shared" si="109"/>
        <v>135</v>
      </c>
      <c r="AR76" s="8">
        <f t="shared" si="110"/>
        <v>10380.40293813111</v>
      </c>
    </row>
    <row r="77" spans="1:44" ht="12.75">
      <c r="A77">
        <v>58</v>
      </c>
      <c r="B77">
        <v>23.21</v>
      </c>
      <c r="C77">
        <v>8.88</v>
      </c>
      <c r="D77" s="1">
        <f t="shared" si="112"/>
        <v>1332.0000000000002</v>
      </c>
      <c r="E77" s="1">
        <f t="shared" si="81"/>
        <v>532.8000000000001</v>
      </c>
      <c r="F77" s="1">
        <f t="shared" si="113"/>
        <v>310.8</v>
      </c>
      <c r="G77" s="1">
        <f t="shared" si="114"/>
        <v>2606.2800000000007</v>
      </c>
      <c r="H77" s="1">
        <f t="shared" si="82"/>
        <v>260.6280000000001</v>
      </c>
      <c r="I77" s="1">
        <f t="shared" si="83"/>
        <v>521.2560000000002</v>
      </c>
      <c r="J77" s="1">
        <f t="shared" si="84"/>
        <v>22</v>
      </c>
      <c r="K77" s="1">
        <f t="shared" si="85"/>
        <v>28</v>
      </c>
      <c r="L77" s="1">
        <f t="shared" si="86"/>
        <v>11</v>
      </c>
      <c r="M77" s="1">
        <f t="shared" si="87"/>
        <v>14</v>
      </c>
      <c r="N77" s="8">
        <f t="shared" si="88"/>
        <v>252.08333333333331</v>
      </c>
      <c r="O77" s="8">
        <f t="shared" si="89"/>
        <v>408.3333333333334</v>
      </c>
      <c r="P77">
        <v>300</v>
      </c>
      <c r="Q77" s="8">
        <v>0</v>
      </c>
      <c r="R77" s="8">
        <f t="shared" si="111"/>
        <v>2966.2800000000007</v>
      </c>
      <c r="S77" s="8"/>
      <c r="T77" s="8"/>
      <c r="U77" s="8">
        <f>(R77*B77)/2000</f>
        <v>34.42367940000001</v>
      </c>
      <c r="V77" s="8">
        <f>(0.5*B77)*U77*0.5</f>
        <v>199.7433997185001</v>
      </c>
      <c r="W77" s="8">
        <f t="shared" si="90"/>
        <v>17.4075</v>
      </c>
      <c r="X77" s="8">
        <f t="shared" si="91"/>
        <v>14.907499999999999</v>
      </c>
      <c r="Y77" s="8">
        <f t="shared" si="92"/>
        <v>0.15</v>
      </c>
      <c r="Z77" s="8">
        <f t="shared" si="93"/>
        <v>546.9</v>
      </c>
      <c r="AA77" s="8">
        <f t="shared" si="94"/>
        <v>4382.740531398796</v>
      </c>
      <c r="AB77" s="8">
        <f t="shared" si="95"/>
        <v>19.721326542011795</v>
      </c>
      <c r="AC77" s="8"/>
      <c r="AD77" s="8">
        <f t="shared" si="96"/>
        <v>139.45439348740803</v>
      </c>
      <c r="AE77" s="8">
        <f t="shared" si="97"/>
        <v>69.63</v>
      </c>
      <c r="AF77" s="8">
        <f t="shared" si="115"/>
        <v>115.7213265420118</v>
      </c>
      <c r="AG77" s="8">
        <f t="shared" si="99"/>
        <v>106.56</v>
      </c>
      <c r="AH77" s="8">
        <f t="shared" si="100"/>
        <v>3.1342345982447335</v>
      </c>
      <c r="AI77" s="8">
        <f t="shared" si="101"/>
        <v>0.7943418400397227</v>
      </c>
      <c r="AJ77" s="8">
        <f t="shared" si="102"/>
        <v>0.053284711724952055</v>
      </c>
      <c r="AK77" s="8">
        <f t="shared" si="103"/>
        <v>3.0590224325723874</v>
      </c>
      <c r="AL77" s="8">
        <f t="shared" si="104"/>
        <v>0.9296959565827202</v>
      </c>
      <c r="AM77" s="8">
        <f t="shared" si="105"/>
        <v>0.9799855847501361</v>
      </c>
      <c r="AN77" s="8">
        <f t="shared" si="106"/>
        <v>3.06</v>
      </c>
      <c r="AO77" s="8">
        <f t="shared" si="107"/>
        <v>1.875</v>
      </c>
      <c r="AP77" s="8">
        <f t="shared" si="108"/>
        <v>10.3125</v>
      </c>
      <c r="AQ77" s="8">
        <f t="shared" si="109"/>
        <v>852.2711999999999</v>
      </c>
      <c r="AR77" s="8">
        <f t="shared" si="110"/>
        <v>62658.93197969843</v>
      </c>
    </row>
    <row r="78" spans="1:44" ht="12.75">
      <c r="A78">
        <v>59</v>
      </c>
      <c r="B78">
        <v>23.21</v>
      </c>
      <c r="C78">
        <v>9.5</v>
      </c>
      <c r="D78" s="1">
        <f t="shared" si="112"/>
        <v>1425</v>
      </c>
      <c r="E78" s="1">
        <f t="shared" si="81"/>
        <v>570</v>
      </c>
      <c r="F78" s="1">
        <f t="shared" si="113"/>
        <v>332.5</v>
      </c>
      <c r="G78" s="1">
        <f t="shared" si="114"/>
        <v>2788.25</v>
      </c>
      <c r="H78" s="1">
        <f t="shared" si="82"/>
        <v>278.825</v>
      </c>
      <c r="I78" s="1">
        <f t="shared" si="83"/>
        <v>557.65</v>
      </c>
      <c r="J78" s="1">
        <f t="shared" si="84"/>
        <v>22</v>
      </c>
      <c r="K78" s="1">
        <f t="shared" si="85"/>
        <v>28</v>
      </c>
      <c r="L78" s="1">
        <f t="shared" si="86"/>
        <v>11</v>
      </c>
      <c r="M78" s="1">
        <f t="shared" si="87"/>
        <v>14</v>
      </c>
      <c r="N78" s="8">
        <f t="shared" si="88"/>
        <v>252.08333333333331</v>
      </c>
      <c r="O78" s="8">
        <f t="shared" si="89"/>
        <v>408.3333333333334</v>
      </c>
      <c r="P78">
        <v>300</v>
      </c>
      <c r="Q78" s="8">
        <v>0</v>
      </c>
      <c r="R78" s="8">
        <f t="shared" si="111"/>
        <v>3148.25</v>
      </c>
      <c r="S78" s="8"/>
      <c r="T78" s="8"/>
      <c r="U78" s="8">
        <f>(R78*B78)/2000</f>
        <v>36.535441250000005</v>
      </c>
      <c r="V78" s="8">
        <f>(0.5*B78)*U78*0.5</f>
        <v>211.99689785312503</v>
      </c>
      <c r="W78" s="8">
        <f t="shared" si="90"/>
        <v>17.4075</v>
      </c>
      <c r="X78" s="8">
        <f t="shared" si="91"/>
        <v>14.907499999999999</v>
      </c>
      <c r="Y78" s="8">
        <f t="shared" si="92"/>
        <v>0.15</v>
      </c>
      <c r="Z78" s="8">
        <f t="shared" si="93"/>
        <v>546.9</v>
      </c>
      <c r="AA78" s="8">
        <f t="shared" si="94"/>
        <v>4651.604999520023</v>
      </c>
      <c r="AB78" s="8">
        <f t="shared" si="95"/>
        <v>20.931154943528128</v>
      </c>
      <c r="AC78" s="8"/>
      <c r="AD78" s="8">
        <f t="shared" si="96"/>
        <v>148.00939031269206</v>
      </c>
      <c r="AE78" s="8">
        <f t="shared" si="97"/>
        <v>69.63</v>
      </c>
      <c r="AF78" s="8">
        <f t="shared" si="115"/>
        <v>116.93115494352813</v>
      </c>
      <c r="AG78" s="8">
        <f t="shared" si="99"/>
        <v>114</v>
      </c>
      <c r="AH78" s="8">
        <f t="shared" si="100"/>
        <v>3.326507974272145</v>
      </c>
      <c r="AI78" s="8">
        <f t="shared" si="101"/>
        <v>0.8430716917840042</v>
      </c>
      <c r="AJ78" s="8">
        <f t="shared" si="102"/>
        <v>0.05655352619714937</v>
      </c>
      <c r="AK78" s="8">
        <f t="shared" si="103"/>
        <v>3.2521426426268705</v>
      </c>
      <c r="AL78" s="8">
        <f t="shared" si="104"/>
        <v>0.9867292687512804</v>
      </c>
      <c r="AM78" s="8">
        <f t="shared" si="105"/>
        <v>1.0401039744021519</v>
      </c>
      <c r="AN78" s="8">
        <f t="shared" si="106"/>
        <v>3.25</v>
      </c>
      <c r="AO78" s="8">
        <f t="shared" si="107"/>
        <v>1.875</v>
      </c>
      <c r="AP78" s="8">
        <f t="shared" si="108"/>
        <v>10.3125</v>
      </c>
      <c r="AQ78" s="8">
        <f>AN78*B78</f>
        <v>75.4325</v>
      </c>
      <c r="AR78" s="8">
        <f t="shared" si="110"/>
        <v>66502.8192230961</v>
      </c>
    </row>
    <row r="79" spans="1:44" ht="12.75">
      <c r="A79">
        <v>60</v>
      </c>
      <c r="B79">
        <v>23.21</v>
      </c>
      <c r="C79">
        <v>8.88</v>
      </c>
      <c r="D79" s="1">
        <f t="shared" si="112"/>
        <v>1332.0000000000002</v>
      </c>
      <c r="E79" s="1">
        <f t="shared" si="81"/>
        <v>532.8000000000001</v>
      </c>
      <c r="F79" s="1">
        <f t="shared" si="113"/>
        <v>310.8</v>
      </c>
      <c r="G79" s="1">
        <f t="shared" si="114"/>
        <v>2606.2800000000007</v>
      </c>
      <c r="H79" s="1">
        <f t="shared" si="82"/>
        <v>260.6280000000001</v>
      </c>
      <c r="I79" s="1">
        <f t="shared" si="83"/>
        <v>521.2560000000002</v>
      </c>
      <c r="J79" s="1">
        <f t="shared" si="84"/>
        <v>22</v>
      </c>
      <c r="K79" s="1">
        <f t="shared" si="85"/>
        <v>28</v>
      </c>
      <c r="L79" s="1">
        <f t="shared" si="86"/>
        <v>11</v>
      </c>
      <c r="M79" s="1">
        <f t="shared" si="87"/>
        <v>14</v>
      </c>
      <c r="N79" s="8">
        <f t="shared" si="88"/>
        <v>252.08333333333331</v>
      </c>
      <c r="O79" s="8">
        <f t="shared" si="89"/>
        <v>408.3333333333334</v>
      </c>
      <c r="P79">
        <v>300</v>
      </c>
      <c r="Q79" s="8">
        <v>0</v>
      </c>
      <c r="R79" s="8">
        <f t="shared" si="111"/>
        <v>2966.2800000000007</v>
      </c>
      <c r="S79" s="8"/>
      <c r="T79" s="8"/>
      <c r="U79" s="8">
        <f>(R79*B79)/2000</f>
        <v>34.42367940000001</v>
      </c>
      <c r="V79" s="8">
        <f>(0.5*B79)*U79*0.5</f>
        <v>199.7433997185001</v>
      </c>
      <c r="W79" s="8">
        <f t="shared" si="90"/>
        <v>17.4075</v>
      </c>
      <c r="X79" s="8">
        <f t="shared" si="91"/>
        <v>14.907499999999999</v>
      </c>
      <c r="Y79" s="8">
        <f t="shared" si="92"/>
        <v>0.15</v>
      </c>
      <c r="Z79" s="8">
        <f t="shared" si="93"/>
        <v>546.9</v>
      </c>
      <c r="AA79" s="8">
        <f t="shared" si="94"/>
        <v>4382.740531398796</v>
      </c>
      <c r="AB79" s="8">
        <f t="shared" si="95"/>
        <v>19.721326542011795</v>
      </c>
      <c r="AC79" s="8"/>
      <c r="AD79" s="8">
        <f t="shared" si="96"/>
        <v>139.45439348740803</v>
      </c>
      <c r="AE79" s="8">
        <f t="shared" si="97"/>
        <v>69.63</v>
      </c>
      <c r="AF79" s="8">
        <f t="shared" si="115"/>
        <v>115.7213265420118</v>
      </c>
      <c r="AG79" s="8">
        <f t="shared" si="99"/>
        <v>106.56</v>
      </c>
      <c r="AH79" s="8">
        <f t="shared" si="100"/>
        <v>3.1342345982447335</v>
      </c>
      <c r="AI79" s="8">
        <f t="shared" si="101"/>
        <v>0.7943418400397227</v>
      </c>
      <c r="AJ79" s="8">
        <f t="shared" si="102"/>
        <v>0.053284711724952055</v>
      </c>
      <c r="AK79" s="8">
        <f t="shared" si="103"/>
        <v>3.0590224325723874</v>
      </c>
      <c r="AL79" s="8">
        <f t="shared" si="104"/>
        <v>0.9296959565827202</v>
      </c>
      <c r="AM79" s="8">
        <f t="shared" si="105"/>
        <v>0.9799855847501361</v>
      </c>
      <c r="AN79" s="8">
        <f t="shared" si="106"/>
        <v>3.06</v>
      </c>
      <c r="AO79" s="8">
        <f t="shared" si="107"/>
        <v>1.875</v>
      </c>
      <c r="AP79" s="8">
        <f t="shared" si="108"/>
        <v>10.3125</v>
      </c>
      <c r="AQ79" s="8">
        <f>AN79*B79</f>
        <v>71.0226</v>
      </c>
      <c r="AR79" s="8">
        <f t="shared" si="110"/>
        <v>62658.93197969843</v>
      </c>
    </row>
    <row r="80" spans="1:44" ht="12.75">
      <c r="A80" s="6" t="s">
        <v>92</v>
      </c>
      <c r="B80">
        <v>25</v>
      </c>
      <c r="C80">
        <v>7.38</v>
      </c>
      <c r="D80" s="1">
        <f t="shared" si="112"/>
        <v>1107</v>
      </c>
      <c r="E80" s="1">
        <f t="shared" si="81"/>
        <v>442.8</v>
      </c>
      <c r="F80" s="1">
        <f t="shared" si="113"/>
        <v>258.3</v>
      </c>
      <c r="G80" s="1">
        <f t="shared" si="114"/>
        <v>2166.0299999999997</v>
      </c>
      <c r="H80" s="1">
        <f t="shared" si="82"/>
        <v>216.60299999999998</v>
      </c>
      <c r="I80" s="1">
        <f t="shared" si="83"/>
        <v>433.20599999999996</v>
      </c>
      <c r="J80" s="1">
        <f t="shared" si="84"/>
        <v>24</v>
      </c>
      <c r="K80" s="1">
        <f t="shared" si="85"/>
        <v>30</v>
      </c>
      <c r="L80" s="1">
        <f t="shared" si="86"/>
        <v>12</v>
      </c>
      <c r="M80" s="1">
        <f t="shared" si="87"/>
        <v>15</v>
      </c>
      <c r="N80" s="8">
        <f t="shared" si="88"/>
        <v>300</v>
      </c>
      <c r="O80" s="8">
        <f t="shared" si="89"/>
        <v>468.75</v>
      </c>
      <c r="P80">
        <v>300</v>
      </c>
      <c r="Q80" s="8">
        <v>0</v>
      </c>
      <c r="R80" s="8">
        <f t="shared" si="111"/>
        <v>2526.0299999999997</v>
      </c>
      <c r="S80" s="8">
        <v>27.95</v>
      </c>
      <c r="T80" s="8">
        <v>47.68</v>
      </c>
      <c r="U80" s="8">
        <v>30.77</v>
      </c>
      <c r="V80" s="8">
        <v>154.42</v>
      </c>
      <c r="W80" s="8">
        <f t="shared" si="90"/>
        <v>18.75</v>
      </c>
      <c r="X80" s="8">
        <f t="shared" si="91"/>
        <v>16.25</v>
      </c>
      <c r="Y80" s="8">
        <f t="shared" si="92"/>
        <v>0.15</v>
      </c>
      <c r="Z80" s="8">
        <f t="shared" si="93"/>
        <v>546.9</v>
      </c>
      <c r="AA80" s="8">
        <f t="shared" si="94"/>
        <v>3388.261108063631</v>
      </c>
      <c r="AB80" s="8">
        <f t="shared" si="95"/>
        <v>12.831284669590083</v>
      </c>
      <c r="AC80" s="8"/>
      <c r="AD80" s="8">
        <f t="shared" si="96"/>
        <v>98.9042068508952</v>
      </c>
      <c r="AE80" s="8">
        <f t="shared" si="97"/>
        <v>75</v>
      </c>
      <c r="AF80" s="8">
        <f t="shared" si="115"/>
        <v>108.83128466959008</v>
      </c>
      <c r="AG80" s="8">
        <f t="shared" si="99"/>
        <v>88.56</v>
      </c>
      <c r="AH80" s="8">
        <f t="shared" si="100"/>
        <v>2.2228699955015743</v>
      </c>
      <c r="AI80" s="8">
        <f t="shared" si="101"/>
        <v>0.5230282342356646</v>
      </c>
      <c r="AJ80" s="8">
        <f t="shared" si="102"/>
        <v>0.032186352876040894</v>
      </c>
      <c r="AK80" s="8">
        <f t="shared" si="103"/>
        <v>2.1462667451390742</v>
      </c>
      <c r="AL80" s="8">
        <f t="shared" si="104"/>
        <v>0.659361379005968</v>
      </c>
      <c r="AM80" s="8">
        <f t="shared" si="105"/>
        <v>0.6950279196027962</v>
      </c>
      <c r="AN80" s="8">
        <f t="shared" si="106"/>
        <v>2.15</v>
      </c>
      <c r="AO80" s="8">
        <f t="shared" si="107"/>
        <v>1.875</v>
      </c>
      <c r="AP80" s="8">
        <f t="shared" si="108"/>
        <v>10.3125</v>
      </c>
      <c r="AQ80" s="8">
        <f>AN80*(B80*12)</f>
        <v>645</v>
      </c>
      <c r="AR80" s="8">
        <f t="shared" si="110"/>
        <v>49079.66386118207</v>
      </c>
    </row>
    <row r="81" spans="1:44" ht="12.75">
      <c r="A81" s="6" t="s">
        <v>93</v>
      </c>
      <c r="B81">
        <v>25</v>
      </c>
      <c r="C81">
        <v>2.88</v>
      </c>
      <c r="D81" s="1">
        <f t="shared" si="112"/>
        <v>432</v>
      </c>
      <c r="E81" s="1">
        <f t="shared" si="81"/>
        <v>172.79999999999998</v>
      </c>
      <c r="F81" s="1">
        <f t="shared" si="113"/>
        <v>100.8</v>
      </c>
      <c r="G81" s="1">
        <f t="shared" si="114"/>
        <v>845.2799999999999</v>
      </c>
      <c r="H81" s="1">
        <f t="shared" si="82"/>
        <v>84.52799999999999</v>
      </c>
      <c r="I81" s="1">
        <f t="shared" si="83"/>
        <v>169.05599999999998</v>
      </c>
      <c r="J81" s="1">
        <f t="shared" si="84"/>
        <v>24</v>
      </c>
      <c r="K81" s="1">
        <f t="shared" si="85"/>
        <v>30</v>
      </c>
      <c r="L81" s="1">
        <f t="shared" si="86"/>
        <v>12</v>
      </c>
      <c r="M81" s="1">
        <f t="shared" si="87"/>
        <v>15</v>
      </c>
      <c r="N81" s="8">
        <f t="shared" si="88"/>
        <v>300</v>
      </c>
      <c r="O81" s="8">
        <f t="shared" si="89"/>
        <v>468.75</v>
      </c>
      <c r="P81">
        <v>300</v>
      </c>
      <c r="Q81" s="8">
        <v>0</v>
      </c>
      <c r="R81" s="8">
        <f t="shared" si="111"/>
        <v>1205.2799999999997</v>
      </c>
      <c r="S81" s="8">
        <v>27.95</v>
      </c>
      <c r="T81" s="8">
        <v>47.68</v>
      </c>
      <c r="U81" s="8">
        <v>30.77</v>
      </c>
      <c r="V81" s="8">
        <v>32.66</v>
      </c>
      <c r="W81" s="8">
        <f t="shared" si="90"/>
        <v>18.75</v>
      </c>
      <c r="X81" s="8">
        <f t="shared" si="91"/>
        <v>16.25</v>
      </c>
      <c r="Y81" s="8">
        <f t="shared" si="92"/>
        <v>0.15</v>
      </c>
      <c r="Z81" s="8">
        <f t="shared" si="93"/>
        <v>546.9</v>
      </c>
      <c r="AA81" s="8">
        <f t="shared" si="94"/>
        <v>716.6209544706527</v>
      </c>
      <c r="AB81" s="8">
        <f t="shared" si="95"/>
        <v>2.7138308334983297</v>
      </c>
      <c r="AC81" s="8"/>
      <c r="AD81" s="8">
        <f t="shared" si="96"/>
        <v>20.918348631979256</v>
      </c>
      <c r="AE81" s="8">
        <f t="shared" si="97"/>
        <v>75</v>
      </c>
      <c r="AF81" s="8">
        <f t="shared" si="115"/>
        <v>98.71383083349833</v>
      </c>
      <c r="AG81" s="8">
        <f t="shared" si="99"/>
        <v>34.56</v>
      </c>
      <c r="AH81" s="8">
        <f t="shared" si="100"/>
        <v>0.4701394511920827</v>
      </c>
      <c r="AI81" s="8">
        <f t="shared" si="101"/>
        <v>0.24006303676066312</v>
      </c>
      <c r="AJ81" s="8">
        <f t="shared" si="102"/>
        <v>0.014773109954502346</v>
      </c>
      <c r="AK81" s="8">
        <f t="shared" si="103"/>
        <v>0.4499561041330068</v>
      </c>
      <c r="AL81" s="8">
        <f t="shared" si="104"/>
        <v>0.1394556575465284</v>
      </c>
      <c r="AM81" s="8">
        <f t="shared" si="105"/>
        <v>0.1469991701478262</v>
      </c>
      <c r="AN81" s="8">
        <f t="shared" si="106"/>
        <v>0.45</v>
      </c>
      <c r="AO81" s="8">
        <f t="shared" si="107"/>
        <v>1.875</v>
      </c>
      <c r="AP81" s="8">
        <f t="shared" si="108"/>
        <v>10.3125</v>
      </c>
      <c r="AQ81" s="8">
        <f>AN81*(B81*12)</f>
        <v>135</v>
      </c>
      <c r="AR81" s="8">
        <f t="shared" si="110"/>
        <v>10380.40293813111</v>
      </c>
    </row>
    <row r="82" spans="1:44" ht="12.75">
      <c r="A82">
        <v>62</v>
      </c>
      <c r="B82">
        <v>25</v>
      </c>
      <c r="C82">
        <v>5.75</v>
      </c>
      <c r="D82" s="1">
        <f t="shared" si="112"/>
        <v>862.5</v>
      </c>
      <c r="E82" s="1">
        <f t="shared" si="81"/>
        <v>345</v>
      </c>
      <c r="F82" s="1">
        <f t="shared" si="113"/>
        <v>201.25</v>
      </c>
      <c r="G82" s="1">
        <f t="shared" si="114"/>
        <v>1687.625</v>
      </c>
      <c r="H82" s="1">
        <f t="shared" si="82"/>
        <v>168.76250000000002</v>
      </c>
      <c r="I82" s="1">
        <f t="shared" si="83"/>
        <v>337.52500000000003</v>
      </c>
      <c r="J82" s="1">
        <f t="shared" si="84"/>
        <v>24</v>
      </c>
      <c r="K82" s="1">
        <f t="shared" si="85"/>
        <v>30</v>
      </c>
      <c r="L82" s="1">
        <f t="shared" si="86"/>
        <v>12</v>
      </c>
      <c r="M82" s="1">
        <f t="shared" si="87"/>
        <v>15</v>
      </c>
      <c r="N82" s="8">
        <f t="shared" si="88"/>
        <v>300</v>
      </c>
      <c r="O82" s="8">
        <f t="shared" si="89"/>
        <v>468.75</v>
      </c>
      <c r="P82">
        <v>300</v>
      </c>
      <c r="Q82" s="8">
        <v>0</v>
      </c>
      <c r="R82" s="8">
        <f t="shared" si="111"/>
        <v>2047.625</v>
      </c>
      <c r="S82" s="8"/>
      <c r="T82" s="8"/>
      <c r="U82" s="8">
        <f>(R82*B82)/2000</f>
        <v>25.5953125</v>
      </c>
      <c r="V82" s="8">
        <f>(0.5*B82)*U82*0.5</f>
        <v>159.970703125</v>
      </c>
      <c r="W82" s="8">
        <f t="shared" si="90"/>
        <v>18.75</v>
      </c>
      <c r="X82" s="8">
        <f t="shared" si="91"/>
        <v>16.25</v>
      </c>
      <c r="Y82" s="8">
        <f t="shared" si="92"/>
        <v>0.15</v>
      </c>
      <c r="Z82" s="8">
        <f t="shared" si="93"/>
        <v>546.9</v>
      </c>
      <c r="AA82" s="8">
        <f t="shared" si="94"/>
        <v>3510.0538261108063</v>
      </c>
      <c r="AB82" s="8">
        <f t="shared" si="95"/>
        <v>13.292511530833822</v>
      </c>
      <c r="AC82" s="8"/>
      <c r="AD82" s="8">
        <f t="shared" si="96"/>
        <v>102.45936738737306</v>
      </c>
      <c r="AE82" s="8">
        <f t="shared" si="97"/>
        <v>75</v>
      </c>
      <c r="AF82" s="8">
        <f t="shared" si="115"/>
        <v>109.29251153083382</v>
      </c>
      <c r="AG82" s="8">
        <f t="shared" si="99"/>
        <v>69</v>
      </c>
      <c r="AH82" s="8">
        <f t="shared" si="100"/>
        <v>2.302772154745839</v>
      </c>
      <c r="AI82" s="8">
        <f t="shared" si="101"/>
        <v>0.5889442851012375</v>
      </c>
      <c r="AJ82" s="8">
        <f t="shared" si="102"/>
        <v>0.03624272523699923</v>
      </c>
      <c r="AK82" s="8">
        <f t="shared" si="103"/>
        <v>2.22800808951561</v>
      </c>
      <c r="AL82" s="8">
        <f t="shared" si="104"/>
        <v>0.6830624492491537</v>
      </c>
      <c r="AM82" s="8">
        <f t="shared" si="105"/>
        <v>0.7200110412534987</v>
      </c>
      <c r="AN82" s="8">
        <f t="shared" si="106"/>
        <v>2.23</v>
      </c>
      <c r="AO82" s="8">
        <f t="shared" si="107"/>
        <v>1.875</v>
      </c>
      <c r="AP82" s="8">
        <f t="shared" si="108"/>
        <v>10.3125</v>
      </c>
      <c r="AQ82" s="8">
        <f>AN82*B82</f>
        <v>55.75</v>
      </c>
      <c r="AR82" s="8">
        <f t="shared" si="110"/>
        <v>50843.85660543937</v>
      </c>
    </row>
    <row r="83" spans="1:44" ht="12.75">
      <c r="A83" s="6" t="s">
        <v>94</v>
      </c>
      <c r="B83">
        <v>25</v>
      </c>
      <c r="C83">
        <v>7.38</v>
      </c>
      <c r="D83" s="1">
        <f t="shared" si="112"/>
        <v>1107</v>
      </c>
      <c r="E83" s="1">
        <f t="shared" si="81"/>
        <v>442.8</v>
      </c>
      <c r="F83" s="1">
        <f t="shared" si="113"/>
        <v>258.3</v>
      </c>
      <c r="G83" s="1">
        <f t="shared" si="114"/>
        <v>2166.0299999999997</v>
      </c>
      <c r="H83" s="1">
        <f t="shared" si="82"/>
        <v>216.60299999999998</v>
      </c>
      <c r="I83" s="1">
        <f t="shared" si="83"/>
        <v>433.20599999999996</v>
      </c>
      <c r="J83" s="1">
        <f t="shared" si="84"/>
        <v>24</v>
      </c>
      <c r="K83" s="1">
        <f t="shared" si="85"/>
        <v>30</v>
      </c>
      <c r="L83" s="1">
        <f t="shared" si="86"/>
        <v>12</v>
      </c>
      <c r="M83" s="1">
        <f t="shared" si="87"/>
        <v>15</v>
      </c>
      <c r="N83" s="8">
        <f t="shared" si="88"/>
        <v>300</v>
      </c>
      <c r="O83" s="8">
        <f t="shared" si="89"/>
        <v>468.75</v>
      </c>
      <c r="P83">
        <v>300</v>
      </c>
      <c r="Q83" s="8">
        <v>0</v>
      </c>
      <c r="R83" s="8">
        <f t="shared" si="111"/>
        <v>2526.0299999999997</v>
      </c>
      <c r="S83" s="8">
        <v>27.95</v>
      </c>
      <c r="T83" s="8">
        <v>47.68</v>
      </c>
      <c r="U83" s="8">
        <v>30.77</v>
      </c>
      <c r="V83" s="8">
        <v>154.42</v>
      </c>
      <c r="W83" s="8">
        <f t="shared" si="90"/>
        <v>18.75</v>
      </c>
      <c r="X83" s="8">
        <f t="shared" si="91"/>
        <v>16.25</v>
      </c>
      <c r="Y83" s="8">
        <f t="shared" si="92"/>
        <v>0.15</v>
      </c>
      <c r="Z83" s="8">
        <f t="shared" si="93"/>
        <v>546.9</v>
      </c>
      <c r="AA83" s="8">
        <f t="shared" si="94"/>
        <v>3388.261108063631</v>
      </c>
      <c r="AB83" s="8">
        <f t="shared" si="95"/>
        <v>12.831284669590083</v>
      </c>
      <c r="AC83" s="8"/>
      <c r="AD83" s="8">
        <f t="shared" si="96"/>
        <v>98.9042068508952</v>
      </c>
      <c r="AE83" s="8">
        <f t="shared" si="97"/>
        <v>75</v>
      </c>
      <c r="AF83" s="8">
        <f t="shared" si="115"/>
        <v>108.83128466959008</v>
      </c>
      <c r="AG83" s="8">
        <f t="shared" si="99"/>
        <v>88.56</v>
      </c>
      <c r="AH83" s="8">
        <f t="shared" si="100"/>
        <v>2.2228699955015743</v>
      </c>
      <c r="AI83" s="8">
        <f t="shared" si="101"/>
        <v>0.5230282342356646</v>
      </c>
      <c r="AJ83" s="8">
        <f t="shared" si="102"/>
        <v>0.032186352876040894</v>
      </c>
      <c r="AK83" s="8">
        <f t="shared" si="103"/>
        <v>2.1462667451390742</v>
      </c>
      <c r="AL83" s="8">
        <f t="shared" si="104"/>
        <v>0.659361379005968</v>
      </c>
      <c r="AM83" s="8">
        <f t="shared" si="105"/>
        <v>0.6950279196027962</v>
      </c>
      <c r="AN83" s="8">
        <f t="shared" si="106"/>
        <v>2.15</v>
      </c>
      <c r="AO83" s="8">
        <f t="shared" si="107"/>
        <v>1.875</v>
      </c>
      <c r="AP83" s="8">
        <f t="shared" si="108"/>
        <v>10.3125</v>
      </c>
      <c r="AQ83" s="8">
        <f aca="true" t="shared" si="116" ref="AQ83:AQ88">AN83*(B83*12)</f>
        <v>645</v>
      </c>
      <c r="AR83" s="8">
        <f t="shared" si="110"/>
        <v>49079.66386118207</v>
      </c>
    </row>
    <row r="84" spans="1:44" ht="12.75">
      <c r="A84" s="6" t="s">
        <v>95</v>
      </c>
      <c r="B84">
        <v>25</v>
      </c>
      <c r="C84">
        <v>2.88</v>
      </c>
      <c r="D84" s="1">
        <f t="shared" si="112"/>
        <v>432</v>
      </c>
      <c r="E84" s="1">
        <f t="shared" si="81"/>
        <v>172.79999999999998</v>
      </c>
      <c r="F84" s="1">
        <f t="shared" si="113"/>
        <v>100.8</v>
      </c>
      <c r="G84" s="1">
        <f t="shared" si="114"/>
        <v>845.2799999999999</v>
      </c>
      <c r="H84" s="1">
        <f t="shared" si="82"/>
        <v>84.52799999999999</v>
      </c>
      <c r="I84" s="1">
        <f t="shared" si="83"/>
        <v>169.05599999999998</v>
      </c>
      <c r="J84" s="1">
        <f t="shared" si="84"/>
        <v>24</v>
      </c>
      <c r="K84" s="1">
        <f t="shared" si="85"/>
        <v>30</v>
      </c>
      <c r="L84" s="1">
        <f t="shared" si="86"/>
        <v>12</v>
      </c>
      <c r="M84" s="1">
        <f t="shared" si="87"/>
        <v>15</v>
      </c>
      <c r="N84" s="8">
        <f t="shared" si="88"/>
        <v>300</v>
      </c>
      <c r="O84" s="8">
        <f t="shared" si="89"/>
        <v>468.75</v>
      </c>
      <c r="P84">
        <v>300</v>
      </c>
      <c r="Q84" s="8">
        <v>0</v>
      </c>
      <c r="R84" s="8">
        <f t="shared" si="111"/>
        <v>1205.2799999999997</v>
      </c>
      <c r="S84" s="8">
        <v>27.95</v>
      </c>
      <c r="T84" s="8">
        <v>47.68</v>
      </c>
      <c r="U84" s="8">
        <v>30.77</v>
      </c>
      <c r="V84" s="8">
        <v>32.66</v>
      </c>
      <c r="W84" s="8">
        <f t="shared" si="90"/>
        <v>18.75</v>
      </c>
      <c r="X84" s="8">
        <f t="shared" si="91"/>
        <v>16.25</v>
      </c>
      <c r="Y84" s="8">
        <f t="shared" si="92"/>
        <v>0.15</v>
      </c>
      <c r="Z84" s="8">
        <f t="shared" si="93"/>
        <v>546.9</v>
      </c>
      <c r="AA84" s="8">
        <f t="shared" si="94"/>
        <v>716.6209544706527</v>
      </c>
      <c r="AB84" s="8">
        <f t="shared" si="95"/>
        <v>2.7138308334983297</v>
      </c>
      <c r="AC84" s="8"/>
      <c r="AD84" s="8">
        <f t="shared" si="96"/>
        <v>20.918348631979256</v>
      </c>
      <c r="AE84" s="8">
        <f t="shared" si="97"/>
        <v>75</v>
      </c>
      <c r="AF84" s="8">
        <f t="shared" si="115"/>
        <v>98.71383083349833</v>
      </c>
      <c r="AG84" s="8">
        <f t="shared" si="99"/>
        <v>34.56</v>
      </c>
      <c r="AH84" s="8">
        <f t="shared" si="100"/>
        <v>0.4701394511920827</v>
      </c>
      <c r="AI84" s="8">
        <f t="shared" si="101"/>
        <v>0.24006303676066312</v>
      </c>
      <c r="AJ84" s="8">
        <f t="shared" si="102"/>
        <v>0.014773109954502346</v>
      </c>
      <c r="AK84" s="8">
        <f t="shared" si="103"/>
        <v>0.4499561041330068</v>
      </c>
      <c r="AL84" s="8">
        <f t="shared" si="104"/>
        <v>0.1394556575465284</v>
      </c>
      <c r="AM84" s="8">
        <f t="shared" si="105"/>
        <v>0.1469991701478262</v>
      </c>
      <c r="AN84" s="8">
        <f t="shared" si="106"/>
        <v>0.45</v>
      </c>
      <c r="AO84" s="8">
        <f t="shared" si="107"/>
        <v>1.875</v>
      </c>
      <c r="AP84" s="8">
        <f t="shared" si="108"/>
        <v>10.3125</v>
      </c>
      <c r="AQ84" s="8">
        <f t="shared" si="116"/>
        <v>135</v>
      </c>
      <c r="AR84" s="8">
        <f t="shared" si="110"/>
        <v>10380.40293813111</v>
      </c>
    </row>
    <row r="85" spans="1:44" ht="12.75">
      <c r="A85">
        <v>64</v>
      </c>
      <c r="B85">
        <v>23.21</v>
      </c>
      <c r="C85">
        <v>9</v>
      </c>
      <c r="D85" s="1">
        <f t="shared" si="112"/>
        <v>1350</v>
      </c>
      <c r="E85" s="1">
        <f t="shared" si="81"/>
        <v>540</v>
      </c>
      <c r="F85" s="1">
        <f t="shared" si="113"/>
        <v>315</v>
      </c>
      <c r="G85" s="1">
        <f t="shared" si="114"/>
        <v>2641.5</v>
      </c>
      <c r="H85" s="1">
        <f t="shared" si="82"/>
        <v>264.15000000000003</v>
      </c>
      <c r="I85" s="1">
        <f t="shared" si="83"/>
        <v>528.3000000000001</v>
      </c>
      <c r="J85" s="1">
        <f t="shared" si="84"/>
        <v>22</v>
      </c>
      <c r="K85" s="1">
        <f t="shared" si="85"/>
        <v>28</v>
      </c>
      <c r="L85" s="1">
        <f t="shared" si="86"/>
        <v>11</v>
      </c>
      <c r="M85" s="1">
        <f t="shared" si="87"/>
        <v>14</v>
      </c>
      <c r="N85" s="8">
        <f t="shared" si="88"/>
        <v>252.08333333333331</v>
      </c>
      <c r="O85" s="8">
        <f t="shared" si="89"/>
        <v>408.3333333333334</v>
      </c>
      <c r="P85">
        <v>300</v>
      </c>
      <c r="Q85" s="8">
        <v>0</v>
      </c>
      <c r="R85" s="8">
        <f t="shared" si="111"/>
        <v>3001.5</v>
      </c>
      <c r="S85" s="8"/>
      <c r="T85" s="8"/>
      <c r="U85" s="8">
        <f>(R85*B85)/2000</f>
        <v>34.8324075</v>
      </c>
      <c r="V85" s="8">
        <f>(0.5*B85)*U85*0.5</f>
        <v>202.11504451875</v>
      </c>
      <c r="W85" s="8">
        <f t="shared" si="90"/>
        <v>17.4075</v>
      </c>
      <c r="X85" s="8">
        <f t="shared" si="91"/>
        <v>14.907499999999999</v>
      </c>
      <c r="Y85" s="8">
        <f t="shared" si="92"/>
        <v>0.15</v>
      </c>
      <c r="Z85" s="8">
        <f t="shared" si="93"/>
        <v>546.9</v>
      </c>
      <c r="AA85" s="8">
        <f t="shared" si="94"/>
        <v>4434.778815551289</v>
      </c>
      <c r="AB85" s="8">
        <f t="shared" si="95"/>
        <v>19.95548687778914</v>
      </c>
      <c r="AC85" s="8"/>
      <c r="AD85" s="8">
        <f t="shared" si="96"/>
        <v>141.11019932455977</v>
      </c>
      <c r="AE85" s="8">
        <f t="shared" si="97"/>
        <v>69.63</v>
      </c>
      <c r="AF85" s="8">
        <f t="shared" si="115"/>
        <v>115.95548687778914</v>
      </c>
      <c r="AG85" s="8">
        <f t="shared" si="99"/>
        <v>108</v>
      </c>
      <c r="AH85" s="8">
        <f t="shared" si="100"/>
        <v>3.1714488000564893</v>
      </c>
      <c r="AI85" s="8">
        <f t="shared" si="101"/>
        <v>0.803773424248293</v>
      </c>
      <c r="AJ85" s="8">
        <f t="shared" si="102"/>
        <v>0.053917385493764416</v>
      </c>
      <c r="AK85" s="8">
        <f t="shared" si="103"/>
        <v>3.096349905800991</v>
      </c>
      <c r="AL85" s="8">
        <f t="shared" si="104"/>
        <v>0.9407346621637316</v>
      </c>
      <c r="AM85" s="8">
        <f t="shared" si="105"/>
        <v>0.9916214021021388</v>
      </c>
      <c r="AN85" s="8">
        <f t="shared" si="106"/>
        <v>3.1</v>
      </c>
      <c r="AO85" s="8">
        <f t="shared" si="107"/>
        <v>1.875</v>
      </c>
      <c r="AP85" s="8">
        <f t="shared" si="108"/>
        <v>10.3125</v>
      </c>
      <c r="AQ85" s="8">
        <f t="shared" si="116"/>
        <v>863.4119999999999</v>
      </c>
      <c r="AR85" s="8">
        <f t="shared" si="110"/>
        <v>63402.91015583988</v>
      </c>
    </row>
    <row r="86" spans="1:44" ht="12.75">
      <c r="A86" s="6" t="s">
        <v>129</v>
      </c>
      <c r="B86">
        <v>23.21</v>
      </c>
      <c r="C86">
        <v>4.5</v>
      </c>
      <c r="D86" s="1">
        <f t="shared" si="112"/>
        <v>675</v>
      </c>
      <c r="E86" s="1">
        <f t="shared" si="81"/>
        <v>270</v>
      </c>
      <c r="F86" s="1">
        <f t="shared" si="113"/>
        <v>157.5</v>
      </c>
      <c r="G86" s="1">
        <f t="shared" si="114"/>
        <v>1320.75</v>
      </c>
      <c r="H86" s="1">
        <f t="shared" si="82"/>
        <v>132.07500000000002</v>
      </c>
      <c r="I86" s="1">
        <f t="shared" si="83"/>
        <v>264.15000000000003</v>
      </c>
      <c r="J86" s="1">
        <f t="shared" si="84"/>
        <v>22</v>
      </c>
      <c r="K86" s="1">
        <f t="shared" si="85"/>
        <v>28</v>
      </c>
      <c r="L86" s="1">
        <f t="shared" si="86"/>
        <v>11</v>
      </c>
      <c r="M86" s="1">
        <f t="shared" si="87"/>
        <v>14</v>
      </c>
      <c r="N86" s="8">
        <f t="shared" si="88"/>
        <v>252.08333333333331</v>
      </c>
      <c r="O86" s="8">
        <f t="shared" si="89"/>
        <v>408.3333333333334</v>
      </c>
      <c r="P86">
        <v>300</v>
      </c>
      <c r="Q86" s="8">
        <v>0</v>
      </c>
      <c r="R86" s="8">
        <f>(1.2*(P86+0.64))+G86</f>
        <v>1681.518</v>
      </c>
      <c r="S86" s="8">
        <v>35.6</v>
      </c>
      <c r="T86" s="8">
        <v>30.63</v>
      </c>
      <c r="U86" s="8">
        <f>MAX(S86:T86)</f>
        <v>35.6</v>
      </c>
      <c r="V86" s="8">
        <v>224.13</v>
      </c>
      <c r="W86" s="8">
        <f t="shared" si="90"/>
        <v>17.4075</v>
      </c>
      <c r="X86" s="8">
        <f t="shared" si="91"/>
        <v>14.907499999999999</v>
      </c>
      <c r="Y86" s="8">
        <f t="shared" si="92"/>
        <v>0.15</v>
      </c>
      <c r="Z86" s="8">
        <f t="shared" si="93"/>
        <v>546.9</v>
      </c>
      <c r="AA86" s="8">
        <f t="shared" si="94"/>
        <v>4917.82775644542</v>
      </c>
      <c r="AB86" s="8">
        <f t="shared" si="95"/>
        <v>22.12909625094217</v>
      </c>
      <c r="AC86" s="8"/>
      <c r="AD86" s="8">
        <f t="shared" si="96"/>
        <v>156.48033054600035</v>
      </c>
      <c r="AE86" s="8">
        <f t="shared" si="97"/>
        <v>69.63</v>
      </c>
      <c r="AF86" s="8">
        <f t="shared" si="115"/>
        <v>118.12909625094217</v>
      </c>
      <c r="AG86" s="8">
        <f t="shared" si="99"/>
        <v>54</v>
      </c>
      <c r="AH86" s="8">
        <f t="shared" si="100"/>
        <v>3.516892180140104</v>
      </c>
      <c r="AI86" s="8">
        <f t="shared" si="101"/>
        <v>1.1493111699804262</v>
      </c>
      <c r="AJ86" s="8">
        <f t="shared" si="102"/>
        <v>0.07709617105352515</v>
      </c>
      <c r="AK86" s="8">
        <f t="shared" si="103"/>
        <v>3.4750022552751374</v>
      </c>
      <c r="AL86" s="8">
        <f t="shared" si="104"/>
        <v>1.0432022036400022</v>
      </c>
      <c r="AM86" s="8">
        <f t="shared" si="105"/>
        <v>1.0996316745364012</v>
      </c>
      <c r="AN86" s="8">
        <f t="shared" si="106"/>
        <v>3.48</v>
      </c>
      <c r="AO86" s="8">
        <f t="shared" si="107"/>
        <v>1.875</v>
      </c>
      <c r="AP86" s="8">
        <f t="shared" si="108"/>
        <v>10.3125</v>
      </c>
      <c r="AQ86" s="8">
        <f t="shared" si="116"/>
        <v>969.2496</v>
      </c>
      <c r="AR86" s="8">
        <f t="shared" si="110"/>
        <v>70308.93859022009</v>
      </c>
    </row>
    <row r="87" spans="1:44" ht="12.75">
      <c r="A87" s="6" t="s">
        <v>130</v>
      </c>
      <c r="B87">
        <v>23.21</v>
      </c>
      <c r="C87">
        <v>4.5</v>
      </c>
      <c r="D87" s="1">
        <f t="shared" si="112"/>
        <v>675</v>
      </c>
      <c r="E87" s="1">
        <f>C87*60</f>
        <v>270</v>
      </c>
      <c r="F87" s="1">
        <f>C87*35</f>
        <v>157.5</v>
      </c>
      <c r="G87" s="1">
        <f>(1.2*D87)+(1.6*E87)+(0.5*F87)</f>
        <v>1320.75</v>
      </c>
      <c r="H87" s="1">
        <f t="shared" si="82"/>
        <v>132.07500000000002</v>
      </c>
      <c r="I87" s="1">
        <f>0.2*MAX(G87:G87)</f>
        <v>264.15000000000003</v>
      </c>
      <c r="J87" s="1">
        <f>ROUND(((0.08*B87)*12),0)</f>
        <v>22</v>
      </c>
      <c r="K87" s="1">
        <f>ROUND(((0.1*B87)*12),0)</f>
        <v>28</v>
      </c>
      <c r="L87" s="1">
        <f>ROUND((0.5*J87),0)</f>
        <v>11</v>
      </c>
      <c r="M87" s="1">
        <f>ROUND((0.5*K87),0)</f>
        <v>14</v>
      </c>
      <c r="N87" s="8">
        <f>(L87/12)*(J87/12)*150</f>
        <v>252.08333333333331</v>
      </c>
      <c r="O87" s="8">
        <f>(M87/12)*(K87/12)*150</f>
        <v>408.3333333333334</v>
      </c>
      <c r="P87">
        <v>300</v>
      </c>
      <c r="Q87" s="8">
        <v>0</v>
      </c>
      <c r="R87" s="8">
        <f>(1.2*(P87+0.64))+G87</f>
        <v>1681.518</v>
      </c>
      <c r="S87" s="8">
        <v>35.6</v>
      </c>
      <c r="T87" s="8">
        <v>30.63</v>
      </c>
      <c r="U87" s="8">
        <f>MAX(S87:T87)</f>
        <v>35.6</v>
      </c>
      <c r="V87" s="8">
        <v>611</v>
      </c>
      <c r="W87" s="8">
        <f>(B87/16)*12</f>
        <v>17.4075</v>
      </c>
      <c r="X87" s="8">
        <f t="shared" si="91"/>
        <v>14.907499999999999</v>
      </c>
      <c r="Y87" s="8">
        <f t="shared" si="92"/>
        <v>0.15</v>
      </c>
      <c r="Z87" s="8">
        <f t="shared" si="93"/>
        <v>546.9</v>
      </c>
      <c r="AA87" s="8">
        <f>(12000*V87)/Z87</f>
        <v>13406.472846955568</v>
      </c>
      <c r="AB87" s="8">
        <f>AA87/(X87^2)</f>
        <v>60.326050994180456</v>
      </c>
      <c r="AC87" s="8"/>
      <c r="AD87" s="8">
        <f>0.75*((((2*(4000^0.5)*AB87*X87)+(8*(4000^0.5)*AB87*X87)))/1000)</f>
        <v>426.5804754544514</v>
      </c>
      <c r="AE87" s="8">
        <f>(B87/4)*12</f>
        <v>69.63</v>
      </c>
      <c r="AF87" s="8">
        <f>((8*6)*2)+AB87</f>
        <v>156.32605099418046</v>
      </c>
      <c r="AG87" s="8">
        <f>C87*12</f>
        <v>54</v>
      </c>
      <c r="AH87" s="8">
        <f>(V87*12000)/(0.9*60000*0.95*X87)</f>
        <v>9.587387329075106</v>
      </c>
      <c r="AI87" s="8">
        <f>(AH87*60000)/(0.85*4000*(MIN(AE87:AG87)))</f>
        <v>3.1331331140768324</v>
      </c>
      <c r="AJ87" s="8">
        <f>AI87/X87</f>
        <v>0.21017159913310968</v>
      </c>
      <c r="AK87" s="8">
        <f>(V87*12000)/(0.9*60000*(X87-(AI87/2)))</f>
        <v>10.17753205638032</v>
      </c>
      <c r="AL87" s="8">
        <f>(3*(4000^0.5)*AB87*X87)/60000</f>
        <v>2.8438698363630097</v>
      </c>
      <c r="AM87" s="8">
        <f>(200*AB87*X87)/60000</f>
        <v>2.9977020173191504</v>
      </c>
      <c r="AN87" s="8">
        <f>ROUND(MAX(AK87:AM87),2)</f>
        <v>10.18</v>
      </c>
      <c r="AO87" s="8">
        <f t="shared" si="107"/>
        <v>1.875</v>
      </c>
      <c r="AP87" s="8">
        <f t="shared" si="108"/>
        <v>10.3125</v>
      </c>
      <c r="AQ87" s="8">
        <f t="shared" si="116"/>
        <v>2835.3336</v>
      </c>
      <c r="AR87" s="8">
        <f>(W87-6)*AB87*(12*B87)</f>
        <v>191668.9487289719</v>
      </c>
    </row>
    <row r="88" spans="1:44" ht="12.75">
      <c r="A88">
        <v>66</v>
      </c>
      <c r="B88">
        <v>13</v>
      </c>
      <c r="C88">
        <v>2.61</v>
      </c>
      <c r="D88" s="1">
        <f t="shared" si="112"/>
        <v>391.5</v>
      </c>
      <c r="E88" s="1">
        <f t="shared" si="81"/>
        <v>156.6</v>
      </c>
      <c r="F88" s="1">
        <f t="shared" si="113"/>
        <v>91.35</v>
      </c>
      <c r="G88" s="1">
        <f t="shared" si="114"/>
        <v>766.0349999999999</v>
      </c>
      <c r="H88" s="1">
        <f t="shared" si="82"/>
        <v>76.60349999999998</v>
      </c>
      <c r="I88" s="1">
        <f t="shared" si="83"/>
        <v>153.20699999999997</v>
      </c>
      <c r="J88" s="1">
        <f t="shared" si="84"/>
        <v>12</v>
      </c>
      <c r="K88" s="1">
        <f t="shared" si="85"/>
        <v>16</v>
      </c>
      <c r="L88" s="1">
        <f t="shared" si="86"/>
        <v>6</v>
      </c>
      <c r="M88" s="1">
        <f t="shared" si="87"/>
        <v>8</v>
      </c>
      <c r="N88" s="8">
        <f t="shared" si="88"/>
        <v>75</v>
      </c>
      <c r="O88" s="8">
        <f t="shared" si="89"/>
        <v>133.33333333333331</v>
      </c>
      <c r="P88">
        <v>100</v>
      </c>
      <c r="Q88" s="8">
        <v>0</v>
      </c>
      <c r="R88" s="8">
        <f>(1.2*(P88+0.64))+G88</f>
        <v>886.8029999999999</v>
      </c>
      <c r="S88" s="8"/>
      <c r="T88" s="8"/>
      <c r="U88" s="8">
        <f>(R88*B88)/2000</f>
        <v>5.764219499999999</v>
      </c>
      <c r="V88" s="8">
        <f>(0.5*B88)*U88*0.5</f>
        <v>18.733713374999997</v>
      </c>
      <c r="W88" s="8">
        <f t="shared" si="90"/>
        <v>9.75</v>
      </c>
      <c r="X88" s="8">
        <f t="shared" si="91"/>
        <v>7.25</v>
      </c>
      <c r="Y88" s="8">
        <f t="shared" si="92"/>
        <v>0.15</v>
      </c>
      <c r="Z88" s="8">
        <f t="shared" si="93"/>
        <v>546.9</v>
      </c>
      <c r="AA88" s="8">
        <f t="shared" si="94"/>
        <v>411.0524053757542</v>
      </c>
      <c r="AB88" s="8">
        <f t="shared" si="95"/>
        <v>7.820259793117796</v>
      </c>
      <c r="AC88" s="8"/>
      <c r="AD88" s="8">
        <f t="shared" si="96"/>
        <v>26.893693214032222</v>
      </c>
      <c r="AE88" s="8">
        <f t="shared" si="97"/>
        <v>39</v>
      </c>
      <c r="AF88" s="8">
        <f t="shared" si="115"/>
        <v>103.8202597931178</v>
      </c>
      <c r="AG88" s="8">
        <f t="shared" si="99"/>
        <v>31.32</v>
      </c>
      <c r="AH88" s="8">
        <f t="shared" si="100"/>
        <v>0.6044351966122201</v>
      </c>
      <c r="AI88" s="8">
        <f t="shared" si="101"/>
        <v>0.3405652448795471</v>
      </c>
      <c r="AJ88" s="8">
        <f t="shared" si="102"/>
        <v>0.04697451653510994</v>
      </c>
      <c r="AK88" s="8">
        <f t="shared" si="103"/>
        <v>0.588024520563745</v>
      </c>
      <c r="AL88" s="8">
        <f t="shared" si="104"/>
        <v>0.17929128809354813</v>
      </c>
      <c r="AM88" s="8">
        <f t="shared" si="105"/>
        <v>0.18898961166701342</v>
      </c>
      <c r="AN88" s="8">
        <f t="shared" si="106"/>
        <v>0.59</v>
      </c>
      <c r="AO88" s="8">
        <f t="shared" si="107"/>
        <v>1.875</v>
      </c>
      <c r="AP88" s="8">
        <f t="shared" si="108"/>
        <v>10.3125</v>
      </c>
      <c r="AQ88" s="8">
        <f t="shared" si="116"/>
        <v>92.03999999999999</v>
      </c>
      <c r="AR88" s="8">
        <f t="shared" si="110"/>
        <v>4574.851978973911</v>
      </c>
    </row>
    <row r="89" spans="1:44" ht="12.75">
      <c r="A89">
        <v>67</v>
      </c>
      <c r="B89">
        <v>13</v>
      </c>
      <c r="C89">
        <v>5.22</v>
      </c>
      <c r="D89" s="1">
        <f t="shared" si="112"/>
        <v>783</v>
      </c>
      <c r="E89" s="1">
        <f t="shared" si="81"/>
        <v>313.2</v>
      </c>
      <c r="F89" s="1">
        <f t="shared" si="113"/>
        <v>182.7</v>
      </c>
      <c r="G89" s="1">
        <f t="shared" si="114"/>
        <v>1532.0699999999997</v>
      </c>
      <c r="H89" s="1">
        <f t="shared" si="82"/>
        <v>153.20699999999997</v>
      </c>
      <c r="I89" s="1">
        <f t="shared" si="83"/>
        <v>306.41399999999993</v>
      </c>
      <c r="J89" s="1">
        <f t="shared" si="84"/>
        <v>12</v>
      </c>
      <c r="K89" s="1">
        <f t="shared" si="85"/>
        <v>16</v>
      </c>
      <c r="L89" s="1">
        <f t="shared" si="86"/>
        <v>6</v>
      </c>
      <c r="M89" s="1">
        <f t="shared" si="87"/>
        <v>8</v>
      </c>
      <c r="N89" s="8">
        <f t="shared" si="88"/>
        <v>75</v>
      </c>
      <c r="O89" s="8">
        <f t="shared" si="89"/>
        <v>133.33333333333331</v>
      </c>
      <c r="P89">
        <v>100</v>
      </c>
      <c r="Q89" s="8">
        <v>0</v>
      </c>
      <c r="R89" s="8">
        <f>(1.2*P89)+G89</f>
        <v>1652.0699999999997</v>
      </c>
      <c r="S89" s="8"/>
      <c r="T89" s="8"/>
      <c r="U89" s="8">
        <f>(R89*B89)/2000</f>
        <v>10.738454999999998</v>
      </c>
      <c r="V89" s="8">
        <f>(0.5*B89)*U89*0.5</f>
        <v>34.899978749999995</v>
      </c>
      <c r="W89" s="8">
        <f t="shared" si="90"/>
        <v>9.75</v>
      </c>
      <c r="X89" s="8">
        <f t="shared" si="91"/>
        <v>7.25</v>
      </c>
      <c r="Y89" s="8">
        <f t="shared" si="92"/>
        <v>0.15</v>
      </c>
      <c r="Z89" s="8">
        <f t="shared" si="93"/>
        <v>546.9</v>
      </c>
      <c r="AA89" s="8">
        <f t="shared" si="94"/>
        <v>765.7702413603948</v>
      </c>
      <c r="AB89" s="8">
        <f t="shared" si="95"/>
        <v>14.56875607820014</v>
      </c>
      <c r="AC89" s="8"/>
      <c r="AD89" s="8">
        <f t="shared" si="96"/>
        <v>50.10161642225637</v>
      </c>
      <c r="AE89" s="8">
        <f t="shared" si="97"/>
        <v>39</v>
      </c>
      <c r="AF89" s="8">
        <f t="shared" si="115"/>
        <v>110.56875607820014</v>
      </c>
      <c r="AG89" s="8">
        <f t="shared" si="99"/>
        <v>62.64</v>
      </c>
      <c r="AH89" s="8">
        <f t="shared" si="100"/>
        <v>1.1260327888687234</v>
      </c>
      <c r="AI89" s="8">
        <f t="shared" si="101"/>
        <v>0.5095170990356214</v>
      </c>
      <c r="AJ89" s="8">
        <f t="shared" si="102"/>
        <v>0.07027822055663743</v>
      </c>
      <c r="AK89" s="8">
        <f t="shared" si="103"/>
        <v>1.1086895124683271</v>
      </c>
      <c r="AL89" s="8">
        <f t="shared" si="104"/>
        <v>0.33401077614837577</v>
      </c>
      <c r="AM89" s="8">
        <f t="shared" si="105"/>
        <v>0.3520782718898367</v>
      </c>
      <c r="AN89" s="8">
        <f t="shared" si="106"/>
        <v>1.11</v>
      </c>
      <c r="AO89" s="8">
        <f t="shared" si="107"/>
        <v>1.875</v>
      </c>
      <c r="AP89" s="8">
        <f t="shared" si="108"/>
        <v>10.3125</v>
      </c>
      <c r="AQ89" s="8">
        <f>AN89*B89</f>
        <v>14.430000000000001</v>
      </c>
      <c r="AR89" s="8">
        <f t="shared" si="110"/>
        <v>8522.722305747082</v>
      </c>
    </row>
    <row r="90" spans="1:44" ht="12.75">
      <c r="A90">
        <v>68</v>
      </c>
      <c r="B90">
        <v>13</v>
      </c>
      <c r="C90">
        <v>5.22</v>
      </c>
      <c r="D90" s="1">
        <f t="shared" si="112"/>
        <v>783</v>
      </c>
      <c r="E90" s="1">
        <f t="shared" si="81"/>
        <v>313.2</v>
      </c>
      <c r="F90" s="1">
        <f t="shared" si="113"/>
        <v>182.7</v>
      </c>
      <c r="G90" s="1">
        <f t="shared" si="114"/>
        <v>1532.0699999999997</v>
      </c>
      <c r="H90" s="1">
        <f t="shared" si="82"/>
        <v>153.20699999999997</v>
      </c>
      <c r="I90" s="1">
        <f t="shared" si="83"/>
        <v>306.41399999999993</v>
      </c>
      <c r="J90" s="1">
        <f t="shared" si="84"/>
        <v>12</v>
      </c>
      <c r="K90" s="1">
        <f t="shared" si="85"/>
        <v>16</v>
      </c>
      <c r="L90" s="1">
        <f t="shared" si="86"/>
        <v>6</v>
      </c>
      <c r="M90" s="1">
        <f t="shared" si="87"/>
        <v>8</v>
      </c>
      <c r="N90" s="8">
        <f t="shared" si="88"/>
        <v>75</v>
      </c>
      <c r="O90" s="8">
        <f t="shared" si="89"/>
        <v>133.33333333333331</v>
      </c>
      <c r="P90">
        <v>100</v>
      </c>
      <c r="Q90" s="8">
        <v>0</v>
      </c>
      <c r="R90" s="8">
        <f>(1.2*P90)+G90</f>
        <v>1652.0699999999997</v>
      </c>
      <c r="S90" s="8"/>
      <c r="T90" s="8"/>
      <c r="U90" s="8">
        <f>(R90*B90)/2000</f>
        <v>10.738454999999998</v>
      </c>
      <c r="V90" s="8">
        <f>(0.5*B90)*U90*0.5</f>
        <v>34.899978749999995</v>
      </c>
      <c r="W90" s="8">
        <f t="shared" si="90"/>
        <v>9.75</v>
      </c>
      <c r="X90" s="8">
        <f t="shared" si="91"/>
        <v>7.25</v>
      </c>
      <c r="Y90" s="8">
        <f t="shared" si="92"/>
        <v>0.15</v>
      </c>
      <c r="Z90" s="8">
        <f t="shared" si="93"/>
        <v>546.9</v>
      </c>
      <c r="AA90" s="8">
        <f t="shared" si="94"/>
        <v>765.7702413603948</v>
      </c>
      <c r="AB90" s="8">
        <f t="shared" si="95"/>
        <v>14.56875607820014</v>
      </c>
      <c r="AC90" s="8"/>
      <c r="AD90" s="8">
        <f t="shared" si="96"/>
        <v>50.10161642225637</v>
      </c>
      <c r="AE90" s="8">
        <f t="shared" si="97"/>
        <v>39</v>
      </c>
      <c r="AF90" s="8">
        <f t="shared" si="115"/>
        <v>110.56875607820014</v>
      </c>
      <c r="AG90" s="8">
        <f t="shared" si="99"/>
        <v>62.64</v>
      </c>
      <c r="AH90" s="8">
        <f t="shared" si="100"/>
        <v>1.1260327888687234</v>
      </c>
      <c r="AI90" s="8">
        <f t="shared" si="101"/>
        <v>0.5095170990356214</v>
      </c>
      <c r="AJ90" s="8">
        <f t="shared" si="102"/>
        <v>0.07027822055663743</v>
      </c>
      <c r="AK90" s="8">
        <f t="shared" si="103"/>
        <v>1.1086895124683271</v>
      </c>
      <c r="AL90" s="8">
        <f t="shared" si="104"/>
        <v>0.33401077614837577</v>
      </c>
      <c r="AM90" s="8">
        <f t="shared" si="105"/>
        <v>0.3520782718898367</v>
      </c>
      <c r="AN90" s="8">
        <f t="shared" si="106"/>
        <v>1.11</v>
      </c>
      <c r="AO90" s="8">
        <f t="shared" si="107"/>
        <v>1.875</v>
      </c>
      <c r="AP90" s="8">
        <f t="shared" si="108"/>
        <v>10.3125</v>
      </c>
      <c r="AQ90" s="8">
        <f>AN90*B90</f>
        <v>14.430000000000001</v>
      </c>
      <c r="AR90" s="8">
        <f t="shared" si="110"/>
        <v>8522.722305747082</v>
      </c>
    </row>
    <row r="91" spans="4:9" ht="12.75">
      <c r="D91" s="1"/>
      <c r="E91" s="1"/>
      <c r="F91" s="1"/>
      <c r="G91" s="1"/>
      <c r="H91" s="1"/>
      <c r="I91" s="1"/>
    </row>
    <row r="92" spans="4:9" ht="12.75">
      <c r="D92" s="1"/>
      <c r="E92" s="1"/>
      <c r="F92" s="1"/>
      <c r="G92" s="1"/>
      <c r="H92" s="1"/>
      <c r="I92" s="1"/>
    </row>
  </sheetData>
  <sheetProtection/>
  <dataValidations count="1">
    <dataValidation allowBlank="1" showInputMessage="1" showErrorMessage="1" sqref="J23:O30 E21:E30 D2:G3 H2:O22 E4:G20 R39:T44 Q2:T38 Q39:Q90 D4:D90 H23:I92 F21:G90"/>
  </dataValidation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58"/>
  <sheetViews>
    <sheetView zoomScalePageLayoutView="0" workbookViewId="0" topLeftCell="D1">
      <selection activeCell="L3" sqref="L3"/>
    </sheetView>
  </sheetViews>
  <sheetFormatPr defaultColWidth="11.00390625" defaultRowHeight="12.75"/>
  <cols>
    <col min="1" max="1" width="11.00390625" style="12" customWidth="1"/>
    <col min="2" max="23" width="11.00390625" style="13" customWidth="1"/>
    <col min="24" max="24" width="14.375" style="13" customWidth="1"/>
    <col min="25" max="33" width="11.00390625" style="13" customWidth="1"/>
    <col min="34" max="34" width="12.00390625" style="0" bestFit="1" customWidth="1"/>
    <col min="35" max="46" width="11.00390625" style="0" customWidth="1"/>
    <col min="47" max="47" width="13.75390625" style="0" customWidth="1"/>
    <col min="48" max="48" width="16.75390625" style="0" customWidth="1"/>
  </cols>
  <sheetData>
    <row r="1" spans="1:48" s="2" customFormat="1" ht="12.75">
      <c r="A1" s="9" t="s">
        <v>44</v>
      </c>
      <c r="B1" s="9" t="s">
        <v>4</v>
      </c>
      <c r="C1" s="9" t="s">
        <v>0</v>
      </c>
      <c r="D1" s="9" t="s">
        <v>3</v>
      </c>
      <c r="E1" s="9" t="s">
        <v>46</v>
      </c>
      <c r="F1" s="9" t="s">
        <v>48</v>
      </c>
      <c r="G1" s="9" t="s">
        <v>47</v>
      </c>
      <c r="H1" s="9" t="s">
        <v>49</v>
      </c>
      <c r="I1" s="9" t="s">
        <v>45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10" t="s">
        <v>51</v>
      </c>
      <c r="T1" s="10" t="s">
        <v>50</v>
      </c>
      <c r="U1" s="10" t="s">
        <v>110</v>
      </c>
      <c r="V1" s="10" t="s">
        <v>111</v>
      </c>
      <c r="W1" s="10" t="s">
        <v>18</v>
      </c>
      <c r="X1" s="10" t="s">
        <v>22</v>
      </c>
      <c r="Y1" s="10" t="s">
        <v>23</v>
      </c>
      <c r="Z1" s="10" t="s">
        <v>24</v>
      </c>
      <c r="AA1" s="10" t="s">
        <v>28</v>
      </c>
      <c r="AB1" s="10" t="s">
        <v>26</v>
      </c>
      <c r="AC1" s="10" t="s">
        <v>25</v>
      </c>
      <c r="AD1" s="10" t="s">
        <v>52</v>
      </c>
      <c r="AE1" s="10" t="s">
        <v>55</v>
      </c>
      <c r="AF1" s="10" t="s">
        <v>53</v>
      </c>
      <c r="AG1" s="10" t="s">
        <v>54</v>
      </c>
      <c r="AH1" s="10" t="s">
        <v>33</v>
      </c>
      <c r="AI1" s="10" t="s">
        <v>35</v>
      </c>
      <c r="AJ1" s="10" t="s">
        <v>36</v>
      </c>
      <c r="AK1" s="10" t="s">
        <v>37</v>
      </c>
      <c r="AL1" s="10" t="s">
        <v>34</v>
      </c>
      <c r="AM1" s="10" t="s">
        <v>38</v>
      </c>
      <c r="AN1" s="10" t="s">
        <v>39</v>
      </c>
      <c r="AO1" s="10" t="s">
        <v>41</v>
      </c>
      <c r="AP1" s="10" t="s">
        <v>40</v>
      </c>
      <c r="AQ1" s="10" t="s">
        <v>42</v>
      </c>
      <c r="AR1" s="10" t="s">
        <v>43</v>
      </c>
      <c r="AS1" s="11"/>
      <c r="AT1" s="11"/>
      <c r="AU1" s="11"/>
      <c r="AV1" s="11"/>
    </row>
    <row r="2" spans="1:44" ht="12.75">
      <c r="A2" s="12" t="s">
        <v>112</v>
      </c>
      <c r="B2" s="13">
        <v>14.16</v>
      </c>
      <c r="C2" s="13">
        <v>0</v>
      </c>
      <c r="D2" s="14">
        <v>0.6</v>
      </c>
      <c r="E2" s="14">
        <v>30.86</v>
      </c>
      <c r="F2" s="14">
        <v>7.08</v>
      </c>
      <c r="G2" s="14"/>
      <c r="H2" s="14"/>
      <c r="I2" s="24">
        <f aca="true" t="shared" si="0" ref="I2:I9">(1.2*D2*B2)+E2+G2</f>
        <v>41.0552</v>
      </c>
      <c r="J2" s="24">
        <f aca="true" t="shared" si="1" ref="J2:J9">(0.1*I2)/B2</f>
        <v>0.28993785310734466</v>
      </c>
      <c r="K2" s="24">
        <f aca="true" t="shared" si="2" ref="K2:K9">(0.2*I2)/B2</f>
        <v>0.5798757062146893</v>
      </c>
      <c r="L2" s="24">
        <f aca="true" t="shared" si="3" ref="L2:L9">ROUND(((0.08*B2)*12),0)</f>
        <v>14</v>
      </c>
      <c r="M2" s="24">
        <f aca="true" t="shared" si="4" ref="M2:M9">ROUND(((0.1*B2)*12),0)</f>
        <v>17</v>
      </c>
      <c r="N2" s="24">
        <f aca="true" t="shared" si="5" ref="N2:O9">ROUND((0.5*L2),0)</f>
        <v>7</v>
      </c>
      <c r="O2" s="24">
        <f t="shared" si="5"/>
        <v>9</v>
      </c>
      <c r="P2" s="24">
        <f aca="true" t="shared" si="6" ref="P2:Q9">(N2/12)*(L2/12)*150</f>
        <v>102.08333333333336</v>
      </c>
      <c r="Q2" s="24">
        <f t="shared" si="6"/>
        <v>159.375</v>
      </c>
      <c r="R2" s="9">
        <v>300</v>
      </c>
      <c r="S2" s="14">
        <f aca="true" t="shared" si="7" ref="S2:S9">D2+(R2/1000)</f>
        <v>0.8999999999999999</v>
      </c>
      <c r="T2" s="14">
        <f aca="true" t="shared" si="8" ref="T2:T9">(1.2*S2*B2)+E2+G2</f>
        <v>46.1528</v>
      </c>
      <c r="U2" s="14">
        <f>'[1]Interior Girders 2,3,4'!U2+1</f>
        <v>24.0764</v>
      </c>
      <c r="V2" s="14">
        <f>'[1]Interior Girders 2,3,4'!V2+1</f>
        <v>24.0764</v>
      </c>
      <c r="W2" s="13">
        <f aca="true" t="shared" si="9" ref="W2:W9">MAX(U2:V2)</f>
        <v>24.0764</v>
      </c>
      <c r="X2" s="24">
        <f>(((U2-((S2)*F2))*F2)/2)+(F2*(U2-((S2)*F2)))</f>
        <v>188.020728</v>
      </c>
      <c r="Y2" s="24">
        <f aca="true" t="shared" si="10" ref="Y2:Y9">(B2/16)*12</f>
        <v>10.620000000000001</v>
      </c>
      <c r="Z2" s="24">
        <f aca="true" t="shared" si="11" ref="Z2:Z9">Y2-2.5</f>
        <v>8.120000000000001</v>
      </c>
      <c r="AA2" s="24">
        <f aca="true" t="shared" si="12" ref="AA2:AA9">(60000/4000)*0.01</f>
        <v>0.15</v>
      </c>
      <c r="AB2" s="24">
        <f aca="true" t="shared" si="13" ref="AB2:AB9">4000*AA2*(1-(0.59*AA2))</f>
        <v>546.9</v>
      </c>
      <c r="AC2" s="24">
        <f aca="true" t="shared" si="14" ref="AC2:AC9">(12000*X2)/(AB2*0.9)</f>
        <v>4583.914865606144</v>
      </c>
      <c r="AD2" s="24">
        <f aca="true" t="shared" si="15" ref="AD2:AD9">(AC2/2.25)^(1/3)</f>
        <v>12.677044310674036</v>
      </c>
      <c r="AE2" s="24">
        <f aca="true" t="shared" si="16" ref="AE2:AE9">AD2*(1.5)</f>
        <v>19.015566466011055</v>
      </c>
      <c r="AF2" s="24">
        <f aca="true" t="shared" si="17" ref="AF2:AF9">(AC2/4)^(1/3)</f>
        <v>10.4646695112148</v>
      </c>
      <c r="AG2" s="24">
        <f aca="true" t="shared" si="18" ref="AG2:AG9">AF2*2</f>
        <v>20.9293390224296</v>
      </c>
      <c r="AH2" s="8">
        <f aca="true" t="shared" si="19" ref="AH2:AH9">(X2*12000)/(0.9*60000*0.95*AE2)</f>
        <v>2.3129185723033245</v>
      </c>
      <c r="AI2" s="8">
        <f aca="true" t="shared" si="20" ref="AI2:AI9">(AH2*60000)/(0.85*4000*AD2)</f>
        <v>3.219694520204784</v>
      </c>
      <c r="AJ2" s="8">
        <f aca="true" t="shared" si="21" ref="AJ2:AJ9">AI2/AE2</f>
        <v>0.16931888544891652</v>
      </c>
      <c r="AK2" s="8">
        <f aca="true" t="shared" si="22" ref="AK2:AK9">(X2*12000)/(0.9*60000*(AE2-(AI2/2)))</f>
        <v>2.400497417298118</v>
      </c>
      <c r="AL2" s="8">
        <f aca="true" t="shared" si="23" ref="AL2:AL9">(3*(4000^0.5)*AD2*Z2)/60000</f>
        <v>0.32551727224734633</v>
      </c>
      <c r="AM2" s="8">
        <f aca="true" t="shared" si="24" ref="AM2:AM9">(200*AD2*Z2)/60000</f>
        <v>0.3431253326755773</v>
      </c>
      <c r="AN2" s="8">
        <f aca="true" t="shared" si="25" ref="AN2:AN9">ROUND(MAX(AK2:AM2),2)</f>
        <v>2.4</v>
      </c>
      <c r="AO2" s="8">
        <f aca="true" t="shared" si="26" ref="AO2:AO9">1.875</f>
        <v>1.875</v>
      </c>
      <c r="AP2" s="8">
        <f aca="true" t="shared" si="27" ref="AP2:AP9">(540/(0.6*60))-(2.5*AO2)</f>
        <v>10.3125</v>
      </c>
      <c r="AQ2" s="8">
        <f aca="true" t="shared" si="28" ref="AQ2:AQ9">AN2*(B2*12)</f>
        <v>407.80800000000005</v>
      </c>
      <c r="AR2" s="8">
        <f aca="true" t="shared" si="29" ref="AR2:AR9">(Y2-6)*AD2*(12*B2)</f>
        <v>9951.865166026166</v>
      </c>
    </row>
    <row r="3" spans="1:44" ht="13.5" customHeight="1">
      <c r="A3" s="12" t="s">
        <v>113</v>
      </c>
      <c r="B3" s="13">
        <v>14.16</v>
      </c>
      <c r="C3" s="13">
        <v>0</v>
      </c>
      <c r="D3" s="13">
        <v>0.6</v>
      </c>
      <c r="E3" s="14">
        <v>30.86</v>
      </c>
      <c r="F3" s="14">
        <v>7.08</v>
      </c>
      <c r="G3" s="14"/>
      <c r="H3" s="14"/>
      <c r="I3" s="24">
        <f t="shared" si="0"/>
        <v>41.0552</v>
      </c>
      <c r="J3" s="24">
        <f t="shared" si="1"/>
        <v>0.28993785310734466</v>
      </c>
      <c r="K3" s="24">
        <f t="shared" si="2"/>
        <v>0.5798757062146893</v>
      </c>
      <c r="L3" s="24">
        <f t="shared" si="3"/>
        <v>14</v>
      </c>
      <c r="M3" s="24">
        <f t="shared" si="4"/>
        <v>17</v>
      </c>
      <c r="N3" s="24">
        <f t="shared" si="5"/>
        <v>7</v>
      </c>
      <c r="O3" s="24">
        <f t="shared" si="5"/>
        <v>9</v>
      </c>
      <c r="P3" s="24">
        <f t="shared" si="6"/>
        <v>102.08333333333336</v>
      </c>
      <c r="Q3" s="24">
        <f t="shared" si="6"/>
        <v>159.375</v>
      </c>
      <c r="R3" s="9">
        <v>300</v>
      </c>
      <c r="S3" s="14">
        <f t="shared" si="7"/>
        <v>0.8999999999999999</v>
      </c>
      <c r="T3" s="14">
        <f t="shared" si="8"/>
        <v>46.1528</v>
      </c>
      <c r="U3" s="14">
        <f>'[1]Interior Girders 2,3,4'!U3+1</f>
        <v>24.0764</v>
      </c>
      <c r="V3" s="14">
        <f>'[1]Interior Girders 2,3,4'!V3+1</f>
        <v>24.0764</v>
      </c>
      <c r="W3" s="13">
        <f t="shared" si="9"/>
        <v>24.0764</v>
      </c>
      <c r="X3" s="24">
        <f>(((U3-((S3)*F3))*F3)/2)+(F3*(U3-((S3)*F3)))</f>
        <v>188.020728</v>
      </c>
      <c r="Y3" s="24">
        <f t="shared" si="10"/>
        <v>10.620000000000001</v>
      </c>
      <c r="Z3" s="24">
        <f t="shared" si="11"/>
        <v>8.120000000000001</v>
      </c>
      <c r="AA3" s="24">
        <f t="shared" si="12"/>
        <v>0.15</v>
      </c>
      <c r="AB3" s="24">
        <f t="shared" si="13"/>
        <v>546.9</v>
      </c>
      <c r="AC3" s="24">
        <f t="shared" si="14"/>
        <v>4583.914865606144</v>
      </c>
      <c r="AD3" s="24">
        <f t="shared" si="15"/>
        <v>12.677044310674036</v>
      </c>
      <c r="AE3" s="24">
        <f t="shared" si="16"/>
        <v>19.015566466011055</v>
      </c>
      <c r="AF3" s="24">
        <f t="shared" si="17"/>
        <v>10.4646695112148</v>
      </c>
      <c r="AG3" s="24">
        <f t="shared" si="18"/>
        <v>20.9293390224296</v>
      </c>
      <c r="AH3" s="8">
        <f t="shared" si="19"/>
        <v>2.3129185723033245</v>
      </c>
      <c r="AI3" s="8">
        <f t="shared" si="20"/>
        <v>3.219694520204784</v>
      </c>
      <c r="AJ3" s="8">
        <f t="shared" si="21"/>
        <v>0.16931888544891652</v>
      </c>
      <c r="AK3" s="8">
        <f t="shared" si="22"/>
        <v>2.400497417298118</v>
      </c>
      <c r="AL3" s="8">
        <f t="shared" si="23"/>
        <v>0.32551727224734633</v>
      </c>
      <c r="AM3" s="8">
        <f t="shared" si="24"/>
        <v>0.3431253326755773</v>
      </c>
      <c r="AN3" s="8">
        <f t="shared" si="25"/>
        <v>2.4</v>
      </c>
      <c r="AO3" s="8">
        <f t="shared" si="26"/>
        <v>1.875</v>
      </c>
      <c r="AP3" s="8">
        <f t="shared" si="27"/>
        <v>10.3125</v>
      </c>
      <c r="AQ3" s="8">
        <f t="shared" si="28"/>
        <v>407.80800000000005</v>
      </c>
      <c r="AR3" s="8">
        <f t="shared" si="29"/>
        <v>9951.865166026166</v>
      </c>
    </row>
    <row r="4" spans="1:44" ht="12.75">
      <c r="A4" s="12" t="s">
        <v>57</v>
      </c>
      <c r="B4" s="13">
        <v>12.92</v>
      </c>
      <c r="C4" s="13">
        <v>0</v>
      </c>
      <c r="D4" s="14">
        <v>0.6</v>
      </c>
      <c r="E4" s="14">
        <v>65.34</v>
      </c>
      <c r="F4" s="14">
        <v>6.46</v>
      </c>
      <c r="G4" s="14"/>
      <c r="H4" s="14"/>
      <c r="I4" s="24">
        <f t="shared" si="0"/>
        <v>74.64240000000001</v>
      </c>
      <c r="J4" s="24">
        <f t="shared" si="1"/>
        <v>0.5777275541795667</v>
      </c>
      <c r="K4" s="24">
        <f t="shared" si="2"/>
        <v>1.1554551083591333</v>
      </c>
      <c r="L4" s="24">
        <f t="shared" si="3"/>
        <v>12</v>
      </c>
      <c r="M4" s="24">
        <f t="shared" si="4"/>
        <v>16</v>
      </c>
      <c r="N4" s="24">
        <f t="shared" si="5"/>
        <v>6</v>
      </c>
      <c r="O4" s="24">
        <f t="shared" si="5"/>
        <v>8</v>
      </c>
      <c r="P4" s="24">
        <f t="shared" si="6"/>
        <v>75</v>
      </c>
      <c r="Q4" s="24">
        <f t="shared" si="6"/>
        <v>133.33333333333331</v>
      </c>
      <c r="R4" s="9">
        <v>600</v>
      </c>
      <c r="S4" s="14">
        <f t="shared" si="7"/>
        <v>1.2</v>
      </c>
      <c r="T4" s="14">
        <f t="shared" si="8"/>
        <v>83.9448</v>
      </c>
      <c r="U4" s="14">
        <f>'[1]Interior Girders 2,3,4'!U4+1</f>
        <v>22.97</v>
      </c>
      <c r="V4" s="14">
        <f>'[1]Interior Girders 2,3,4'!V4+1</f>
        <v>52.12</v>
      </c>
      <c r="W4" s="13">
        <f t="shared" si="9"/>
        <v>52.12</v>
      </c>
      <c r="X4" s="24">
        <f>'[1]Interior Girders 2,3,4'!X4+5</f>
        <v>134.39</v>
      </c>
      <c r="Y4" s="24">
        <f t="shared" si="10"/>
        <v>9.69</v>
      </c>
      <c r="Z4" s="24">
        <f t="shared" si="11"/>
        <v>7.1899999999999995</v>
      </c>
      <c r="AA4" s="24">
        <f t="shared" si="12"/>
        <v>0.15</v>
      </c>
      <c r="AB4" s="24">
        <f t="shared" si="13"/>
        <v>546.9</v>
      </c>
      <c r="AC4" s="24">
        <f t="shared" si="14"/>
        <v>3276.4064118973606</v>
      </c>
      <c r="AD4" s="24">
        <f t="shared" si="15"/>
        <v>11.334570889730683</v>
      </c>
      <c r="AE4" s="24">
        <f t="shared" si="16"/>
        <v>17.001856334596024</v>
      </c>
      <c r="AF4" s="24">
        <f t="shared" si="17"/>
        <v>9.356482118832393</v>
      </c>
      <c r="AG4" s="24">
        <f t="shared" si="18"/>
        <v>18.712964237664785</v>
      </c>
      <c r="AH4" s="8">
        <f t="shared" si="19"/>
        <v>1.848989703905086</v>
      </c>
      <c r="AI4" s="8">
        <f t="shared" si="20"/>
        <v>2.8787353651364014</v>
      </c>
      <c r="AJ4" s="8">
        <f t="shared" si="21"/>
        <v>0.1693188854489166</v>
      </c>
      <c r="AK4" s="8">
        <f t="shared" si="22"/>
        <v>1.9190018455404974</v>
      </c>
      <c r="AL4" s="8">
        <f t="shared" si="23"/>
        <v>0.2577116036446473</v>
      </c>
      <c r="AM4" s="8">
        <f t="shared" si="24"/>
        <v>0.27165188232387866</v>
      </c>
      <c r="AN4" s="8">
        <f t="shared" si="25"/>
        <v>1.92</v>
      </c>
      <c r="AO4" s="8">
        <f t="shared" si="26"/>
        <v>1.875</v>
      </c>
      <c r="AP4" s="8">
        <f t="shared" si="27"/>
        <v>10.3125</v>
      </c>
      <c r="AQ4" s="8">
        <f t="shared" si="28"/>
        <v>297.67679999999996</v>
      </c>
      <c r="AR4" s="8">
        <f t="shared" si="29"/>
        <v>6484.4808030447875</v>
      </c>
    </row>
    <row r="5" spans="1:44" ht="12.75">
      <c r="A5" s="12" t="s">
        <v>100</v>
      </c>
      <c r="B5" s="13">
        <v>23.13</v>
      </c>
      <c r="C5" s="13">
        <v>0</v>
      </c>
      <c r="D5" s="14">
        <v>0.6</v>
      </c>
      <c r="E5" s="14">
        <v>134.66</v>
      </c>
      <c r="F5" s="14">
        <v>11.57</v>
      </c>
      <c r="G5" s="14"/>
      <c r="H5" s="14"/>
      <c r="I5" s="24">
        <f t="shared" si="0"/>
        <v>151.3136</v>
      </c>
      <c r="J5" s="24">
        <f t="shared" si="1"/>
        <v>0.6541876351059231</v>
      </c>
      <c r="K5" s="24">
        <f t="shared" si="2"/>
        <v>1.3083752702118463</v>
      </c>
      <c r="L5" s="24">
        <f t="shared" si="3"/>
        <v>22</v>
      </c>
      <c r="M5" s="24">
        <f t="shared" si="4"/>
        <v>28</v>
      </c>
      <c r="N5" s="24">
        <f t="shared" si="5"/>
        <v>11</v>
      </c>
      <c r="O5" s="24">
        <f t="shared" si="5"/>
        <v>14</v>
      </c>
      <c r="P5" s="24">
        <f t="shared" si="6"/>
        <v>252.08333333333331</v>
      </c>
      <c r="Q5" s="24">
        <f t="shared" si="6"/>
        <v>408.3333333333334</v>
      </c>
      <c r="R5" s="9">
        <v>700</v>
      </c>
      <c r="S5" s="14">
        <f t="shared" si="7"/>
        <v>1.2999999999999998</v>
      </c>
      <c r="T5" s="14">
        <f t="shared" si="8"/>
        <v>170.7428</v>
      </c>
      <c r="U5" s="14">
        <f>'[1]Interior Girders 2,3,4'!U5+1</f>
        <v>70.75</v>
      </c>
      <c r="V5" s="14">
        <f>'[1]Interior Girders 2,3,4'!V5+1</f>
        <v>79.79</v>
      </c>
      <c r="W5" s="13">
        <f t="shared" si="9"/>
        <v>79.79</v>
      </c>
      <c r="X5" s="24">
        <v>517.43</v>
      </c>
      <c r="Y5" s="24">
        <f t="shared" si="10"/>
        <v>17.3475</v>
      </c>
      <c r="Z5" s="24">
        <f t="shared" si="11"/>
        <v>14.8475</v>
      </c>
      <c r="AA5" s="24">
        <f t="shared" si="12"/>
        <v>0.15</v>
      </c>
      <c r="AB5" s="24">
        <f t="shared" si="13"/>
        <v>546.9</v>
      </c>
      <c r="AC5" s="24">
        <f t="shared" si="14"/>
        <v>12614.85951118425</v>
      </c>
      <c r="AD5" s="24">
        <f t="shared" si="15"/>
        <v>17.765058149261485</v>
      </c>
      <c r="AE5" s="24">
        <f t="shared" si="16"/>
        <v>26.647587223892227</v>
      </c>
      <c r="AF5" s="24">
        <f t="shared" si="17"/>
        <v>14.66473239531101</v>
      </c>
      <c r="AG5" s="24">
        <f t="shared" si="18"/>
        <v>29.32946479062202</v>
      </c>
      <c r="AH5" s="8">
        <f t="shared" si="19"/>
        <v>4.5421094335107535</v>
      </c>
      <c r="AI5" s="8">
        <f t="shared" si="20"/>
        <v>4.511939768652221</v>
      </c>
      <c r="AJ5" s="8">
        <f t="shared" si="21"/>
        <v>0.16931888544891657</v>
      </c>
      <c r="AK5" s="8">
        <f t="shared" si="22"/>
        <v>4.714096767085876</v>
      </c>
      <c r="AL5" s="8">
        <f t="shared" si="23"/>
        <v>0.8341035456611843</v>
      </c>
      <c r="AM5" s="8">
        <f t="shared" si="24"/>
        <v>0.8792223362371997</v>
      </c>
      <c r="AN5" s="8">
        <f t="shared" si="25"/>
        <v>4.71</v>
      </c>
      <c r="AO5" s="8">
        <f t="shared" si="26"/>
        <v>1.875</v>
      </c>
      <c r="AP5" s="8">
        <f t="shared" si="27"/>
        <v>10.3125</v>
      </c>
      <c r="AQ5" s="8">
        <f t="shared" si="28"/>
        <v>1307.3076</v>
      </c>
      <c r="AR5" s="8">
        <f t="shared" si="29"/>
        <v>55953.04210411758</v>
      </c>
    </row>
    <row r="6" spans="1:44" ht="12.75">
      <c r="A6" s="23" t="s">
        <v>137</v>
      </c>
      <c r="B6" s="13">
        <v>23.13</v>
      </c>
      <c r="C6" s="13">
        <v>0</v>
      </c>
      <c r="D6" s="14">
        <v>0.6</v>
      </c>
      <c r="E6" s="14">
        <v>134.66</v>
      </c>
      <c r="F6" s="14">
        <v>11.57</v>
      </c>
      <c r="G6" s="14"/>
      <c r="H6" s="14"/>
      <c r="I6" s="24">
        <f>(1.2*D6*B6)+E6+G6</f>
        <v>151.3136</v>
      </c>
      <c r="J6" s="24">
        <f>(0.1*I6)/B6</f>
        <v>0.6541876351059231</v>
      </c>
      <c r="K6" s="24">
        <f>(0.2*I6)/B6</f>
        <v>1.3083752702118463</v>
      </c>
      <c r="L6" s="24">
        <f>ROUND(((0.08*B6)*12),0)</f>
        <v>22</v>
      </c>
      <c r="M6" s="24">
        <f>ROUND(((0.1*B6)*12),0)</f>
        <v>28</v>
      </c>
      <c r="N6" s="24">
        <f>ROUND((0.5*L6),0)</f>
        <v>11</v>
      </c>
      <c r="O6" s="24">
        <f>ROUND((0.5*M6),0)</f>
        <v>14</v>
      </c>
      <c r="P6" s="24">
        <f>(N6/12)*(L6/12)*150</f>
        <v>252.08333333333331</v>
      </c>
      <c r="Q6" s="24">
        <f>(O6/12)*(M6/12)*150</f>
        <v>408.3333333333334</v>
      </c>
      <c r="R6" s="9">
        <v>700</v>
      </c>
      <c r="S6" s="14">
        <f>D6+(R6/1000)</f>
        <v>1.2999999999999998</v>
      </c>
      <c r="T6" s="14">
        <f>(1.2*S6*B6)+E6+G6</f>
        <v>170.7428</v>
      </c>
      <c r="U6" s="14">
        <f>'[1]Interior Girders 2,3,4'!U6+1</f>
        <v>1</v>
      </c>
      <c r="V6" s="14">
        <f>'[1]Interior Girders 2,3,4'!V6+1</f>
        <v>1</v>
      </c>
      <c r="W6" s="13">
        <f>MAX(U6:V6)</f>
        <v>1</v>
      </c>
      <c r="X6" s="24">
        <v>611</v>
      </c>
      <c r="Y6" s="24">
        <f>(B6/16)*12</f>
        <v>17.3475</v>
      </c>
      <c r="Z6" s="24">
        <f t="shared" si="11"/>
        <v>14.8475</v>
      </c>
      <c r="AA6" s="24">
        <f t="shared" si="12"/>
        <v>0.15</v>
      </c>
      <c r="AB6" s="24">
        <f t="shared" si="13"/>
        <v>546.9</v>
      </c>
      <c r="AC6" s="24">
        <f>(12000*X6)/(AB6*0.9)</f>
        <v>14896.080941061742</v>
      </c>
      <c r="AD6" s="24">
        <f t="shared" si="15"/>
        <v>18.777156896250776</v>
      </c>
      <c r="AE6" s="24">
        <f t="shared" si="16"/>
        <v>28.165735344376166</v>
      </c>
      <c r="AF6" s="24">
        <f>(AC6/4)^(1/3)</f>
        <v>15.500201503125023</v>
      </c>
      <c r="AG6" s="24">
        <f t="shared" si="18"/>
        <v>31.000403006250046</v>
      </c>
      <c r="AH6" s="8">
        <f>(X6*12000)/(0.9*60000*0.95*AE6)</f>
        <v>5.074391804818426</v>
      </c>
      <c r="AI6" s="8">
        <f>(AH6*60000)/(0.85*4000*AD6)</f>
        <v>4.768990916358928</v>
      </c>
      <c r="AJ6" s="8">
        <f>AI6/AE6</f>
        <v>0.16931888544891655</v>
      </c>
      <c r="AK6" s="8">
        <f>(X6*12000)/(0.9*60000*(AE6-(AI6/2)))</f>
        <v>5.266534052556305</v>
      </c>
      <c r="AL6" s="8">
        <f>(3*(4000^0.5)*AD6*Z6)/60000</f>
        <v>0.8816235225917469</v>
      </c>
      <c r="AM6" s="8">
        <f>(200*AD6*Z6)/60000</f>
        <v>0.9293127900569447</v>
      </c>
      <c r="AN6" s="8">
        <f>ROUND(MAX(AK6:AM6),2)</f>
        <v>5.27</v>
      </c>
      <c r="AO6" s="8">
        <f t="shared" si="26"/>
        <v>1.875</v>
      </c>
      <c r="AP6" s="8">
        <f t="shared" si="27"/>
        <v>10.3125</v>
      </c>
      <c r="AQ6" s="8">
        <f>AN6*(B6*12)</f>
        <v>1462.7412</v>
      </c>
      <c r="AR6" s="8">
        <f>(Y6-6)*AD6*(12*B6)</f>
        <v>59140.76056402989</v>
      </c>
    </row>
    <row r="7" spans="1:44" ht="12.75">
      <c r="A7" s="12" t="s">
        <v>98</v>
      </c>
      <c r="B7" s="13">
        <v>17.17</v>
      </c>
      <c r="C7" s="13">
        <v>0</v>
      </c>
      <c r="D7" s="14">
        <v>0.6</v>
      </c>
      <c r="E7" s="14">
        <v>308.76</v>
      </c>
      <c r="F7" s="14">
        <v>8.59</v>
      </c>
      <c r="G7" s="14"/>
      <c r="H7" s="14"/>
      <c r="I7" s="24">
        <f t="shared" si="0"/>
        <v>321.12239999999997</v>
      </c>
      <c r="J7" s="24">
        <f t="shared" si="1"/>
        <v>1.8702527664531157</v>
      </c>
      <c r="K7" s="24">
        <f t="shared" si="2"/>
        <v>3.7405055329062313</v>
      </c>
      <c r="L7" s="24">
        <f t="shared" si="3"/>
        <v>16</v>
      </c>
      <c r="M7" s="24">
        <f t="shared" si="4"/>
        <v>21</v>
      </c>
      <c r="N7" s="24">
        <f t="shared" si="5"/>
        <v>8</v>
      </c>
      <c r="O7" s="24">
        <f t="shared" si="5"/>
        <v>11</v>
      </c>
      <c r="P7" s="24">
        <f t="shared" si="6"/>
        <v>133.33333333333331</v>
      </c>
      <c r="Q7" s="24">
        <f t="shared" si="6"/>
        <v>240.62499999999997</v>
      </c>
      <c r="R7" s="9">
        <v>600</v>
      </c>
      <c r="S7" s="14">
        <f t="shared" si="7"/>
        <v>1.2</v>
      </c>
      <c r="T7" s="14">
        <f t="shared" si="8"/>
        <v>333.4848</v>
      </c>
      <c r="U7" s="14">
        <v>140.72</v>
      </c>
      <c r="V7" s="14">
        <v>168.04</v>
      </c>
      <c r="W7" s="13">
        <f t="shared" si="9"/>
        <v>168.04</v>
      </c>
      <c r="X7" s="24">
        <v>885.6</v>
      </c>
      <c r="Y7" s="24">
        <f t="shared" si="10"/>
        <v>12.877500000000001</v>
      </c>
      <c r="Z7" s="24">
        <f t="shared" si="11"/>
        <v>10.377500000000001</v>
      </c>
      <c r="AA7" s="24">
        <f t="shared" si="12"/>
        <v>0.15</v>
      </c>
      <c r="AB7" s="24">
        <f t="shared" si="13"/>
        <v>546.9</v>
      </c>
      <c r="AC7" s="24">
        <f t="shared" si="14"/>
        <v>21590.7844212836</v>
      </c>
      <c r="AD7" s="24">
        <f t="shared" si="15"/>
        <v>21.25014841860787</v>
      </c>
      <c r="AE7" s="24">
        <f t="shared" si="16"/>
        <v>31.875222627911807</v>
      </c>
      <c r="AF7" s="24">
        <f t="shared" si="17"/>
        <v>17.541611026614103</v>
      </c>
      <c r="AG7" s="24">
        <f t="shared" si="18"/>
        <v>35.083222053228205</v>
      </c>
      <c r="AH7" s="8">
        <f t="shared" si="19"/>
        <v>6.499025815601443</v>
      </c>
      <c r="AI7" s="8">
        <f t="shared" si="20"/>
        <v>5.397077168794113</v>
      </c>
      <c r="AJ7" s="8">
        <f t="shared" si="21"/>
        <v>0.1693188854489166</v>
      </c>
      <c r="AK7" s="8">
        <f t="shared" si="22"/>
        <v>6.745111943032599</v>
      </c>
      <c r="AL7" s="8">
        <f t="shared" si="23"/>
        <v>0.6973562694755943</v>
      </c>
      <c r="AM7" s="8">
        <f t="shared" si="24"/>
        <v>0.7350780507136774</v>
      </c>
      <c r="AN7" s="8">
        <f t="shared" si="25"/>
        <v>6.75</v>
      </c>
      <c r="AO7" s="8">
        <f t="shared" si="26"/>
        <v>1.875</v>
      </c>
      <c r="AP7" s="8">
        <f t="shared" si="27"/>
        <v>10.3125</v>
      </c>
      <c r="AQ7" s="8">
        <f t="shared" si="28"/>
        <v>1390.7700000000002</v>
      </c>
      <c r="AR7" s="8">
        <f t="shared" si="29"/>
        <v>30112.31244011895</v>
      </c>
    </row>
    <row r="8" spans="1:44" ht="12.75">
      <c r="A8" s="23" t="s">
        <v>138</v>
      </c>
      <c r="B8" s="13">
        <v>17.17</v>
      </c>
      <c r="C8" s="13">
        <v>0</v>
      </c>
      <c r="D8" s="14">
        <v>0.6</v>
      </c>
      <c r="E8" s="14">
        <v>308.76</v>
      </c>
      <c r="F8" s="14">
        <v>8.59</v>
      </c>
      <c r="G8" s="14"/>
      <c r="H8" s="14"/>
      <c r="I8" s="24">
        <f>(1.2*D8*B8)+E8+G8</f>
        <v>321.12239999999997</v>
      </c>
      <c r="J8" s="24">
        <f>(0.1*I8)/B8</f>
        <v>1.8702527664531157</v>
      </c>
      <c r="K8" s="24">
        <f>(0.2*I8)/B8</f>
        <v>3.7405055329062313</v>
      </c>
      <c r="L8" s="24">
        <f>ROUND(((0.08*B8)*12),0)</f>
        <v>16</v>
      </c>
      <c r="M8" s="24">
        <f>ROUND(((0.1*B8)*12),0)</f>
        <v>21</v>
      </c>
      <c r="N8" s="24">
        <f>ROUND((0.5*L8),0)</f>
        <v>8</v>
      </c>
      <c r="O8" s="24">
        <f>ROUND((0.5*M8),0)</f>
        <v>11</v>
      </c>
      <c r="P8" s="24">
        <f>(N8/12)*(L8/12)*150</f>
        <v>133.33333333333331</v>
      </c>
      <c r="Q8" s="24">
        <f>(O8/12)*(M8/12)*150</f>
        <v>240.62499999999997</v>
      </c>
      <c r="R8" s="9">
        <v>600</v>
      </c>
      <c r="S8" s="14">
        <f>D8+(R8/1000)</f>
        <v>1.2</v>
      </c>
      <c r="T8" s="14">
        <f>(1.2*S8*B8)+E8+G8</f>
        <v>333.4848</v>
      </c>
      <c r="U8" s="14">
        <v>140.72</v>
      </c>
      <c r="V8" s="14">
        <v>168.04</v>
      </c>
      <c r="W8" s="13">
        <f>MAX(U8:V8)</f>
        <v>168.04</v>
      </c>
      <c r="X8" s="24">
        <v>611</v>
      </c>
      <c r="Y8" s="24">
        <f>(B8/16)*12</f>
        <v>12.877500000000001</v>
      </c>
      <c r="Z8" s="24">
        <f t="shared" si="11"/>
        <v>10.377500000000001</v>
      </c>
      <c r="AA8" s="24">
        <f t="shared" si="12"/>
        <v>0.15</v>
      </c>
      <c r="AB8" s="24">
        <f t="shared" si="13"/>
        <v>546.9</v>
      </c>
      <c r="AC8" s="24">
        <f>(12000*X8)/(AB8*0.9)</f>
        <v>14896.080941061742</v>
      </c>
      <c r="AD8" s="24">
        <f t="shared" si="15"/>
        <v>18.777156896250776</v>
      </c>
      <c r="AE8" s="24">
        <f t="shared" si="16"/>
        <v>28.165735344376166</v>
      </c>
      <c r="AF8" s="24">
        <f>(AC8/4)^(1/3)</f>
        <v>15.500201503125023</v>
      </c>
      <c r="AG8" s="24">
        <f t="shared" si="18"/>
        <v>31.000403006250046</v>
      </c>
      <c r="AH8" s="8">
        <f>(X8*12000)/(0.9*60000*0.95*AE8)</f>
        <v>5.074391804818426</v>
      </c>
      <c r="AI8" s="8">
        <f>(AH8*60000)/(0.85*4000*AD8)</f>
        <v>4.768990916358928</v>
      </c>
      <c r="AJ8" s="8">
        <f>AI8/AE8</f>
        <v>0.16931888544891655</v>
      </c>
      <c r="AK8" s="8">
        <f>(X8*12000)/(0.9*60000*(AE8-(AI8/2)))</f>
        <v>5.266534052556305</v>
      </c>
      <c r="AL8" s="8">
        <f>(3*(4000^0.5)*AD8*Z8)/60000</f>
        <v>0.6162012531197747</v>
      </c>
      <c r="AM8" s="8">
        <f>(200*AD8*Z8)/60000</f>
        <v>0.6495331523028083</v>
      </c>
      <c r="AN8" s="8">
        <f>ROUND(MAX(AK8:AM8),2)</f>
        <v>5.27</v>
      </c>
      <c r="AO8" s="8">
        <f t="shared" si="26"/>
        <v>1.875</v>
      </c>
      <c r="AP8" s="8">
        <f t="shared" si="27"/>
        <v>10.3125</v>
      </c>
      <c r="AQ8" s="8">
        <f>AN8*(B8*12)</f>
        <v>1085.8308</v>
      </c>
      <c r="AR8" s="8">
        <f>(Y8-6)*AD8*(12*B8)</f>
        <v>26607.9842859789</v>
      </c>
    </row>
    <row r="9" spans="1:44" ht="12.75">
      <c r="A9" s="12" t="s">
        <v>58</v>
      </c>
      <c r="B9" s="13">
        <v>12.92</v>
      </c>
      <c r="C9" s="13">
        <v>0</v>
      </c>
      <c r="D9" s="14">
        <v>0.6</v>
      </c>
      <c r="E9" s="14">
        <v>61.4</v>
      </c>
      <c r="F9" s="14">
        <v>6.46</v>
      </c>
      <c r="G9" s="14"/>
      <c r="H9" s="14"/>
      <c r="I9" s="24">
        <f t="shared" si="0"/>
        <v>70.7024</v>
      </c>
      <c r="J9" s="24">
        <f t="shared" si="1"/>
        <v>0.5472321981424149</v>
      </c>
      <c r="K9" s="24">
        <f t="shared" si="2"/>
        <v>1.0944643962848297</v>
      </c>
      <c r="L9" s="24">
        <f t="shared" si="3"/>
        <v>12</v>
      </c>
      <c r="M9" s="24">
        <f t="shared" si="4"/>
        <v>16</v>
      </c>
      <c r="N9" s="24">
        <f t="shared" si="5"/>
        <v>6</v>
      </c>
      <c r="O9" s="24">
        <f t="shared" si="5"/>
        <v>8</v>
      </c>
      <c r="P9" s="24">
        <f t="shared" si="6"/>
        <v>75</v>
      </c>
      <c r="Q9" s="24">
        <f t="shared" si="6"/>
        <v>133.33333333333331</v>
      </c>
      <c r="R9" s="9">
        <v>600</v>
      </c>
      <c r="S9" s="14">
        <f t="shared" si="7"/>
        <v>1.2</v>
      </c>
      <c r="T9" s="14">
        <f t="shared" si="8"/>
        <v>80.0048</v>
      </c>
      <c r="U9" s="14">
        <f>'[1]Interior Girders 2,3,4'!U7+1</f>
        <v>40.72</v>
      </c>
      <c r="V9" s="14">
        <f>'[1]Interior Girders 2,3,4'!V7+1</f>
        <v>30.43</v>
      </c>
      <c r="W9" s="13">
        <f t="shared" si="9"/>
        <v>40.72</v>
      </c>
      <c r="X9" s="24">
        <f>'[1]Interior Girders 2,3,4'!X7+5</f>
        <v>93.74</v>
      </c>
      <c r="Y9" s="24">
        <f t="shared" si="10"/>
        <v>9.69</v>
      </c>
      <c r="Z9" s="24">
        <f t="shared" si="11"/>
        <v>7.1899999999999995</v>
      </c>
      <c r="AA9" s="24">
        <f t="shared" si="12"/>
        <v>0.15</v>
      </c>
      <c r="AB9" s="24">
        <f t="shared" si="13"/>
        <v>546.9</v>
      </c>
      <c r="AC9" s="24">
        <f t="shared" si="14"/>
        <v>2285.3660023160846</v>
      </c>
      <c r="AD9" s="24">
        <f t="shared" si="15"/>
        <v>10.052121935887032</v>
      </c>
      <c r="AE9" s="24">
        <f t="shared" si="16"/>
        <v>15.078182903830548</v>
      </c>
      <c r="AF9" s="24">
        <f t="shared" si="17"/>
        <v>8.2978438323292</v>
      </c>
      <c r="AG9" s="24">
        <f t="shared" si="18"/>
        <v>16.5956876646584</v>
      </c>
      <c r="AH9" s="8">
        <f t="shared" si="19"/>
        <v>1.4542525130495914</v>
      </c>
      <c r="AI9" s="8">
        <f t="shared" si="20"/>
        <v>2.5530211238714946</v>
      </c>
      <c r="AJ9" s="8">
        <f t="shared" si="21"/>
        <v>0.16931888544891643</v>
      </c>
      <c r="AK9" s="8">
        <f t="shared" si="22"/>
        <v>1.5093178996778918</v>
      </c>
      <c r="AL9" s="8">
        <f t="shared" si="23"/>
        <v>0.22855284856668592</v>
      </c>
      <c r="AM9" s="8">
        <f t="shared" si="24"/>
        <v>0.24091585573009253</v>
      </c>
      <c r="AN9" s="8">
        <f t="shared" si="25"/>
        <v>1.51</v>
      </c>
      <c r="AO9" s="8">
        <f t="shared" si="26"/>
        <v>1.875</v>
      </c>
      <c r="AP9" s="8">
        <f t="shared" si="27"/>
        <v>10.3125</v>
      </c>
      <c r="AQ9" s="8">
        <f t="shared" si="28"/>
        <v>234.1104</v>
      </c>
      <c r="AR9" s="8">
        <f t="shared" si="29"/>
        <v>5750.794834428323</v>
      </c>
    </row>
    <row r="10" spans="1:44" ht="12.75">
      <c r="A10" s="16"/>
      <c r="D10" s="14"/>
      <c r="E10" s="14"/>
      <c r="F10" s="14"/>
      <c r="G10" s="14"/>
      <c r="H10" s="14"/>
      <c r="I10" s="24"/>
      <c r="J10" s="24"/>
      <c r="K10" s="24"/>
      <c r="L10" s="24"/>
      <c r="M10" s="24"/>
      <c r="N10" s="24"/>
      <c r="O10" s="24"/>
      <c r="P10" s="24"/>
      <c r="Q10" s="24"/>
      <c r="R10" s="9"/>
      <c r="S10" s="14"/>
      <c r="T10" s="14"/>
      <c r="U10" s="14"/>
      <c r="V10" s="1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2.75">
      <c r="A11" s="12" t="s">
        <v>68</v>
      </c>
      <c r="B11" s="13">
        <v>17.75</v>
      </c>
      <c r="C11" s="13">
        <v>0</v>
      </c>
      <c r="D11" s="14">
        <v>0.6</v>
      </c>
      <c r="E11" s="14">
        <v>81.18</v>
      </c>
      <c r="F11" s="14">
        <v>8.88</v>
      </c>
      <c r="G11" s="14"/>
      <c r="H11" s="14"/>
      <c r="I11" s="24">
        <f aca="true" t="shared" si="30" ref="I11:I18">(1.2*D11*B11)+E11+G11</f>
        <v>93.96000000000001</v>
      </c>
      <c r="J11" s="24">
        <f aca="true" t="shared" si="31" ref="J11:J18">(0.1*I11)/B11</f>
        <v>0.5293521126760564</v>
      </c>
      <c r="K11" s="24">
        <f aca="true" t="shared" si="32" ref="K11:K18">(0.2*I11)/B11</f>
        <v>1.0587042253521128</v>
      </c>
      <c r="L11" s="24">
        <f aca="true" t="shared" si="33" ref="L11:L18">ROUND(((0.08*B11)*12),0)</f>
        <v>17</v>
      </c>
      <c r="M11" s="24">
        <f aca="true" t="shared" si="34" ref="M11:M18">ROUND(((0.1*B11)*12),0)</f>
        <v>21</v>
      </c>
      <c r="N11" s="24">
        <f aca="true" t="shared" si="35" ref="N11:O18">ROUND((0.5*L11),0)</f>
        <v>9</v>
      </c>
      <c r="O11" s="24">
        <f t="shared" si="35"/>
        <v>11</v>
      </c>
      <c r="P11" s="24">
        <f aca="true" t="shared" si="36" ref="P11:Q18">(N11/12)*(L11/12)*150</f>
        <v>159.375</v>
      </c>
      <c r="Q11" s="24">
        <f t="shared" si="36"/>
        <v>240.62499999999997</v>
      </c>
      <c r="R11" s="9">
        <v>600</v>
      </c>
      <c r="S11" s="14">
        <f aca="true" t="shared" si="37" ref="S11:S18">D11+(R11/1000)</f>
        <v>1.2</v>
      </c>
      <c r="T11" s="14">
        <f aca="true" t="shared" si="38" ref="T11:T18">(1.2*S11*B11)+E11+G11</f>
        <v>106.74000000000001</v>
      </c>
      <c r="U11" s="14">
        <f>'[1]Interior Girders 2,3,4'!U9+1</f>
        <v>44.24</v>
      </c>
      <c r="V11" s="14">
        <f>'[1]Interior Girders 2,3,4'!V9+1</f>
        <v>49.59</v>
      </c>
      <c r="W11" s="13">
        <f aca="true" t="shared" si="39" ref="W11:W18">MAX(U11:V11)</f>
        <v>49.59</v>
      </c>
      <c r="X11" s="24">
        <f>'[1]Interior Girders 2,3,4'!X9+5</f>
        <v>387.18</v>
      </c>
      <c r="Y11" s="24">
        <f aca="true" t="shared" si="40" ref="Y11:Y18">(B11/16)*12</f>
        <v>13.3125</v>
      </c>
      <c r="Z11" s="24">
        <f aca="true" t="shared" si="41" ref="Z11:Z18">Y11-2.5</f>
        <v>10.8125</v>
      </c>
      <c r="AA11" s="24">
        <f aca="true" t="shared" si="42" ref="AA11:AA18">(60000/4000)*0.01</f>
        <v>0.15</v>
      </c>
      <c r="AB11" s="24">
        <f aca="true" t="shared" si="43" ref="AB11:AB18">4000*AA11*(1-(0.59*AA11))</f>
        <v>546.9</v>
      </c>
      <c r="AC11" s="24">
        <f aca="true" t="shared" si="44" ref="AC11:AC18">(12000*X11)/(AB11*0.9)</f>
        <v>9439.385628085574</v>
      </c>
      <c r="AD11" s="24">
        <f aca="true" t="shared" si="45" ref="AD11:AD18">(AC11/2.25)^(1/3)</f>
        <v>16.12824344522282</v>
      </c>
      <c r="AE11" s="24">
        <f aca="true" t="shared" si="46" ref="AE11:AE18">AD11*(1.5)</f>
        <v>24.192365167834232</v>
      </c>
      <c r="AF11" s="24">
        <f aca="true" t="shared" si="47" ref="AF11:AF18">(AC11/4)^(1/3)</f>
        <v>13.313571627146846</v>
      </c>
      <c r="AG11" s="24">
        <f aca="true" t="shared" si="48" ref="AG11:AG18">AF11*2</f>
        <v>26.627143254293692</v>
      </c>
      <c r="AH11" s="8">
        <f aca="true" t="shared" si="49" ref="AH11:AH18">(X11*12000)/(0.9*60000*0.95*AE11)</f>
        <v>3.7436778266330837</v>
      </c>
      <c r="AI11" s="8">
        <f aca="true" t="shared" si="50" ref="AI11:AI18">(AH11*60000)/(0.85*4000*AD11)</f>
        <v>4.096224306590881</v>
      </c>
      <c r="AJ11" s="8">
        <f aca="true" t="shared" si="51" ref="AJ11:AJ18">AI11/AE11</f>
        <v>0.16931888544891646</v>
      </c>
      <c r="AK11" s="8">
        <f aca="true" t="shared" si="52" ref="AK11:AK18">(X11*12000)/(0.9*60000*(AE11-(AI11/2)))</f>
        <v>3.8854324841533607</v>
      </c>
      <c r="AL11" s="8">
        <f aca="true" t="shared" si="53" ref="AL11:AL18">(3*(4000^0.5)*AD11*Z11)/60000</f>
        <v>0.5514589514008277</v>
      </c>
      <c r="AM11" s="8">
        <f aca="true" t="shared" si="54" ref="AM11:AM18">(200*AD11*Z11)/60000</f>
        <v>0.5812887741715725</v>
      </c>
      <c r="AN11" s="8">
        <f aca="true" t="shared" si="55" ref="AN11:AN18">ROUND(MAX(AK11:AM11),2)</f>
        <v>3.89</v>
      </c>
      <c r="AO11" s="8">
        <f aca="true" t="shared" si="56" ref="AO11:AO18">1.875</f>
        <v>1.875</v>
      </c>
      <c r="AP11" s="8">
        <f aca="true" t="shared" si="57" ref="AP11:AP18">(540/(0.6*60))-(2.5*AO11)</f>
        <v>10.3125</v>
      </c>
      <c r="AQ11" s="8">
        <f aca="true" t="shared" si="58" ref="AQ11:AQ18">AN11*(B11*12)</f>
        <v>828.57</v>
      </c>
      <c r="AR11" s="8">
        <f aca="true" t="shared" si="59" ref="AR11:AR18">(Y11-6)*AD11*(12*B11)</f>
        <v>25120.747181149873</v>
      </c>
    </row>
    <row r="12" spans="1:44" ht="12.75">
      <c r="A12" s="12" t="s">
        <v>67</v>
      </c>
      <c r="B12" s="13">
        <v>11.42</v>
      </c>
      <c r="C12" s="13">
        <v>0</v>
      </c>
      <c r="D12" s="14">
        <v>0.6</v>
      </c>
      <c r="E12" s="14">
        <v>61.61</v>
      </c>
      <c r="F12" s="14">
        <f>11.42/2</f>
        <v>5.71</v>
      </c>
      <c r="G12" s="14"/>
      <c r="H12" s="14"/>
      <c r="I12" s="24">
        <f t="shared" si="30"/>
        <v>69.8324</v>
      </c>
      <c r="J12" s="24">
        <f t="shared" si="31"/>
        <v>0.6114921190893171</v>
      </c>
      <c r="K12" s="24">
        <f t="shared" si="32"/>
        <v>1.2229842381786342</v>
      </c>
      <c r="L12" s="24">
        <f t="shared" si="33"/>
        <v>11</v>
      </c>
      <c r="M12" s="24">
        <f t="shared" si="34"/>
        <v>14</v>
      </c>
      <c r="N12" s="24">
        <f t="shared" si="35"/>
        <v>6</v>
      </c>
      <c r="O12" s="24">
        <f t="shared" si="35"/>
        <v>7</v>
      </c>
      <c r="P12" s="24">
        <f t="shared" si="36"/>
        <v>68.75</v>
      </c>
      <c r="Q12" s="24">
        <f t="shared" si="36"/>
        <v>102.08333333333336</v>
      </c>
      <c r="R12" s="9">
        <v>700</v>
      </c>
      <c r="S12" s="14">
        <f t="shared" si="37"/>
        <v>1.2999999999999998</v>
      </c>
      <c r="T12" s="14">
        <f t="shared" si="38"/>
        <v>79.42519999999999</v>
      </c>
      <c r="U12" s="14">
        <f>'[1]Interior Girders 2,3,4'!U10+1</f>
        <v>34.93</v>
      </c>
      <c r="V12" s="14">
        <f>'[1]Interior Girders 2,3,4'!V10+1</f>
        <v>34.93</v>
      </c>
      <c r="W12" s="13">
        <f t="shared" si="39"/>
        <v>34.93</v>
      </c>
      <c r="X12" s="24">
        <f>'[1]Interior Girders 2,3,4'!X10+5</f>
        <v>188.95</v>
      </c>
      <c r="Y12" s="24">
        <f t="shared" si="40"/>
        <v>8.565</v>
      </c>
      <c r="Z12" s="24">
        <f t="shared" si="41"/>
        <v>6.0649999999999995</v>
      </c>
      <c r="AA12" s="24">
        <f t="shared" si="42"/>
        <v>0.15</v>
      </c>
      <c r="AB12" s="24">
        <f t="shared" si="43"/>
        <v>546.9</v>
      </c>
      <c r="AC12" s="24">
        <f t="shared" si="44"/>
        <v>4606.570366307064</v>
      </c>
      <c r="AD12" s="24">
        <f t="shared" si="45"/>
        <v>12.697894968544885</v>
      </c>
      <c r="AE12" s="24">
        <f t="shared" si="46"/>
        <v>19.046842452817327</v>
      </c>
      <c r="AF12" s="24">
        <f t="shared" si="47"/>
        <v>10.481881350060082</v>
      </c>
      <c r="AG12" s="24">
        <f t="shared" si="48"/>
        <v>20.963762700120164</v>
      </c>
      <c r="AH12" s="8">
        <f t="shared" si="49"/>
        <v>2.3205332074776006</v>
      </c>
      <c r="AI12" s="8">
        <f t="shared" si="50"/>
        <v>3.2249901354321353</v>
      </c>
      <c r="AJ12" s="8">
        <f t="shared" si="51"/>
        <v>0.16931888544891643</v>
      </c>
      <c r="AK12" s="8">
        <f t="shared" si="52"/>
        <v>2.4084003812365826</v>
      </c>
      <c r="AL12" s="8">
        <f t="shared" si="53"/>
        <v>0.2435356450645263</v>
      </c>
      <c r="AM12" s="8">
        <f t="shared" si="54"/>
        <v>0.25670910994741575</v>
      </c>
      <c r="AN12" s="8">
        <f t="shared" si="55"/>
        <v>2.41</v>
      </c>
      <c r="AO12" s="8">
        <f t="shared" si="56"/>
        <v>1.875</v>
      </c>
      <c r="AP12" s="8">
        <f t="shared" si="57"/>
        <v>10.3125</v>
      </c>
      <c r="AQ12" s="8">
        <f t="shared" si="58"/>
        <v>330.2664</v>
      </c>
      <c r="AR12" s="8">
        <f t="shared" si="59"/>
        <v>4463.4065854452865</v>
      </c>
    </row>
    <row r="13" spans="1:44" ht="12.75">
      <c r="A13" s="12" t="s">
        <v>66</v>
      </c>
      <c r="B13" s="13">
        <v>18</v>
      </c>
      <c r="C13" s="13">
        <v>0</v>
      </c>
      <c r="D13" s="14">
        <v>0.6</v>
      </c>
      <c r="E13" s="14">
        <v>82.11</v>
      </c>
      <c r="F13" s="14">
        <v>9</v>
      </c>
      <c r="G13" s="14"/>
      <c r="H13" s="14"/>
      <c r="I13" s="24">
        <f t="shared" si="30"/>
        <v>95.07</v>
      </c>
      <c r="J13" s="24">
        <f t="shared" si="31"/>
        <v>0.5281666666666667</v>
      </c>
      <c r="K13" s="24">
        <f t="shared" si="32"/>
        <v>1.0563333333333333</v>
      </c>
      <c r="L13" s="24">
        <f t="shared" si="33"/>
        <v>17</v>
      </c>
      <c r="M13" s="24">
        <f t="shared" si="34"/>
        <v>22</v>
      </c>
      <c r="N13" s="24">
        <f t="shared" si="35"/>
        <v>9</v>
      </c>
      <c r="O13" s="24">
        <f t="shared" si="35"/>
        <v>11</v>
      </c>
      <c r="P13" s="24">
        <f t="shared" si="36"/>
        <v>159.375</v>
      </c>
      <c r="Q13" s="24">
        <f t="shared" si="36"/>
        <v>252.08333333333331</v>
      </c>
      <c r="R13" s="9">
        <v>600</v>
      </c>
      <c r="S13" s="14">
        <f t="shared" si="37"/>
        <v>1.2</v>
      </c>
      <c r="T13" s="14">
        <f t="shared" si="38"/>
        <v>108.03</v>
      </c>
      <c r="U13" s="14">
        <f>'[1]Interior Girders 2,3,4'!U11+1</f>
        <v>47.46</v>
      </c>
      <c r="V13" s="14">
        <f>'[1]Interior Girders 2,3,4'!V11+1</f>
        <v>47.46</v>
      </c>
      <c r="W13" s="13">
        <f t="shared" si="39"/>
        <v>47.46</v>
      </c>
      <c r="X13" s="24">
        <f>'[1]Interior Girders 2,3,4'!X11+5</f>
        <v>398.84</v>
      </c>
      <c r="Y13" s="24">
        <f t="shared" si="40"/>
        <v>13.5</v>
      </c>
      <c r="Z13" s="24">
        <f t="shared" si="41"/>
        <v>11</v>
      </c>
      <c r="AA13" s="24">
        <f t="shared" si="42"/>
        <v>0.15</v>
      </c>
      <c r="AB13" s="24">
        <f t="shared" si="43"/>
        <v>546.9</v>
      </c>
      <c r="AC13" s="24">
        <f t="shared" si="44"/>
        <v>9723.654537697324</v>
      </c>
      <c r="AD13" s="24">
        <f t="shared" si="45"/>
        <v>16.288546584040308</v>
      </c>
      <c r="AE13" s="24">
        <f t="shared" si="46"/>
        <v>24.432819876060464</v>
      </c>
      <c r="AF13" s="24">
        <f t="shared" si="47"/>
        <v>13.445898952683043</v>
      </c>
      <c r="AG13" s="24">
        <f t="shared" si="48"/>
        <v>26.891797905366086</v>
      </c>
      <c r="AH13" s="8">
        <f t="shared" si="49"/>
        <v>3.8184665914948632</v>
      </c>
      <c r="AI13" s="8">
        <f t="shared" si="50"/>
        <v>4.136937829788691</v>
      </c>
      <c r="AJ13" s="8">
        <f t="shared" si="51"/>
        <v>0.16931888544891646</v>
      </c>
      <c r="AK13" s="8">
        <f t="shared" si="52"/>
        <v>3.963053131522209</v>
      </c>
      <c r="AL13" s="8">
        <f t="shared" si="53"/>
        <v>0.5665979767725489</v>
      </c>
      <c r="AM13" s="8">
        <f t="shared" si="54"/>
        <v>0.597246708081478</v>
      </c>
      <c r="AN13" s="8">
        <f t="shared" si="55"/>
        <v>3.96</v>
      </c>
      <c r="AO13" s="8">
        <f t="shared" si="56"/>
        <v>1.875</v>
      </c>
      <c r="AP13" s="8">
        <f t="shared" si="57"/>
        <v>10.3125</v>
      </c>
      <c r="AQ13" s="8">
        <f t="shared" si="58"/>
        <v>855.36</v>
      </c>
      <c r="AR13" s="8">
        <f t="shared" si="59"/>
        <v>26387.4454661453</v>
      </c>
    </row>
    <row r="14" spans="1:44" ht="12.75">
      <c r="A14" s="12" t="s">
        <v>114</v>
      </c>
      <c r="B14" s="13">
        <v>13</v>
      </c>
      <c r="C14" s="13">
        <v>0</v>
      </c>
      <c r="D14" s="14">
        <v>0.6</v>
      </c>
      <c r="E14" s="14">
        <v>29.02</v>
      </c>
      <c r="F14" s="14">
        <v>6.5</v>
      </c>
      <c r="G14" s="14"/>
      <c r="H14" s="14"/>
      <c r="I14" s="24">
        <f t="shared" si="30"/>
        <v>38.379999999999995</v>
      </c>
      <c r="J14" s="24">
        <f t="shared" si="31"/>
        <v>0.2952307692307692</v>
      </c>
      <c r="K14" s="24">
        <f t="shared" si="32"/>
        <v>0.5904615384615384</v>
      </c>
      <c r="L14" s="24">
        <f t="shared" si="33"/>
        <v>12</v>
      </c>
      <c r="M14" s="24">
        <f t="shared" si="34"/>
        <v>16</v>
      </c>
      <c r="N14" s="24">
        <f t="shared" si="35"/>
        <v>6</v>
      </c>
      <c r="O14" s="24">
        <f t="shared" si="35"/>
        <v>8</v>
      </c>
      <c r="P14" s="24">
        <f t="shared" si="36"/>
        <v>75</v>
      </c>
      <c r="Q14" s="24">
        <f t="shared" si="36"/>
        <v>133.33333333333331</v>
      </c>
      <c r="R14" s="9">
        <v>300</v>
      </c>
      <c r="S14" s="14">
        <f t="shared" si="37"/>
        <v>0.8999999999999999</v>
      </c>
      <c r="T14" s="14">
        <f t="shared" si="38"/>
        <v>43.059999999999995</v>
      </c>
      <c r="U14" s="14">
        <f>'[1]Interior Girders 2,3,4'!U12+1</f>
        <v>19.41</v>
      </c>
      <c r="V14" s="14">
        <f>'[1]Interior Girders 2,3,4'!V12+1</f>
        <v>19.41</v>
      </c>
      <c r="W14" s="13">
        <f t="shared" si="39"/>
        <v>19.41</v>
      </c>
      <c r="X14" s="24">
        <f>'[1]Interior Girders 2,3,4'!X12+5</f>
        <v>111.99</v>
      </c>
      <c r="Y14" s="24">
        <f t="shared" si="40"/>
        <v>9.75</v>
      </c>
      <c r="Z14" s="24">
        <f t="shared" si="41"/>
        <v>7.25</v>
      </c>
      <c r="AA14" s="24">
        <f t="shared" si="42"/>
        <v>0.15</v>
      </c>
      <c r="AB14" s="24">
        <f t="shared" si="43"/>
        <v>546.9</v>
      </c>
      <c r="AC14" s="24">
        <f t="shared" si="44"/>
        <v>2730.2980435180107</v>
      </c>
      <c r="AD14" s="24">
        <f t="shared" si="45"/>
        <v>10.666186667008876</v>
      </c>
      <c r="AE14" s="24">
        <f t="shared" si="46"/>
        <v>15.999280000513314</v>
      </c>
      <c r="AF14" s="24">
        <f t="shared" si="47"/>
        <v>8.804743099398287</v>
      </c>
      <c r="AG14" s="24">
        <f t="shared" si="48"/>
        <v>17.609486198796574</v>
      </c>
      <c r="AH14" s="8">
        <f t="shared" si="49"/>
        <v>1.6373543826490753</v>
      </c>
      <c r="AI14" s="8">
        <f t="shared" si="50"/>
        <v>2.7089802576720525</v>
      </c>
      <c r="AJ14" s="8">
        <f t="shared" si="51"/>
        <v>0.16931888544891638</v>
      </c>
      <c r="AK14" s="8">
        <f t="shared" si="52"/>
        <v>1.699352936077079</v>
      </c>
      <c r="AL14" s="8">
        <f t="shared" si="53"/>
        <v>0.24453846766794296</v>
      </c>
      <c r="AM14" s="8">
        <f t="shared" si="54"/>
        <v>0.2577661777860478</v>
      </c>
      <c r="AN14" s="8">
        <f t="shared" si="55"/>
        <v>1.7</v>
      </c>
      <c r="AO14" s="8">
        <f t="shared" si="56"/>
        <v>1.875</v>
      </c>
      <c r="AP14" s="8">
        <f t="shared" si="57"/>
        <v>10.3125</v>
      </c>
      <c r="AQ14" s="8">
        <f t="shared" si="58"/>
        <v>265.2</v>
      </c>
      <c r="AR14" s="8">
        <f t="shared" si="59"/>
        <v>6239.719200200193</v>
      </c>
    </row>
    <row r="15" spans="1:44" ht="12.75">
      <c r="A15" s="12" t="s">
        <v>69</v>
      </c>
      <c r="B15" s="13">
        <v>17.75</v>
      </c>
      <c r="C15" s="13">
        <v>0</v>
      </c>
      <c r="D15" s="14">
        <v>0.6</v>
      </c>
      <c r="E15" s="14">
        <v>81.18</v>
      </c>
      <c r="F15" s="14">
        <v>8.88</v>
      </c>
      <c r="G15" s="14"/>
      <c r="H15" s="14"/>
      <c r="I15" s="24">
        <f t="shared" si="30"/>
        <v>93.96000000000001</v>
      </c>
      <c r="J15" s="24">
        <f t="shared" si="31"/>
        <v>0.5293521126760564</v>
      </c>
      <c r="K15" s="24">
        <f t="shared" si="32"/>
        <v>1.0587042253521128</v>
      </c>
      <c r="L15" s="24">
        <f t="shared" si="33"/>
        <v>17</v>
      </c>
      <c r="M15" s="24">
        <f t="shared" si="34"/>
        <v>21</v>
      </c>
      <c r="N15" s="24">
        <f t="shared" si="35"/>
        <v>9</v>
      </c>
      <c r="O15" s="24">
        <f t="shared" si="35"/>
        <v>11</v>
      </c>
      <c r="P15" s="24">
        <f t="shared" si="36"/>
        <v>159.375</v>
      </c>
      <c r="Q15" s="24">
        <f t="shared" si="36"/>
        <v>240.62499999999997</v>
      </c>
      <c r="R15" s="9">
        <v>600</v>
      </c>
      <c r="S15" s="14">
        <f t="shared" si="37"/>
        <v>1.2</v>
      </c>
      <c r="T15" s="14">
        <f t="shared" si="38"/>
        <v>106.74000000000001</v>
      </c>
      <c r="U15" s="14">
        <f>'[1]Interior Girders 2,3,4'!U13+1</f>
        <v>44.24</v>
      </c>
      <c r="V15" s="14">
        <f>'[1]Interior Girders 2,3,4'!V13+1</f>
        <v>49.59</v>
      </c>
      <c r="W15" s="13">
        <f t="shared" si="39"/>
        <v>49.59</v>
      </c>
      <c r="X15" s="24">
        <f>'[1]Interior Girders 2,3,4'!X13+5</f>
        <v>387.18</v>
      </c>
      <c r="Y15" s="24">
        <f t="shared" si="40"/>
        <v>13.3125</v>
      </c>
      <c r="Z15" s="24">
        <f t="shared" si="41"/>
        <v>10.8125</v>
      </c>
      <c r="AA15" s="24">
        <f t="shared" si="42"/>
        <v>0.15</v>
      </c>
      <c r="AB15" s="24">
        <f t="shared" si="43"/>
        <v>546.9</v>
      </c>
      <c r="AC15" s="24">
        <f t="shared" si="44"/>
        <v>9439.385628085574</v>
      </c>
      <c r="AD15" s="24">
        <f t="shared" si="45"/>
        <v>16.12824344522282</v>
      </c>
      <c r="AE15" s="24">
        <f t="shared" si="46"/>
        <v>24.192365167834232</v>
      </c>
      <c r="AF15" s="24">
        <f t="shared" si="47"/>
        <v>13.313571627146846</v>
      </c>
      <c r="AG15" s="24">
        <f t="shared" si="48"/>
        <v>26.627143254293692</v>
      </c>
      <c r="AH15" s="8">
        <f t="shared" si="49"/>
        <v>3.7436778266330837</v>
      </c>
      <c r="AI15" s="8">
        <f t="shared" si="50"/>
        <v>4.096224306590881</v>
      </c>
      <c r="AJ15" s="8">
        <f t="shared" si="51"/>
        <v>0.16931888544891646</v>
      </c>
      <c r="AK15" s="8">
        <f t="shared" si="52"/>
        <v>3.8854324841533607</v>
      </c>
      <c r="AL15" s="8">
        <f t="shared" si="53"/>
        <v>0.5514589514008277</v>
      </c>
      <c r="AM15" s="8">
        <f t="shared" si="54"/>
        <v>0.5812887741715725</v>
      </c>
      <c r="AN15" s="8">
        <f t="shared" si="55"/>
        <v>3.89</v>
      </c>
      <c r="AO15" s="8">
        <f t="shared" si="56"/>
        <v>1.875</v>
      </c>
      <c r="AP15" s="8">
        <f t="shared" si="57"/>
        <v>10.3125</v>
      </c>
      <c r="AQ15" s="8">
        <f t="shared" si="58"/>
        <v>828.57</v>
      </c>
      <c r="AR15" s="8">
        <f t="shared" si="59"/>
        <v>25120.747181149873</v>
      </c>
    </row>
    <row r="16" spans="1:44" ht="12.75">
      <c r="A16" s="12" t="s">
        <v>115</v>
      </c>
      <c r="B16" s="13">
        <v>11.42</v>
      </c>
      <c r="C16" s="13">
        <v>0</v>
      </c>
      <c r="D16" s="14">
        <v>0.6</v>
      </c>
      <c r="E16" s="14">
        <v>61.61</v>
      </c>
      <c r="F16" s="14">
        <f>11.42/2</f>
        <v>5.71</v>
      </c>
      <c r="G16" s="14"/>
      <c r="H16" s="14"/>
      <c r="I16" s="24">
        <f t="shared" si="30"/>
        <v>69.8324</v>
      </c>
      <c r="J16" s="24">
        <f t="shared" si="31"/>
        <v>0.6114921190893171</v>
      </c>
      <c r="K16" s="24">
        <f t="shared" si="32"/>
        <v>1.2229842381786342</v>
      </c>
      <c r="L16" s="24">
        <f t="shared" si="33"/>
        <v>11</v>
      </c>
      <c r="M16" s="24">
        <f t="shared" si="34"/>
        <v>14</v>
      </c>
      <c r="N16" s="24">
        <f t="shared" si="35"/>
        <v>6</v>
      </c>
      <c r="O16" s="24">
        <f t="shared" si="35"/>
        <v>7</v>
      </c>
      <c r="P16" s="24">
        <f t="shared" si="36"/>
        <v>68.75</v>
      </c>
      <c r="Q16" s="24">
        <f t="shared" si="36"/>
        <v>102.08333333333336</v>
      </c>
      <c r="R16" s="9">
        <v>700</v>
      </c>
      <c r="S16" s="14">
        <f t="shared" si="37"/>
        <v>1.2999999999999998</v>
      </c>
      <c r="T16" s="14">
        <f t="shared" si="38"/>
        <v>79.42519999999999</v>
      </c>
      <c r="U16" s="14">
        <f>'[1]Interior Girders 2,3,4'!U14+1</f>
        <v>34.93</v>
      </c>
      <c r="V16" s="14">
        <f>'[1]Interior Girders 2,3,4'!V14+1</f>
        <v>34.93</v>
      </c>
      <c r="W16" s="13">
        <f t="shared" si="39"/>
        <v>34.93</v>
      </c>
      <c r="X16" s="24">
        <f>'[1]Interior Girders 2,3,4'!X14+5</f>
        <v>188.95</v>
      </c>
      <c r="Y16" s="24">
        <f t="shared" si="40"/>
        <v>8.565</v>
      </c>
      <c r="Z16" s="24">
        <f t="shared" si="41"/>
        <v>6.0649999999999995</v>
      </c>
      <c r="AA16" s="24">
        <f t="shared" si="42"/>
        <v>0.15</v>
      </c>
      <c r="AB16" s="24">
        <f t="shared" si="43"/>
        <v>546.9</v>
      </c>
      <c r="AC16" s="24">
        <f t="shared" si="44"/>
        <v>4606.570366307064</v>
      </c>
      <c r="AD16" s="24">
        <f t="shared" si="45"/>
        <v>12.697894968544885</v>
      </c>
      <c r="AE16" s="24">
        <f t="shared" si="46"/>
        <v>19.046842452817327</v>
      </c>
      <c r="AF16" s="24">
        <f t="shared" si="47"/>
        <v>10.481881350060082</v>
      </c>
      <c r="AG16" s="24">
        <f t="shared" si="48"/>
        <v>20.963762700120164</v>
      </c>
      <c r="AH16" s="8">
        <f t="shared" si="49"/>
        <v>2.3205332074776006</v>
      </c>
      <c r="AI16" s="8">
        <f t="shared" si="50"/>
        <v>3.2249901354321353</v>
      </c>
      <c r="AJ16" s="8">
        <f t="shared" si="51"/>
        <v>0.16931888544891643</v>
      </c>
      <c r="AK16" s="8">
        <f t="shared" si="52"/>
        <v>2.4084003812365826</v>
      </c>
      <c r="AL16" s="8">
        <f t="shared" si="53"/>
        <v>0.2435356450645263</v>
      </c>
      <c r="AM16" s="8">
        <f t="shared" si="54"/>
        <v>0.25670910994741575</v>
      </c>
      <c r="AN16" s="8">
        <f t="shared" si="55"/>
        <v>2.41</v>
      </c>
      <c r="AO16" s="8">
        <f t="shared" si="56"/>
        <v>1.875</v>
      </c>
      <c r="AP16" s="8">
        <f t="shared" si="57"/>
        <v>10.3125</v>
      </c>
      <c r="AQ16" s="8">
        <f t="shared" si="58"/>
        <v>330.2664</v>
      </c>
      <c r="AR16" s="8">
        <f t="shared" si="59"/>
        <v>4463.4065854452865</v>
      </c>
    </row>
    <row r="17" spans="1:44" ht="12.75">
      <c r="A17" s="12" t="s">
        <v>71</v>
      </c>
      <c r="B17" s="13">
        <v>18</v>
      </c>
      <c r="C17" s="13">
        <v>0</v>
      </c>
      <c r="D17" s="14">
        <v>0.6</v>
      </c>
      <c r="E17" s="14">
        <v>82.11</v>
      </c>
      <c r="F17" s="14">
        <v>9</v>
      </c>
      <c r="G17" s="14"/>
      <c r="H17" s="14"/>
      <c r="I17" s="24">
        <f t="shared" si="30"/>
        <v>95.07</v>
      </c>
      <c r="J17" s="24">
        <f t="shared" si="31"/>
        <v>0.5281666666666667</v>
      </c>
      <c r="K17" s="24">
        <f t="shared" si="32"/>
        <v>1.0563333333333333</v>
      </c>
      <c r="L17" s="24">
        <f t="shared" si="33"/>
        <v>17</v>
      </c>
      <c r="M17" s="24">
        <f t="shared" si="34"/>
        <v>22</v>
      </c>
      <c r="N17" s="24">
        <f t="shared" si="35"/>
        <v>9</v>
      </c>
      <c r="O17" s="24">
        <f t="shared" si="35"/>
        <v>11</v>
      </c>
      <c r="P17" s="24">
        <f t="shared" si="36"/>
        <v>159.375</v>
      </c>
      <c r="Q17" s="24">
        <f t="shared" si="36"/>
        <v>252.08333333333331</v>
      </c>
      <c r="R17" s="9">
        <v>600</v>
      </c>
      <c r="S17" s="14">
        <f t="shared" si="37"/>
        <v>1.2</v>
      </c>
      <c r="T17" s="14">
        <f t="shared" si="38"/>
        <v>108.03</v>
      </c>
      <c r="U17" s="14">
        <f>'[1]Interior Girders 2,3,4'!U15+1</f>
        <v>47.46</v>
      </c>
      <c r="V17" s="14">
        <f>'[1]Interior Girders 2,3,4'!V15+1</f>
        <v>47.46</v>
      </c>
      <c r="W17" s="13">
        <f t="shared" si="39"/>
        <v>47.46</v>
      </c>
      <c r="X17" s="24">
        <f>'[1]Interior Girders 2,3,4'!X15+5</f>
        <v>398.84</v>
      </c>
      <c r="Y17" s="24">
        <f t="shared" si="40"/>
        <v>13.5</v>
      </c>
      <c r="Z17" s="24">
        <f t="shared" si="41"/>
        <v>11</v>
      </c>
      <c r="AA17" s="24">
        <f t="shared" si="42"/>
        <v>0.15</v>
      </c>
      <c r="AB17" s="24">
        <f t="shared" si="43"/>
        <v>546.9</v>
      </c>
      <c r="AC17" s="24">
        <f t="shared" si="44"/>
        <v>9723.654537697324</v>
      </c>
      <c r="AD17" s="24">
        <f t="shared" si="45"/>
        <v>16.288546584040308</v>
      </c>
      <c r="AE17" s="24">
        <f t="shared" si="46"/>
        <v>24.432819876060464</v>
      </c>
      <c r="AF17" s="24">
        <f t="shared" si="47"/>
        <v>13.445898952683043</v>
      </c>
      <c r="AG17" s="24">
        <f t="shared" si="48"/>
        <v>26.891797905366086</v>
      </c>
      <c r="AH17" s="8">
        <f t="shared" si="49"/>
        <v>3.8184665914948632</v>
      </c>
      <c r="AI17" s="8">
        <f t="shared" si="50"/>
        <v>4.136937829788691</v>
      </c>
      <c r="AJ17" s="8">
        <f t="shared" si="51"/>
        <v>0.16931888544891646</v>
      </c>
      <c r="AK17" s="8">
        <f t="shared" si="52"/>
        <v>3.963053131522209</v>
      </c>
      <c r="AL17" s="8">
        <f t="shared" si="53"/>
        <v>0.5665979767725489</v>
      </c>
      <c r="AM17" s="8">
        <f t="shared" si="54"/>
        <v>0.597246708081478</v>
      </c>
      <c r="AN17" s="8">
        <f t="shared" si="55"/>
        <v>3.96</v>
      </c>
      <c r="AO17" s="8">
        <f t="shared" si="56"/>
        <v>1.875</v>
      </c>
      <c r="AP17" s="8">
        <f t="shared" si="57"/>
        <v>10.3125</v>
      </c>
      <c r="AQ17" s="8">
        <f t="shared" si="58"/>
        <v>855.36</v>
      </c>
      <c r="AR17" s="8">
        <f t="shared" si="59"/>
        <v>26387.4454661453</v>
      </c>
    </row>
    <row r="18" spans="1:44" ht="12.75">
      <c r="A18" s="12" t="s">
        <v>116</v>
      </c>
      <c r="B18" s="13">
        <v>13</v>
      </c>
      <c r="C18" s="13">
        <v>0</v>
      </c>
      <c r="D18" s="14">
        <v>0.6</v>
      </c>
      <c r="E18" s="14">
        <v>29.02</v>
      </c>
      <c r="F18" s="14">
        <v>6.5</v>
      </c>
      <c r="G18" s="14"/>
      <c r="H18" s="14"/>
      <c r="I18" s="24">
        <f t="shared" si="30"/>
        <v>38.379999999999995</v>
      </c>
      <c r="J18" s="24">
        <f t="shared" si="31"/>
        <v>0.2952307692307692</v>
      </c>
      <c r="K18" s="24">
        <f t="shared" si="32"/>
        <v>0.5904615384615384</v>
      </c>
      <c r="L18" s="24">
        <f t="shared" si="33"/>
        <v>12</v>
      </c>
      <c r="M18" s="24">
        <f t="shared" si="34"/>
        <v>16</v>
      </c>
      <c r="N18" s="24">
        <f t="shared" si="35"/>
        <v>6</v>
      </c>
      <c r="O18" s="24">
        <f t="shared" si="35"/>
        <v>8</v>
      </c>
      <c r="P18" s="24">
        <f t="shared" si="36"/>
        <v>75</v>
      </c>
      <c r="Q18" s="24">
        <f t="shared" si="36"/>
        <v>133.33333333333331</v>
      </c>
      <c r="R18" s="9">
        <v>300</v>
      </c>
      <c r="S18" s="14">
        <f t="shared" si="37"/>
        <v>0.8999999999999999</v>
      </c>
      <c r="T18" s="14">
        <f t="shared" si="38"/>
        <v>43.059999999999995</v>
      </c>
      <c r="U18" s="14">
        <f>'[1]Interior Girders 2,3,4'!U16+1</f>
        <v>19.41</v>
      </c>
      <c r="V18" s="14">
        <f>'[1]Interior Girders 2,3,4'!V16+1</f>
        <v>19.41</v>
      </c>
      <c r="W18" s="13">
        <f t="shared" si="39"/>
        <v>19.41</v>
      </c>
      <c r="X18" s="24">
        <f>'[1]Interior Girders 2,3,4'!X16+5</f>
        <v>111.99</v>
      </c>
      <c r="Y18" s="24">
        <f t="shared" si="40"/>
        <v>9.75</v>
      </c>
      <c r="Z18" s="24">
        <f t="shared" si="41"/>
        <v>7.25</v>
      </c>
      <c r="AA18" s="24">
        <f t="shared" si="42"/>
        <v>0.15</v>
      </c>
      <c r="AB18" s="24">
        <f t="shared" si="43"/>
        <v>546.9</v>
      </c>
      <c r="AC18" s="24">
        <f t="shared" si="44"/>
        <v>2730.2980435180107</v>
      </c>
      <c r="AD18" s="24">
        <f t="shared" si="45"/>
        <v>10.666186667008876</v>
      </c>
      <c r="AE18" s="24">
        <f t="shared" si="46"/>
        <v>15.999280000513314</v>
      </c>
      <c r="AF18" s="24">
        <f t="shared" si="47"/>
        <v>8.804743099398287</v>
      </c>
      <c r="AG18" s="24">
        <f t="shared" si="48"/>
        <v>17.609486198796574</v>
      </c>
      <c r="AH18" s="8">
        <f t="shared" si="49"/>
        <v>1.6373543826490753</v>
      </c>
      <c r="AI18" s="8">
        <f t="shared" si="50"/>
        <v>2.7089802576720525</v>
      </c>
      <c r="AJ18" s="8">
        <f t="shared" si="51"/>
        <v>0.16931888544891638</v>
      </c>
      <c r="AK18" s="8">
        <f t="shared" si="52"/>
        <v>1.699352936077079</v>
      </c>
      <c r="AL18" s="8">
        <f t="shared" si="53"/>
        <v>0.24453846766794296</v>
      </c>
      <c r="AM18" s="8">
        <f t="shared" si="54"/>
        <v>0.2577661777860478</v>
      </c>
      <c r="AN18" s="8">
        <f t="shared" si="55"/>
        <v>1.7</v>
      </c>
      <c r="AO18" s="8">
        <f t="shared" si="56"/>
        <v>1.875</v>
      </c>
      <c r="AP18" s="8">
        <f t="shared" si="57"/>
        <v>10.3125</v>
      </c>
      <c r="AQ18" s="8">
        <f t="shared" si="58"/>
        <v>265.2</v>
      </c>
      <c r="AR18" s="8">
        <f t="shared" si="59"/>
        <v>6239.719200200193</v>
      </c>
    </row>
    <row r="19" spans="4:44" ht="12.75">
      <c r="D19" s="14"/>
      <c r="E19" s="14"/>
      <c r="F19" s="14"/>
      <c r="G19" s="14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9"/>
      <c r="S19" s="14"/>
      <c r="T19" s="14"/>
      <c r="U19" s="14"/>
      <c r="V19" s="1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2.75">
      <c r="A20" s="12" t="s">
        <v>112</v>
      </c>
      <c r="B20" s="13">
        <v>14.16</v>
      </c>
      <c r="C20" s="13">
        <v>0</v>
      </c>
      <c r="D20" s="14">
        <v>0.6</v>
      </c>
      <c r="E20" s="14">
        <v>30.86</v>
      </c>
      <c r="F20" s="14">
        <v>7.08</v>
      </c>
      <c r="G20" s="14"/>
      <c r="H20" s="14"/>
      <c r="I20" s="24">
        <f aca="true" t="shared" si="60" ref="I20:I27">(1.2*D20*B20)+E20+G20</f>
        <v>41.0552</v>
      </c>
      <c r="J20" s="24">
        <f aca="true" t="shared" si="61" ref="J20:J27">(0.1*I20)/B20</f>
        <v>0.28993785310734466</v>
      </c>
      <c r="K20" s="24">
        <f aca="true" t="shared" si="62" ref="K20:K27">(0.2*I20)/B20</f>
        <v>0.5798757062146893</v>
      </c>
      <c r="L20" s="24">
        <f aca="true" t="shared" si="63" ref="L20:L27">ROUND(((0.08*B20)*12),0)</f>
        <v>14</v>
      </c>
      <c r="M20" s="24">
        <f aca="true" t="shared" si="64" ref="M20:M27">ROUND(((0.1*B20)*12),0)</f>
        <v>17</v>
      </c>
      <c r="N20" s="24">
        <f aca="true" t="shared" si="65" ref="N20:O27">ROUND((0.5*L20),0)</f>
        <v>7</v>
      </c>
      <c r="O20" s="24">
        <f t="shared" si="65"/>
        <v>9</v>
      </c>
      <c r="P20" s="24">
        <f aca="true" t="shared" si="66" ref="P20:Q27">(N20/12)*(L20/12)*150</f>
        <v>102.08333333333336</v>
      </c>
      <c r="Q20" s="24">
        <f t="shared" si="66"/>
        <v>159.375</v>
      </c>
      <c r="R20" s="9">
        <v>300</v>
      </c>
      <c r="S20" s="14">
        <f aca="true" t="shared" si="67" ref="S20:S27">D20+(R20/1000)</f>
        <v>0.8999999999999999</v>
      </c>
      <c r="T20" s="14">
        <f aca="true" t="shared" si="68" ref="T20:T27">(1.2*S20*B20)+E20+G20</f>
        <v>46.1528</v>
      </c>
      <c r="U20" s="14">
        <f>'[1]Interior Girders 2,3,4'!U18+1</f>
        <v>24.0764</v>
      </c>
      <c r="V20" s="14">
        <f>'[1]Interior Girders 2,3,4'!V18+1</f>
        <v>24.0764</v>
      </c>
      <c r="W20" s="13">
        <f aca="true" t="shared" si="69" ref="W20:W27">MAX(U20:V20)</f>
        <v>24.0764</v>
      </c>
      <c r="X20" s="24">
        <f>'[1]Interior Girders 2,3,4'!X18+5</f>
        <v>182.400728</v>
      </c>
      <c r="Y20" s="24">
        <f aca="true" t="shared" si="70" ref="Y20:Y27">(B20/16)*12</f>
        <v>10.620000000000001</v>
      </c>
      <c r="Z20" s="24">
        <f aca="true" t="shared" si="71" ref="Z20:Z27">Y20-2.5</f>
        <v>8.120000000000001</v>
      </c>
      <c r="AA20" s="24">
        <f aca="true" t="shared" si="72" ref="AA20:AA27">(60000/4000)*0.01</f>
        <v>0.15</v>
      </c>
      <c r="AB20" s="24">
        <f aca="true" t="shared" si="73" ref="AB20:AB27">4000*AA20*(1-(0.59*AA20))</f>
        <v>546.9</v>
      </c>
      <c r="AC20" s="24">
        <f aca="true" t="shared" si="74" ref="AC20:AC27">(12000*X20)/(AB20*0.9)</f>
        <v>4446.900176753825</v>
      </c>
      <c r="AD20" s="24">
        <f aca="true" t="shared" si="75" ref="AD20:AD27">(AC20/2.25)^(1/3)</f>
        <v>12.549457558830678</v>
      </c>
      <c r="AE20" s="24">
        <f aca="true" t="shared" si="76" ref="AE20:AE27">AD20*(1.5)</f>
        <v>18.824186338246015</v>
      </c>
      <c r="AF20" s="24">
        <f aca="true" t="shared" si="77" ref="AF20:AF27">(AC20/4)^(1/3)</f>
        <v>10.359348968087415</v>
      </c>
      <c r="AG20" s="24">
        <f aca="true" t="shared" si="78" ref="AG20:AG27">AF20*2</f>
        <v>20.71869793617483</v>
      </c>
      <c r="AH20" s="8">
        <f aca="true" t="shared" si="79" ref="AH20:AH27">(X20*12000)/(0.9*60000*0.95*AE20)</f>
        <v>2.2665966109980564</v>
      </c>
      <c r="AI20" s="8">
        <f aca="true" t="shared" si="80" ref="AI20:AI27">(AH20*60000)/(0.85*4000*AD20)</f>
        <v>3.187290250274537</v>
      </c>
      <c r="AJ20" s="8">
        <f aca="true" t="shared" si="81" ref="AJ20:AJ27">AI20/AE20</f>
        <v>0.16931888544891655</v>
      </c>
      <c r="AK20" s="8">
        <f aca="true" t="shared" si="82" ref="AK20:AK27">(X20*12000)/(0.9*60000*(AE20-(AI20/2)))</f>
        <v>2.3524214712578972</v>
      </c>
      <c r="AL20" s="8">
        <f aca="true" t="shared" si="83" ref="AL20:AL27">(3*(4000^0.5)*AD20*Z20)/60000</f>
        <v>0.32224113859843423</v>
      </c>
      <c r="AM20" s="8">
        <f aca="true" t="shared" si="84" ref="AM20:AM27">(200*AD20*Z20)/60000</f>
        <v>0.3396719845923504</v>
      </c>
      <c r="AN20" s="8">
        <f aca="true" t="shared" si="85" ref="AN20:AN27">ROUND(MAX(AK20:AM20),2)</f>
        <v>2.35</v>
      </c>
      <c r="AO20" s="8">
        <f aca="true" t="shared" si="86" ref="AO20:AO27">1.875</f>
        <v>1.875</v>
      </c>
      <c r="AP20" s="8">
        <f aca="true" t="shared" si="87" ref="AP20:AP27">(540/(0.6*60))-(2.5*AO20)</f>
        <v>10.3125</v>
      </c>
      <c r="AQ20" s="8">
        <f aca="true" t="shared" si="88" ref="AQ20:AQ27">AN20*(B20*12)</f>
        <v>399.31200000000007</v>
      </c>
      <c r="AR20" s="8">
        <f aca="true" t="shared" si="89" ref="AR20:AR27">(Y20-6)*AD20*(12*B20)</f>
        <v>9851.705687191874</v>
      </c>
    </row>
    <row r="21" spans="1:44" ht="13.5" customHeight="1">
      <c r="A21" s="12" t="s">
        <v>113</v>
      </c>
      <c r="B21" s="13">
        <v>14.16</v>
      </c>
      <c r="C21" s="13">
        <v>0</v>
      </c>
      <c r="D21" s="13">
        <v>0.6</v>
      </c>
      <c r="E21" s="14">
        <v>30.86</v>
      </c>
      <c r="F21" s="14">
        <v>7.08</v>
      </c>
      <c r="G21" s="14"/>
      <c r="H21" s="14"/>
      <c r="I21" s="24">
        <f t="shared" si="60"/>
        <v>41.0552</v>
      </c>
      <c r="J21" s="24">
        <f t="shared" si="61"/>
        <v>0.28993785310734466</v>
      </c>
      <c r="K21" s="24">
        <f t="shared" si="62"/>
        <v>0.5798757062146893</v>
      </c>
      <c r="L21" s="24">
        <f t="shared" si="63"/>
        <v>14</v>
      </c>
      <c r="M21" s="24">
        <f t="shared" si="64"/>
        <v>17</v>
      </c>
      <c r="N21" s="24">
        <f t="shared" si="65"/>
        <v>7</v>
      </c>
      <c r="O21" s="24">
        <f t="shared" si="65"/>
        <v>9</v>
      </c>
      <c r="P21" s="24">
        <f t="shared" si="66"/>
        <v>102.08333333333336</v>
      </c>
      <c r="Q21" s="24">
        <f t="shared" si="66"/>
        <v>159.375</v>
      </c>
      <c r="R21" s="9">
        <v>300</v>
      </c>
      <c r="S21" s="14">
        <f t="shared" si="67"/>
        <v>0.8999999999999999</v>
      </c>
      <c r="T21" s="14">
        <f t="shared" si="68"/>
        <v>46.1528</v>
      </c>
      <c r="U21" s="14">
        <f>'[1]Interior Girders 2,3,4'!U19+1</f>
        <v>24.0764</v>
      </c>
      <c r="V21" s="14">
        <f>'[1]Interior Girders 2,3,4'!V19+1</f>
        <v>24.0764</v>
      </c>
      <c r="W21" s="13">
        <f t="shared" si="69"/>
        <v>24.0764</v>
      </c>
      <c r="X21" s="24">
        <f>'[1]Interior Girders 2,3,4'!X19+5</f>
        <v>182.400728</v>
      </c>
      <c r="Y21" s="24">
        <f t="shared" si="70"/>
        <v>10.620000000000001</v>
      </c>
      <c r="Z21" s="24">
        <f t="shared" si="71"/>
        <v>8.120000000000001</v>
      </c>
      <c r="AA21" s="24">
        <f t="shared" si="72"/>
        <v>0.15</v>
      </c>
      <c r="AB21" s="24">
        <f t="shared" si="73"/>
        <v>546.9</v>
      </c>
      <c r="AC21" s="24">
        <f t="shared" si="74"/>
        <v>4446.900176753825</v>
      </c>
      <c r="AD21" s="24">
        <f t="shared" si="75"/>
        <v>12.549457558830678</v>
      </c>
      <c r="AE21" s="24">
        <f t="shared" si="76"/>
        <v>18.824186338246015</v>
      </c>
      <c r="AF21" s="24">
        <f t="shared" si="77"/>
        <v>10.359348968087415</v>
      </c>
      <c r="AG21" s="24">
        <f t="shared" si="78"/>
        <v>20.71869793617483</v>
      </c>
      <c r="AH21" s="8">
        <f t="shared" si="79"/>
        <v>2.2665966109980564</v>
      </c>
      <c r="AI21" s="8">
        <f t="shared" si="80"/>
        <v>3.187290250274537</v>
      </c>
      <c r="AJ21" s="8">
        <f t="shared" si="81"/>
        <v>0.16931888544891655</v>
      </c>
      <c r="AK21" s="8">
        <f t="shared" si="82"/>
        <v>2.3524214712578972</v>
      </c>
      <c r="AL21" s="8">
        <f t="shared" si="83"/>
        <v>0.32224113859843423</v>
      </c>
      <c r="AM21" s="8">
        <f t="shared" si="84"/>
        <v>0.3396719845923504</v>
      </c>
      <c r="AN21" s="8">
        <f t="shared" si="85"/>
        <v>2.35</v>
      </c>
      <c r="AO21" s="8">
        <f t="shared" si="86"/>
        <v>1.875</v>
      </c>
      <c r="AP21" s="8">
        <f t="shared" si="87"/>
        <v>10.3125</v>
      </c>
      <c r="AQ21" s="8">
        <f t="shared" si="88"/>
        <v>399.31200000000007</v>
      </c>
      <c r="AR21" s="8">
        <f t="shared" si="89"/>
        <v>9851.705687191874</v>
      </c>
    </row>
    <row r="22" spans="1:44" ht="12.75">
      <c r="A22" s="12" t="s">
        <v>57</v>
      </c>
      <c r="B22" s="13">
        <v>12.92</v>
      </c>
      <c r="C22" s="13">
        <v>0</v>
      </c>
      <c r="D22" s="14">
        <v>0.6</v>
      </c>
      <c r="E22" s="14">
        <v>65.34</v>
      </c>
      <c r="F22" s="14">
        <v>6.46</v>
      </c>
      <c r="G22" s="14"/>
      <c r="H22" s="14"/>
      <c r="I22" s="24">
        <f t="shared" si="60"/>
        <v>74.64240000000001</v>
      </c>
      <c r="J22" s="24">
        <f t="shared" si="61"/>
        <v>0.5777275541795667</v>
      </c>
      <c r="K22" s="24">
        <f t="shared" si="62"/>
        <v>1.1554551083591333</v>
      </c>
      <c r="L22" s="24">
        <f t="shared" si="63"/>
        <v>12</v>
      </c>
      <c r="M22" s="24">
        <f t="shared" si="64"/>
        <v>16</v>
      </c>
      <c r="N22" s="24">
        <f t="shared" si="65"/>
        <v>6</v>
      </c>
      <c r="O22" s="24">
        <f t="shared" si="65"/>
        <v>8</v>
      </c>
      <c r="P22" s="24">
        <f t="shared" si="66"/>
        <v>75</v>
      </c>
      <c r="Q22" s="24">
        <f t="shared" si="66"/>
        <v>133.33333333333331</v>
      </c>
      <c r="R22" s="9">
        <v>600</v>
      </c>
      <c r="S22" s="14">
        <f t="shared" si="67"/>
        <v>1.2</v>
      </c>
      <c r="T22" s="14">
        <f t="shared" si="68"/>
        <v>83.9448</v>
      </c>
      <c r="U22" s="14">
        <f>'[1]Interior Girders 2,3,4'!U20+1</f>
        <v>22.97</v>
      </c>
      <c r="V22" s="14">
        <f>'[1]Interior Girders 2,3,4'!V20+1</f>
        <v>52.12</v>
      </c>
      <c r="W22" s="13">
        <f t="shared" si="69"/>
        <v>52.12</v>
      </c>
      <c r="X22" s="24">
        <f>'[1]Interior Girders 2,3,4'!X20+5</f>
        <v>134.39</v>
      </c>
      <c r="Y22" s="24">
        <f t="shared" si="70"/>
        <v>9.69</v>
      </c>
      <c r="Z22" s="24">
        <f t="shared" si="71"/>
        <v>7.1899999999999995</v>
      </c>
      <c r="AA22" s="24">
        <f t="shared" si="72"/>
        <v>0.15</v>
      </c>
      <c r="AB22" s="24">
        <f t="shared" si="73"/>
        <v>546.9</v>
      </c>
      <c r="AC22" s="24">
        <f t="shared" si="74"/>
        <v>3276.4064118973606</v>
      </c>
      <c r="AD22" s="24">
        <f t="shared" si="75"/>
        <v>11.334570889730683</v>
      </c>
      <c r="AE22" s="24">
        <f t="shared" si="76"/>
        <v>17.001856334596024</v>
      </c>
      <c r="AF22" s="24">
        <f t="shared" si="77"/>
        <v>9.356482118832393</v>
      </c>
      <c r="AG22" s="24">
        <f t="shared" si="78"/>
        <v>18.712964237664785</v>
      </c>
      <c r="AH22" s="8">
        <f t="shared" si="79"/>
        <v>1.848989703905086</v>
      </c>
      <c r="AI22" s="8">
        <f t="shared" si="80"/>
        <v>2.8787353651364014</v>
      </c>
      <c r="AJ22" s="8">
        <f t="shared" si="81"/>
        <v>0.1693188854489166</v>
      </c>
      <c r="AK22" s="8">
        <f t="shared" si="82"/>
        <v>1.9190018455404974</v>
      </c>
      <c r="AL22" s="8">
        <f t="shared" si="83"/>
        <v>0.2577116036446473</v>
      </c>
      <c r="AM22" s="8">
        <f t="shared" si="84"/>
        <v>0.27165188232387866</v>
      </c>
      <c r="AN22" s="8">
        <f t="shared" si="85"/>
        <v>1.92</v>
      </c>
      <c r="AO22" s="8">
        <f t="shared" si="86"/>
        <v>1.875</v>
      </c>
      <c r="AP22" s="8">
        <f t="shared" si="87"/>
        <v>10.3125</v>
      </c>
      <c r="AQ22" s="8">
        <f t="shared" si="88"/>
        <v>297.67679999999996</v>
      </c>
      <c r="AR22" s="8">
        <f t="shared" si="89"/>
        <v>6484.4808030447875</v>
      </c>
    </row>
    <row r="23" spans="1:44" ht="12.75">
      <c r="A23" s="12" t="s">
        <v>100</v>
      </c>
      <c r="B23" s="13">
        <v>23.13</v>
      </c>
      <c r="C23" s="13">
        <v>0</v>
      </c>
      <c r="D23" s="14">
        <v>0.6</v>
      </c>
      <c r="E23" s="14">
        <v>134.66</v>
      </c>
      <c r="F23" s="14">
        <v>11.57</v>
      </c>
      <c r="G23" s="14"/>
      <c r="H23" s="14"/>
      <c r="I23" s="24">
        <f t="shared" si="60"/>
        <v>151.3136</v>
      </c>
      <c r="J23" s="24">
        <f t="shared" si="61"/>
        <v>0.6541876351059231</v>
      </c>
      <c r="K23" s="24">
        <f t="shared" si="62"/>
        <v>1.3083752702118463</v>
      </c>
      <c r="L23" s="24">
        <f t="shared" si="63"/>
        <v>22</v>
      </c>
      <c r="M23" s="24">
        <f t="shared" si="64"/>
        <v>28</v>
      </c>
      <c r="N23" s="24">
        <f t="shared" si="65"/>
        <v>11</v>
      </c>
      <c r="O23" s="24">
        <f t="shared" si="65"/>
        <v>14</v>
      </c>
      <c r="P23" s="24">
        <f t="shared" si="66"/>
        <v>252.08333333333331</v>
      </c>
      <c r="Q23" s="24">
        <f t="shared" si="66"/>
        <v>408.3333333333334</v>
      </c>
      <c r="R23" s="9">
        <v>700</v>
      </c>
      <c r="S23" s="14">
        <f t="shared" si="67"/>
        <v>1.2999999999999998</v>
      </c>
      <c r="T23" s="14">
        <f t="shared" si="68"/>
        <v>170.7428</v>
      </c>
      <c r="U23" s="14">
        <f>'[1]Interior Girders 2,3,4'!U21+1</f>
        <v>70.75</v>
      </c>
      <c r="V23" s="14">
        <f>'[1]Interior Girders 2,3,4'!V21+1</f>
        <v>79.79</v>
      </c>
      <c r="W23" s="13">
        <f t="shared" si="69"/>
        <v>79.79</v>
      </c>
      <c r="X23" s="24">
        <f>'[1]Interior Girders 2,3,4'!X21+5</f>
        <v>517.43</v>
      </c>
      <c r="Y23" s="24">
        <f t="shared" si="70"/>
        <v>17.3475</v>
      </c>
      <c r="Z23" s="24">
        <f t="shared" si="71"/>
        <v>14.8475</v>
      </c>
      <c r="AA23" s="24">
        <f t="shared" si="72"/>
        <v>0.15</v>
      </c>
      <c r="AB23" s="24">
        <f t="shared" si="73"/>
        <v>546.9</v>
      </c>
      <c r="AC23" s="24">
        <f t="shared" si="74"/>
        <v>12614.85951118425</v>
      </c>
      <c r="AD23" s="24">
        <f t="shared" si="75"/>
        <v>17.765058149261485</v>
      </c>
      <c r="AE23" s="24">
        <f t="shared" si="76"/>
        <v>26.647587223892227</v>
      </c>
      <c r="AF23" s="24">
        <f t="shared" si="77"/>
        <v>14.66473239531101</v>
      </c>
      <c r="AG23" s="24">
        <f t="shared" si="78"/>
        <v>29.32946479062202</v>
      </c>
      <c r="AH23" s="8">
        <f t="shared" si="79"/>
        <v>4.5421094335107535</v>
      </c>
      <c r="AI23" s="8">
        <f t="shared" si="80"/>
        <v>4.511939768652221</v>
      </c>
      <c r="AJ23" s="8">
        <f t="shared" si="81"/>
        <v>0.16931888544891657</v>
      </c>
      <c r="AK23" s="8">
        <f t="shared" si="82"/>
        <v>4.714096767085876</v>
      </c>
      <c r="AL23" s="8">
        <f t="shared" si="83"/>
        <v>0.8341035456611843</v>
      </c>
      <c r="AM23" s="8">
        <f t="shared" si="84"/>
        <v>0.8792223362371997</v>
      </c>
      <c r="AN23" s="8">
        <f t="shared" si="85"/>
        <v>4.71</v>
      </c>
      <c r="AO23" s="8">
        <f t="shared" si="86"/>
        <v>1.875</v>
      </c>
      <c r="AP23" s="8">
        <f t="shared" si="87"/>
        <v>10.3125</v>
      </c>
      <c r="AQ23" s="8">
        <f t="shared" si="88"/>
        <v>1307.3076</v>
      </c>
      <c r="AR23" s="8">
        <f t="shared" si="89"/>
        <v>55953.04210411758</v>
      </c>
    </row>
    <row r="24" spans="1:44" ht="12.75">
      <c r="A24" s="23" t="s">
        <v>137</v>
      </c>
      <c r="B24" s="13">
        <v>23.13</v>
      </c>
      <c r="C24" s="13">
        <v>0</v>
      </c>
      <c r="D24" s="14">
        <v>0.6</v>
      </c>
      <c r="E24" s="14">
        <v>134.66</v>
      </c>
      <c r="F24" s="14">
        <v>11.57</v>
      </c>
      <c r="G24" s="14"/>
      <c r="H24" s="14"/>
      <c r="I24" s="24">
        <f t="shared" si="60"/>
        <v>151.3136</v>
      </c>
      <c r="J24" s="24">
        <f t="shared" si="61"/>
        <v>0.6541876351059231</v>
      </c>
      <c r="K24" s="24">
        <f t="shared" si="62"/>
        <v>1.3083752702118463</v>
      </c>
      <c r="L24" s="24">
        <f t="shared" si="63"/>
        <v>22</v>
      </c>
      <c r="M24" s="24">
        <f t="shared" si="64"/>
        <v>28</v>
      </c>
      <c r="N24" s="24">
        <f t="shared" si="65"/>
        <v>11</v>
      </c>
      <c r="O24" s="24">
        <f t="shared" si="65"/>
        <v>14</v>
      </c>
      <c r="P24" s="24">
        <f t="shared" si="66"/>
        <v>252.08333333333331</v>
      </c>
      <c r="Q24" s="24">
        <f t="shared" si="66"/>
        <v>408.3333333333334</v>
      </c>
      <c r="R24" s="9">
        <v>700</v>
      </c>
      <c r="S24" s="14">
        <f t="shared" si="67"/>
        <v>1.2999999999999998</v>
      </c>
      <c r="T24" s="14">
        <f t="shared" si="68"/>
        <v>170.7428</v>
      </c>
      <c r="U24" s="14">
        <f>'[1]Interior Girders 2,3,4'!U24+1</f>
        <v>1</v>
      </c>
      <c r="V24" s="14">
        <f>'[1]Interior Girders 2,3,4'!V24+1</f>
        <v>1</v>
      </c>
      <c r="W24" s="13">
        <f t="shared" si="69"/>
        <v>1</v>
      </c>
      <c r="X24" s="24">
        <v>611</v>
      </c>
      <c r="Y24" s="24">
        <f t="shared" si="70"/>
        <v>17.3475</v>
      </c>
      <c r="Z24" s="24">
        <f t="shared" si="71"/>
        <v>14.8475</v>
      </c>
      <c r="AA24" s="24">
        <f t="shared" si="72"/>
        <v>0.15</v>
      </c>
      <c r="AB24" s="24">
        <f t="shared" si="73"/>
        <v>546.9</v>
      </c>
      <c r="AC24" s="24">
        <f t="shared" si="74"/>
        <v>14896.080941061742</v>
      </c>
      <c r="AD24" s="24">
        <f t="shared" si="75"/>
        <v>18.777156896250776</v>
      </c>
      <c r="AE24" s="24">
        <f t="shared" si="76"/>
        <v>28.165735344376166</v>
      </c>
      <c r="AF24" s="24">
        <f t="shared" si="77"/>
        <v>15.500201503125023</v>
      </c>
      <c r="AG24" s="24">
        <f t="shared" si="78"/>
        <v>31.000403006250046</v>
      </c>
      <c r="AH24" s="8">
        <f t="shared" si="79"/>
        <v>5.074391804818426</v>
      </c>
      <c r="AI24" s="8">
        <f t="shared" si="80"/>
        <v>4.768990916358928</v>
      </c>
      <c r="AJ24" s="8">
        <f t="shared" si="81"/>
        <v>0.16931888544891655</v>
      </c>
      <c r="AK24" s="8">
        <f t="shared" si="82"/>
        <v>5.266534052556305</v>
      </c>
      <c r="AL24" s="8">
        <f t="shared" si="83"/>
        <v>0.8816235225917469</v>
      </c>
      <c r="AM24" s="8">
        <f t="shared" si="84"/>
        <v>0.9293127900569447</v>
      </c>
      <c r="AN24" s="8">
        <f t="shared" si="85"/>
        <v>5.27</v>
      </c>
      <c r="AO24" s="8">
        <f t="shared" si="86"/>
        <v>1.875</v>
      </c>
      <c r="AP24" s="8">
        <f t="shared" si="87"/>
        <v>10.3125</v>
      </c>
      <c r="AQ24" s="8">
        <f t="shared" si="88"/>
        <v>1462.7412</v>
      </c>
      <c r="AR24" s="8">
        <f t="shared" si="89"/>
        <v>59140.76056402989</v>
      </c>
    </row>
    <row r="25" spans="1:44" ht="12.75">
      <c r="A25" s="12" t="s">
        <v>98</v>
      </c>
      <c r="B25" s="13">
        <v>17.17</v>
      </c>
      <c r="C25" s="13">
        <v>0</v>
      </c>
      <c r="D25" s="14">
        <v>0.6</v>
      </c>
      <c r="E25" s="14">
        <v>308.76</v>
      </c>
      <c r="F25" s="14">
        <v>8.59</v>
      </c>
      <c r="G25" s="14"/>
      <c r="H25" s="14"/>
      <c r="I25" s="24">
        <f t="shared" si="60"/>
        <v>321.12239999999997</v>
      </c>
      <c r="J25" s="24">
        <f t="shared" si="61"/>
        <v>1.8702527664531157</v>
      </c>
      <c r="K25" s="24">
        <f t="shared" si="62"/>
        <v>3.7405055329062313</v>
      </c>
      <c r="L25" s="24">
        <f t="shared" si="63"/>
        <v>16</v>
      </c>
      <c r="M25" s="24">
        <f t="shared" si="64"/>
        <v>21</v>
      </c>
      <c r="N25" s="24">
        <f t="shared" si="65"/>
        <v>8</v>
      </c>
      <c r="O25" s="24">
        <f t="shared" si="65"/>
        <v>11</v>
      </c>
      <c r="P25" s="24">
        <f t="shared" si="66"/>
        <v>133.33333333333331</v>
      </c>
      <c r="Q25" s="24">
        <f t="shared" si="66"/>
        <v>240.62499999999997</v>
      </c>
      <c r="R25" s="9">
        <v>600</v>
      </c>
      <c r="S25" s="14">
        <f t="shared" si="67"/>
        <v>1.2</v>
      </c>
      <c r="T25" s="14">
        <f t="shared" si="68"/>
        <v>333.4848</v>
      </c>
      <c r="U25" s="14">
        <v>140.72</v>
      </c>
      <c r="V25" s="14">
        <v>168.04</v>
      </c>
      <c r="W25" s="13">
        <f t="shared" si="69"/>
        <v>168.04</v>
      </c>
      <c r="X25" s="24">
        <v>885.6</v>
      </c>
      <c r="Y25" s="24">
        <f t="shared" si="70"/>
        <v>12.877500000000001</v>
      </c>
      <c r="Z25" s="24">
        <f t="shared" si="71"/>
        <v>10.377500000000001</v>
      </c>
      <c r="AA25" s="24">
        <f t="shared" si="72"/>
        <v>0.15</v>
      </c>
      <c r="AB25" s="24">
        <f t="shared" si="73"/>
        <v>546.9</v>
      </c>
      <c r="AC25" s="24">
        <f t="shared" si="74"/>
        <v>21590.7844212836</v>
      </c>
      <c r="AD25" s="24">
        <f t="shared" si="75"/>
        <v>21.25014841860787</v>
      </c>
      <c r="AE25" s="24">
        <f t="shared" si="76"/>
        <v>31.875222627911807</v>
      </c>
      <c r="AF25" s="24">
        <f t="shared" si="77"/>
        <v>17.541611026614103</v>
      </c>
      <c r="AG25" s="24">
        <f t="shared" si="78"/>
        <v>35.083222053228205</v>
      </c>
      <c r="AH25" s="8">
        <f t="shared" si="79"/>
        <v>6.499025815601443</v>
      </c>
      <c r="AI25" s="8">
        <f t="shared" si="80"/>
        <v>5.397077168794113</v>
      </c>
      <c r="AJ25" s="8">
        <f t="shared" si="81"/>
        <v>0.1693188854489166</v>
      </c>
      <c r="AK25" s="8">
        <f t="shared" si="82"/>
        <v>6.745111943032599</v>
      </c>
      <c r="AL25" s="8">
        <f t="shared" si="83"/>
        <v>0.6973562694755943</v>
      </c>
      <c r="AM25" s="8">
        <f t="shared" si="84"/>
        <v>0.7350780507136774</v>
      </c>
      <c r="AN25" s="8">
        <f t="shared" si="85"/>
        <v>6.75</v>
      </c>
      <c r="AO25" s="8">
        <f t="shared" si="86"/>
        <v>1.875</v>
      </c>
      <c r="AP25" s="8">
        <f t="shared" si="87"/>
        <v>10.3125</v>
      </c>
      <c r="AQ25" s="8">
        <f t="shared" si="88"/>
        <v>1390.7700000000002</v>
      </c>
      <c r="AR25" s="8">
        <f t="shared" si="89"/>
        <v>30112.31244011895</v>
      </c>
    </row>
    <row r="26" spans="1:44" ht="12.75">
      <c r="A26" s="23" t="s">
        <v>138</v>
      </c>
      <c r="B26" s="13">
        <v>17.17</v>
      </c>
      <c r="C26" s="13">
        <v>0</v>
      </c>
      <c r="D26" s="14">
        <v>0.6</v>
      </c>
      <c r="E26" s="14">
        <v>308.76</v>
      </c>
      <c r="F26" s="14">
        <v>8.59</v>
      </c>
      <c r="G26" s="14"/>
      <c r="H26" s="14"/>
      <c r="I26" s="24">
        <f t="shared" si="60"/>
        <v>321.12239999999997</v>
      </c>
      <c r="J26" s="24">
        <f t="shared" si="61"/>
        <v>1.8702527664531157</v>
      </c>
      <c r="K26" s="24">
        <f t="shared" si="62"/>
        <v>3.7405055329062313</v>
      </c>
      <c r="L26" s="24">
        <f t="shared" si="63"/>
        <v>16</v>
      </c>
      <c r="M26" s="24">
        <f t="shared" si="64"/>
        <v>21</v>
      </c>
      <c r="N26" s="24">
        <f t="shared" si="65"/>
        <v>8</v>
      </c>
      <c r="O26" s="24">
        <f t="shared" si="65"/>
        <v>11</v>
      </c>
      <c r="P26" s="24">
        <f t="shared" si="66"/>
        <v>133.33333333333331</v>
      </c>
      <c r="Q26" s="24">
        <f t="shared" si="66"/>
        <v>240.62499999999997</v>
      </c>
      <c r="R26" s="9">
        <v>600</v>
      </c>
      <c r="S26" s="14">
        <f t="shared" si="67"/>
        <v>1.2</v>
      </c>
      <c r="T26" s="14">
        <f t="shared" si="68"/>
        <v>333.4848</v>
      </c>
      <c r="U26" s="14">
        <v>140.72</v>
      </c>
      <c r="V26" s="14">
        <v>168.04</v>
      </c>
      <c r="W26" s="13">
        <f t="shared" si="69"/>
        <v>168.04</v>
      </c>
      <c r="X26" s="24">
        <v>611</v>
      </c>
      <c r="Y26" s="24">
        <f t="shared" si="70"/>
        <v>12.877500000000001</v>
      </c>
      <c r="Z26" s="24">
        <f t="shared" si="71"/>
        <v>10.377500000000001</v>
      </c>
      <c r="AA26" s="24">
        <f t="shared" si="72"/>
        <v>0.15</v>
      </c>
      <c r="AB26" s="24">
        <f t="shared" si="73"/>
        <v>546.9</v>
      </c>
      <c r="AC26" s="24">
        <f t="shared" si="74"/>
        <v>14896.080941061742</v>
      </c>
      <c r="AD26" s="24">
        <f t="shared" si="75"/>
        <v>18.777156896250776</v>
      </c>
      <c r="AE26" s="24">
        <f t="shared" si="76"/>
        <v>28.165735344376166</v>
      </c>
      <c r="AF26" s="24">
        <f t="shared" si="77"/>
        <v>15.500201503125023</v>
      </c>
      <c r="AG26" s="24">
        <f t="shared" si="78"/>
        <v>31.000403006250046</v>
      </c>
      <c r="AH26" s="8">
        <f t="shared" si="79"/>
        <v>5.074391804818426</v>
      </c>
      <c r="AI26" s="8">
        <f t="shared" si="80"/>
        <v>4.768990916358928</v>
      </c>
      <c r="AJ26" s="8">
        <f t="shared" si="81"/>
        <v>0.16931888544891655</v>
      </c>
      <c r="AK26" s="8">
        <f t="shared" si="82"/>
        <v>5.266534052556305</v>
      </c>
      <c r="AL26" s="8">
        <f t="shared" si="83"/>
        <v>0.6162012531197747</v>
      </c>
      <c r="AM26" s="8">
        <f t="shared" si="84"/>
        <v>0.6495331523028083</v>
      </c>
      <c r="AN26" s="8">
        <f t="shared" si="85"/>
        <v>5.27</v>
      </c>
      <c r="AO26" s="8">
        <f t="shared" si="86"/>
        <v>1.875</v>
      </c>
      <c r="AP26" s="8">
        <f t="shared" si="87"/>
        <v>10.3125</v>
      </c>
      <c r="AQ26" s="8">
        <f t="shared" si="88"/>
        <v>1085.8308</v>
      </c>
      <c r="AR26" s="8">
        <f t="shared" si="89"/>
        <v>26607.9842859789</v>
      </c>
    </row>
    <row r="27" spans="1:44" ht="12.75">
      <c r="A27" s="12" t="s">
        <v>58</v>
      </c>
      <c r="B27" s="13">
        <v>12.92</v>
      </c>
      <c r="C27" s="13">
        <v>0</v>
      </c>
      <c r="D27" s="14">
        <v>0.6</v>
      </c>
      <c r="E27" s="14">
        <v>61.4</v>
      </c>
      <c r="F27" s="14">
        <v>6.46</v>
      </c>
      <c r="G27" s="14"/>
      <c r="H27" s="14"/>
      <c r="I27" s="24">
        <f t="shared" si="60"/>
        <v>70.7024</v>
      </c>
      <c r="J27" s="24">
        <f t="shared" si="61"/>
        <v>0.5472321981424149</v>
      </c>
      <c r="K27" s="24">
        <f t="shared" si="62"/>
        <v>1.0944643962848297</v>
      </c>
      <c r="L27" s="24">
        <f t="shared" si="63"/>
        <v>12</v>
      </c>
      <c r="M27" s="24">
        <f t="shared" si="64"/>
        <v>16</v>
      </c>
      <c r="N27" s="24">
        <f t="shared" si="65"/>
        <v>6</v>
      </c>
      <c r="O27" s="24">
        <f t="shared" si="65"/>
        <v>8</v>
      </c>
      <c r="P27" s="24">
        <f t="shared" si="66"/>
        <v>75</v>
      </c>
      <c r="Q27" s="24">
        <f t="shared" si="66"/>
        <v>133.33333333333331</v>
      </c>
      <c r="R27" s="9">
        <v>600</v>
      </c>
      <c r="S27" s="14">
        <f t="shared" si="67"/>
        <v>1.2</v>
      </c>
      <c r="T27" s="14">
        <f t="shared" si="68"/>
        <v>80.0048</v>
      </c>
      <c r="U27" s="14">
        <f>'[1]Interior Girders 2,3,4'!U23+1</f>
        <v>40.72</v>
      </c>
      <c r="V27" s="14">
        <f>'[1]Interior Girders 2,3,4'!V23+1</f>
        <v>30.43</v>
      </c>
      <c r="W27" s="13">
        <f t="shared" si="69"/>
        <v>40.72</v>
      </c>
      <c r="X27" s="24">
        <f>'[1]Interior Girders 2,3,4'!X23+5</f>
        <v>93.74</v>
      </c>
      <c r="Y27" s="24">
        <f t="shared" si="70"/>
        <v>9.69</v>
      </c>
      <c r="Z27" s="24">
        <f t="shared" si="71"/>
        <v>7.1899999999999995</v>
      </c>
      <c r="AA27" s="24">
        <f t="shared" si="72"/>
        <v>0.15</v>
      </c>
      <c r="AB27" s="24">
        <f t="shared" si="73"/>
        <v>546.9</v>
      </c>
      <c r="AC27" s="24">
        <f t="shared" si="74"/>
        <v>2285.3660023160846</v>
      </c>
      <c r="AD27" s="24">
        <f t="shared" si="75"/>
        <v>10.052121935887032</v>
      </c>
      <c r="AE27" s="24">
        <f t="shared" si="76"/>
        <v>15.078182903830548</v>
      </c>
      <c r="AF27" s="24">
        <f t="shared" si="77"/>
        <v>8.2978438323292</v>
      </c>
      <c r="AG27" s="24">
        <f t="shared" si="78"/>
        <v>16.5956876646584</v>
      </c>
      <c r="AH27" s="8">
        <f t="shared" si="79"/>
        <v>1.4542525130495914</v>
      </c>
      <c r="AI27" s="8">
        <f t="shared" si="80"/>
        <v>2.5530211238714946</v>
      </c>
      <c r="AJ27" s="8">
        <f t="shared" si="81"/>
        <v>0.16931888544891643</v>
      </c>
      <c r="AK27" s="8">
        <f t="shared" si="82"/>
        <v>1.5093178996778918</v>
      </c>
      <c r="AL27" s="8">
        <f t="shared" si="83"/>
        <v>0.22855284856668592</v>
      </c>
      <c r="AM27" s="8">
        <f t="shared" si="84"/>
        <v>0.24091585573009253</v>
      </c>
      <c r="AN27" s="8">
        <f t="shared" si="85"/>
        <v>1.51</v>
      </c>
      <c r="AO27" s="8">
        <f t="shared" si="86"/>
        <v>1.875</v>
      </c>
      <c r="AP27" s="8">
        <f t="shared" si="87"/>
        <v>10.3125</v>
      </c>
      <c r="AQ27" s="8">
        <f t="shared" si="88"/>
        <v>234.1104</v>
      </c>
      <c r="AR27" s="8">
        <f t="shared" si="89"/>
        <v>5750.794834428323</v>
      </c>
    </row>
    <row r="28" spans="4:33" ht="12.7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"/>
      <c r="S28" s="14"/>
      <c r="T28" s="14"/>
      <c r="U28" s="14"/>
      <c r="V28" s="14"/>
      <c r="AD28" s="15"/>
      <c r="AE28" s="15"/>
      <c r="AF28" s="15"/>
      <c r="AG28" s="15"/>
    </row>
    <row r="29" spans="4:33" ht="12.7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9"/>
      <c r="S29" s="14"/>
      <c r="T29" s="14"/>
      <c r="U29" s="14"/>
      <c r="V29" s="14"/>
      <c r="AD29" s="15"/>
      <c r="AE29" s="15"/>
      <c r="AF29" s="15"/>
      <c r="AG29" s="15"/>
    </row>
    <row r="30" spans="4:34" ht="12.7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9"/>
      <c r="S30" s="14"/>
      <c r="T30" s="14"/>
      <c r="U30" s="14"/>
      <c r="V30" s="14"/>
      <c r="AD30" s="15"/>
      <c r="AE30" s="15"/>
      <c r="AF30" s="15"/>
      <c r="AG30" s="15"/>
      <c r="AH30" s="4"/>
    </row>
    <row r="31" spans="4:34" ht="12.7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9"/>
      <c r="S31" s="14"/>
      <c r="T31" s="14"/>
      <c r="U31" s="14"/>
      <c r="V31" s="14"/>
      <c r="AD31" s="15"/>
      <c r="AE31" s="15"/>
      <c r="AF31" s="15"/>
      <c r="AG31" s="15"/>
      <c r="AH31" s="4"/>
    </row>
    <row r="32" spans="4:34" ht="12.7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9"/>
      <c r="S32" s="14"/>
      <c r="T32" s="14"/>
      <c r="U32" s="14"/>
      <c r="V32" s="14"/>
      <c r="AD32" s="15"/>
      <c r="AE32" s="15"/>
      <c r="AF32" s="15"/>
      <c r="AG32" s="15"/>
      <c r="AH32" s="4"/>
    </row>
    <row r="33" spans="4:34" ht="12.7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14"/>
      <c r="T33" s="14"/>
      <c r="U33" s="14"/>
      <c r="V33" s="14"/>
      <c r="AD33" s="15"/>
      <c r="AE33" s="15"/>
      <c r="AF33" s="15"/>
      <c r="AG33" s="15"/>
      <c r="AH33" s="4"/>
    </row>
    <row r="34" spans="4:34" ht="12.7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14"/>
      <c r="T34" s="14"/>
      <c r="U34" s="14"/>
      <c r="V34" s="14"/>
      <c r="AD34" s="15"/>
      <c r="AE34" s="15"/>
      <c r="AF34" s="15"/>
      <c r="AG34" s="15"/>
      <c r="AH34" s="4"/>
    </row>
    <row r="35" spans="4:34" ht="12.7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14"/>
      <c r="T35" s="14"/>
      <c r="U35" s="14"/>
      <c r="V35" s="14"/>
      <c r="AD35" s="15"/>
      <c r="AE35" s="15"/>
      <c r="AF35" s="15"/>
      <c r="AG35" s="15"/>
      <c r="AH35" s="4"/>
    </row>
    <row r="36" spans="4:34" ht="12.7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14"/>
      <c r="T36" s="14"/>
      <c r="U36" s="14"/>
      <c r="V36" s="14"/>
      <c r="AD36" s="15"/>
      <c r="AE36" s="15"/>
      <c r="AF36" s="15"/>
      <c r="AG36" s="15"/>
      <c r="AH36" s="4"/>
    </row>
    <row r="37" spans="4:34" ht="12.7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S37" s="14"/>
      <c r="T37" s="14"/>
      <c r="U37" s="14"/>
      <c r="V37" s="14"/>
      <c r="AH37" s="4"/>
    </row>
    <row r="38" spans="4:34" ht="12.7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S38" s="14"/>
      <c r="T38" s="14"/>
      <c r="AH38" s="4"/>
    </row>
    <row r="39" spans="4:34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S39" s="14"/>
      <c r="T39" s="14"/>
      <c r="AH39" s="4"/>
    </row>
    <row r="40" spans="4:34" ht="12.7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S40" s="14"/>
      <c r="T40" s="14"/>
      <c r="AH40" s="4"/>
    </row>
    <row r="41" spans="4:34" ht="12.7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S41" s="14"/>
      <c r="T41" s="14"/>
      <c r="AH41" s="4"/>
    </row>
    <row r="42" spans="4:34" ht="12.7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S42" s="14"/>
      <c r="T42" s="14"/>
      <c r="AH42" s="4"/>
    </row>
    <row r="43" spans="4:34" ht="12.7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S43" s="14"/>
      <c r="T43" s="14"/>
      <c r="AH43" s="4"/>
    </row>
    <row r="44" spans="4:34" ht="12.7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S44" s="14"/>
      <c r="T44" s="14"/>
      <c r="AH44" s="4"/>
    </row>
    <row r="45" spans="4:34" ht="12.7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S45" s="14"/>
      <c r="T45" s="14"/>
      <c r="AH45" s="4"/>
    </row>
    <row r="46" spans="4:34" ht="12.7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S46" s="14"/>
      <c r="T46" s="14"/>
      <c r="AH46" s="4"/>
    </row>
    <row r="47" spans="4:34" ht="12.7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S47" s="14"/>
      <c r="T47" s="14"/>
      <c r="AH47" s="4"/>
    </row>
    <row r="48" spans="4:34" ht="12.7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S48" s="14"/>
      <c r="T48" s="14"/>
      <c r="AH48" s="4"/>
    </row>
    <row r="49" spans="4:34" ht="12.7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S49" s="14"/>
      <c r="T49" s="14"/>
      <c r="AH49" s="4"/>
    </row>
    <row r="50" spans="4:34" ht="12.7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S50" s="14"/>
      <c r="T50" s="14"/>
      <c r="AH50" s="4"/>
    </row>
    <row r="51" spans="4:34" ht="12.7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S51" s="14"/>
      <c r="T51" s="14"/>
      <c r="AH51" s="4"/>
    </row>
    <row r="52" spans="4:34" ht="12.7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S52" s="14"/>
      <c r="T52" s="14"/>
      <c r="AH52" s="4"/>
    </row>
    <row r="53" spans="4:34" ht="12.75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S53" s="14"/>
      <c r="T53" s="14"/>
      <c r="AH53" s="4"/>
    </row>
    <row r="54" spans="4:34" ht="12.7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S54" s="14"/>
      <c r="T54" s="14"/>
      <c r="AH54" s="4"/>
    </row>
    <row r="55" spans="4:34" ht="12.7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S55" s="14"/>
      <c r="T55" s="14"/>
      <c r="AH55" s="4"/>
    </row>
    <row r="56" spans="4:34" ht="12.7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S56" s="14"/>
      <c r="T56" s="14"/>
      <c r="AH56" s="4"/>
    </row>
    <row r="57" spans="4:34" ht="12.7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S57" s="14"/>
      <c r="T57" s="14"/>
      <c r="AH57" s="4"/>
    </row>
    <row r="58" spans="4:34" ht="12.7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S58" s="14"/>
      <c r="T58" s="14"/>
      <c r="AH58" s="4"/>
    </row>
  </sheetData>
  <sheetProtection/>
  <dataValidations count="1">
    <dataValidation allowBlank="1" showInputMessage="1" showErrorMessage="1" sqref="S38:S58 G28:G36 H28:H29 K28:Q36 K37:K58 J28:J58 I28:I36 E3:Q3 D2:Q2 D28:D36 E21:Q21 E28:F29 D4:Q20 S2:V37 D22:Q27"/>
  </dataValidations>
  <printOptions/>
  <pageMargins left="0.75" right="0.7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8"/>
  <sheetViews>
    <sheetView zoomScalePageLayoutView="0" workbookViewId="0" topLeftCell="A1">
      <selection activeCell="F16" sqref="F16"/>
    </sheetView>
  </sheetViews>
  <sheetFormatPr defaultColWidth="11.00390625" defaultRowHeight="12.75"/>
  <cols>
    <col min="1" max="1" width="11.00390625" style="12" customWidth="1"/>
    <col min="2" max="23" width="11.00390625" style="13" customWidth="1"/>
    <col min="24" max="24" width="14.375" style="13" bestFit="1" customWidth="1"/>
    <col min="25" max="33" width="11.00390625" style="13" customWidth="1"/>
    <col min="34" max="34" width="8.875" style="13" customWidth="1"/>
    <col min="35" max="35" width="9.375" style="13" customWidth="1"/>
    <col min="36" max="36" width="5.25390625" style="13" bestFit="1" customWidth="1"/>
    <col min="37" max="37" width="7.75390625" style="13" bestFit="1" customWidth="1"/>
    <col min="38" max="39" width="10.125" style="13" bestFit="1" customWidth="1"/>
    <col min="40" max="40" width="11.375" style="13" bestFit="1" customWidth="1"/>
    <col min="41" max="41" width="8.875" style="13" customWidth="1"/>
    <col min="42" max="42" width="12.625" style="13" bestFit="1" customWidth="1"/>
    <col min="43" max="43" width="15.375" style="13" bestFit="1" customWidth="1"/>
    <col min="44" max="44" width="19.25390625" style="13" bestFit="1" customWidth="1"/>
  </cols>
  <sheetData>
    <row r="1" spans="1:44" s="2" customFormat="1" ht="12.75">
      <c r="A1" s="9" t="s">
        <v>44</v>
      </c>
      <c r="B1" s="9" t="s">
        <v>4</v>
      </c>
      <c r="C1" s="9" t="s">
        <v>0</v>
      </c>
      <c r="D1" s="9" t="s">
        <v>3</v>
      </c>
      <c r="E1" s="9" t="s">
        <v>46</v>
      </c>
      <c r="F1" s="9" t="s">
        <v>48</v>
      </c>
      <c r="G1" s="9" t="s">
        <v>47</v>
      </c>
      <c r="H1" s="9" t="s">
        <v>49</v>
      </c>
      <c r="I1" s="9" t="s">
        <v>45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10" t="s">
        <v>51</v>
      </c>
      <c r="T1" s="10" t="s">
        <v>50</v>
      </c>
      <c r="U1" s="10" t="s">
        <v>110</v>
      </c>
      <c r="V1" s="10" t="s">
        <v>111</v>
      </c>
      <c r="W1" s="10" t="s">
        <v>18</v>
      </c>
      <c r="X1" s="10" t="s">
        <v>22</v>
      </c>
      <c r="Y1" s="10" t="s">
        <v>23</v>
      </c>
      <c r="Z1" s="10" t="s">
        <v>24</v>
      </c>
      <c r="AA1" s="10" t="s">
        <v>28</v>
      </c>
      <c r="AB1" s="10" t="s">
        <v>26</v>
      </c>
      <c r="AC1" s="10" t="s">
        <v>25</v>
      </c>
      <c r="AD1" s="10" t="s">
        <v>52</v>
      </c>
      <c r="AE1" s="10" t="s">
        <v>55</v>
      </c>
      <c r="AF1" s="10" t="s">
        <v>53</v>
      </c>
      <c r="AG1" s="10" t="s">
        <v>54</v>
      </c>
      <c r="AH1" s="10" t="s">
        <v>33</v>
      </c>
      <c r="AI1" s="10" t="s">
        <v>35</v>
      </c>
      <c r="AJ1" s="10" t="s">
        <v>36</v>
      </c>
      <c r="AK1" s="10" t="s">
        <v>37</v>
      </c>
      <c r="AL1" s="10" t="s">
        <v>34</v>
      </c>
      <c r="AM1" s="10" t="s">
        <v>38</v>
      </c>
      <c r="AN1" s="10" t="s">
        <v>39</v>
      </c>
      <c r="AO1" s="10" t="s">
        <v>41</v>
      </c>
      <c r="AP1" s="10" t="s">
        <v>40</v>
      </c>
      <c r="AQ1" s="10" t="s">
        <v>42</v>
      </c>
      <c r="AR1" s="10" t="s">
        <v>43</v>
      </c>
    </row>
    <row r="2" spans="1:44" ht="12.75">
      <c r="A2" s="12" t="s">
        <v>112</v>
      </c>
      <c r="B2" s="24">
        <v>14.16</v>
      </c>
      <c r="C2" s="24">
        <v>0</v>
      </c>
      <c r="D2" s="24">
        <v>0.6</v>
      </c>
      <c r="E2" s="24">
        <v>30.86</v>
      </c>
      <c r="F2" s="24">
        <v>7.08</v>
      </c>
      <c r="G2" s="24">
        <v>0</v>
      </c>
      <c r="H2" s="24"/>
      <c r="I2" s="24">
        <f aca="true" t="shared" si="0" ref="I2:I9">(1.2*D2*B2)+E2+G2</f>
        <v>41.0552</v>
      </c>
      <c r="J2" s="24">
        <f aca="true" t="shared" si="1" ref="J2:J9">(0.1*I2)/B2</f>
        <v>0.28993785310734466</v>
      </c>
      <c r="K2" s="24">
        <f aca="true" t="shared" si="2" ref="K2:K9">(0.2*I2)/B2</f>
        <v>0.5798757062146893</v>
      </c>
      <c r="L2" s="24">
        <f aca="true" t="shared" si="3" ref="L2:L9">ROUND(((0.08*B2)*12),0)</f>
        <v>14</v>
      </c>
      <c r="M2" s="24">
        <f aca="true" t="shared" si="4" ref="M2:M9">ROUND(((0.1*B2)*12),0)</f>
        <v>17</v>
      </c>
      <c r="N2" s="24">
        <f aca="true" t="shared" si="5" ref="N2:O9">ROUND((0.5*L2),0)</f>
        <v>7</v>
      </c>
      <c r="O2" s="24">
        <f t="shared" si="5"/>
        <v>9</v>
      </c>
      <c r="P2" s="24">
        <f aca="true" t="shared" si="6" ref="P2:Q9">(N2/12)*(L2/12)*150</f>
        <v>102.08333333333336</v>
      </c>
      <c r="Q2" s="24">
        <f t="shared" si="6"/>
        <v>159.375</v>
      </c>
      <c r="R2" s="25">
        <v>300</v>
      </c>
      <c r="S2" s="24">
        <f aca="true" t="shared" si="7" ref="S2:S9">D2+(R2/1000)</f>
        <v>0.8999999999999999</v>
      </c>
      <c r="T2" s="24">
        <f aca="true" t="shared" si="8" ref="T2:T9">(1.2*S2*B2)+E2+G2</f>
        <v>46.1528</v>
      </c>
      <c r="U2" s="24">
        <f>T2-V2</f>
        <v>23.0764</v>
      </c>
      <c r="V2" s="24">
        <f>((E2*F2)+(G2*H2)+((1.2*S2)*B2*(0.5*B2)))/B2</f>
        <v>23.0764</v>
      </c>
      <c r="W2" s="24">
        <f aca="true" t="shared" si="9" ref="W2:W9">MAX(U2:V2)</f>
        <v>23.0764</v>
      </c>
      <c r="X2" s="24">
        <f>(((U2-((S2)*F2))*F2)/2)+(F2*(U2-((S2)*F2)))</f>
        <v>177.400728</v>
      </c>
      <c r="Y2" s="24">
        <f aca="true" t="shared" si="10" ref="Y2:Y9">(B2/16)*12</f>
        <v>10.620000000000001</v>
      </c>
      <c r="Z2" s="24">
        <f aca="true" t="shared" si="11" ref="Z2:Z9">Y2-2.5</f>
        <v>8.120000000000001</v>
      </c>
      <c r="AA2" s="24">
        <f aca="true" t="shared" si="12" ref="AA2:AA9">(60000/4000)*0.01</f>
        <v>0.15</v>
      </c>
      <c r="AB2" s="24">
        <f aca="true" t="shared" si="13" ref="AB2:AB9">4000*AA2*(1-(0.59*AA2))</f>
        <v>546.9</v>
      </c>
      <c r="AC2" s="24">
        <f aca="true" t="shared" si="14" ref="AC2:AC9">(12000*X2)/(AB2*0.9)</f>
        <v>4325.000987383434</v>
      </c>
      <c r="AD2" s="24">
        <f aca="true" t="shared" si="15" ref="AD2:AD9">(AC2/2.25)^(1/3)</f>
        <v>12.433724233122744</v>
      </c>
      <c r="AE2" s="24">
        <f aca="true" t="shared" si="16" ref="AE2:AE9">AD2*(1.5)</f>
        <v>18.650586349684115</v>
      </c>
      <c r="AF2" s="24">
        <f aca="true" t="shared" si="17" ref="AF2:AF9">(AC2/4)^(1/3)</f>
        <v>10.263813212647353</v>
      </c>
      <c r="AG2" s="24">
        <f aca="true" t="shared" si="18" ref="AG2:AG9">AF2*2</f>
        <v>20.527626425294706</v>
      </c>
      <c r="AH2" s="8">
        <f aca="true" t="shared" si="19" ref="AH2:AH9">(X2*12000)/(0.9*60000*0.95*AE2)</f>
        <v>2.224983469031381</v>
      </c>
      <c r="AI2" s="8">
        <f aca="true" t="shared" si="20" ref="AI2:AI9">(AH2*60000)/(0.85*4000*AD2)</f>
        <v>3.1578964936972875</v>
      </c>
      <c r="AJ2" s="8">
        <f aca="true" t="shared" si="21" ref="AJ2:AJ9">AI2/AE2</f>
        <v>0.16931888544891635</v>
      </c>
      <c r="AK2" s="8">
        <f aca="true" t="shared" si="22" ref="AK2:AK9">(X2*12000)/(0.9*60000*(AE2-(AI2/2)))</f>
        <v>2.309232644373608</v>
      </c>
      <c r="AL2" s="8">
        <f aca="true" t="shared" si="23" ref="AL2:AL9">(3*(4000^0.5)*AD2*Z2)/60000</f>
        <v>0.3192693736057979</v>
      </c>
      <c r="AM2" s="8">
        <f aca="true" t="shared" si="24" ref="AM2:AM9">(200*AD2*Z2)/60000</f>
        <v>0.336539469243189</v>
      </c>
      <c r="AN2" s="8">
        <f aca="true" t="shared" si="25" ref="AN2:AN9">ROUND(MAX(AK2:AM2),2)</f>
        <v>2.31</v>
      </c>
      <c r="AO2" s="8">
        <f aca="true" t="shared" si="26" ref="AO2:AO9">1.875</f>
        <v>1.875</v>
      </c>
      <c r="AP2" s="8">
        <f aca="true" t="shared" si="27" ref="AP2:AP9">(540/(0.6*60))-(2.5*AO2)</f>
        <v>10.3125</v>
      </c>
      <c r="AQ2" s="8">
        <f aca="true" t="shared" si="28" ref="AQ2:AQ9">AN2*(B2*12)</f>
        <v>392.51520000000005</v>
      </c>
      <c r="AR2" s="8">
        <f aca="true" t="shared" si="29" ref="AR2:AR9">(Y2-6)*AD2*(12*B2)</f>
        <v>9760.851508218044</v>
      </c>
    </row>
    <row r="3" spans="1:44" ht="13.5" customHeight="1">
      <c r="A3" s="12" t="s">
        <v>113</v>
      </c>
      <c r="B3" s="24">
        <v>14.16</v>
      </c>
      <c r="C3" s="24">
        <v>0</v>
      </c>
      <c r="D3" s="24">
        <v>0.6</v>
      </c>
      <c r="E3" s="24">
        <v>30.86</v>
      </c>
      <c r="F3" s="24">
        <v>7.08</v>
      </c>
      <c r="G3" s="24">
        <v>0</v>
      </c>
      <c r="H3" s="24"/>
      <c r="I3" s="24">
        <f t="shared" si="0"/>
        <v>41.0552</v>
      </c>
      <c r="J3" s="24">
        <f t="shared" si="1"/>
        <v>0.28993785310734466</v>
      </c>
      <c r="K3" s="24">
        <f t="shared" si="2"/>
        <v>0.5798757062146893</v>
      </c>
      <c r="L3" s="24">
        <f t="shared" si="3"/>
        <v>14</v>
      </c>
      <c r="M3" s="24">
        <f t="shared" si="4"/>
        <v>17</v>
      </c>
      <c r="N3" s="24">
        <f t="shared" si="5"/>
        <v>7</v>
      </c>
      <c r="O3" s="24">
        <f t="shared" si="5"/>
        <v>9</v>
      </c>
      <c r="P3" s="24">
        <f t="shared" si="6"/>
        <v>102.08333333333336</v>
      </c>
      <c r="Q3" s="24">
        <f t="shared" si="6"/>
        <v>159.375</v>
      </c>
      <c r="R3" s="25">
        <v>300</v>
      </c>
      <c r="S3" s="24">
        <f t="shared" si="7"/>
        <v>0.8999999999999999</v>
      </c>
      <c r="T3" s="24">
        <f t="shared" si="8"/>
        <v>46.1528</v>
      </c>
      <c r="U3" s="24">
        <f>T3-V3</f>
        <v>23.0764</v>
      </c>
      <c r="V3" s="24">
        <f>((E3*F3)+(G3*H3)+((1.2*S3)*B3*(0.5*B3)))/B3</f>
        <v>23.0764</v>
      </c>
      <c r="W3" s="24">
        <f t="shared" si="9"/>
        <v>23.0764</v>
      </c>
      <c r="X3" s="24">
        <f>(((U3-((S3)*F3))*F3)/2)+(F3*(U3-((S3)*F3)))</f>
        <v>177.400728</v>
      </c>
      <c r="Y3" s="24">
        <f t="shared" si="10"/>
        <v>10.620000000000001</v>
      </c>
      <c r="Z3" s="24">
        <f t="shared" si="11"/>
        <v>8.120000000000001</v>
      </c>
      <c r="AA3" s="24">
        <f t="shared" si="12"/>
        <v>0.15</v>
      </c>
      <c r="AB3" s="24">
        <f t="shared" si="13"/>
        <v>546.9</v>
      </c>
      <c r="AC3" s="24">
        <f t="shared" si="14"/>
        <v>4325.000987383434</v>
      </c>
      <c r="AD3" s="24">
        <f t="shared" si="15"/>
        <v>12.433724233122744</v>
      </c>
      <c r="AE3" s="24">
        <f t="shared" si="16"/>
        <v>18.650586349684115</v>
      </c>
      <c r="AF3" s="24">
        <f t="shared" si="17"/>
        <v>10.263813212647353</v>
      </c>
      <c r="AG3" s="24">
        <f t="shared" si="18"/>
        <v>20.527626425294706</v>
      </c>
      <c r="AH3" s="8">
        <f t="shared" si="19"/>
        <v>2.224983469031381</v>
      </c>
      <c r="AI3" s="8">
        <f t="shared" si="20"/>
        <v>3.1578964936972875</v>
      </c>
      <c r="AJ3" s="8">
        <f t="shared" si="21"/>
        <v>0.16931888544891635</v>
      </c>
      <c r="AK3" s="8">
        <f t="shared" si="22"/>
        <v>2.309232644373608</v>
      </c>
      <c r="AL3" s="8">
        <f t="shared" si="23"/>
        <v>0.3192693736057979</v>
      </c>
      <c r="AM3" s="8">
        <f t="shared" si="24"/>
        <v>0.336539469243189</v>
      </c>
      <c r="AN3" s="8">
        <f t="shared" si="25"/>
        <v>2.31</v>
      </c>
      <c r="AO3" s="8">
        <f t="shared" si="26"/>
        <v>1.875</v>
      </c>
      <c r="AP3" s="8">
        <f t="shared" si="27"/>
        <v>10.3125</v>
      </c>
      <c r="AQ3" s="8">
        <f t="shared" si="28"/>
        <v>392.51520000000005</v>
      </c>
      <c r="AR3" s="8">
        <f t="shared" si="29"/>
        <v>9760.851508218044</v>
      </c>
    </row>
    <row r="4" spans="1:44" ht="12.75">
      <c r="A4" s="12" t="s">
        <v>57</v>
      </c>
      <c r="B4" s="24">
        <v>12.92</v>
      </c>
      <c r="C4" s="24">
        <v>0</v>
      </c>
      <c r="D4" s="24">
        <v>0.6</v>
      </c>
      <c r="E4" s="24">
        <v>65.34</v>
      </c>
      <c r="F4" s="24">
        <v>6.46</v>
      </c>
      <c r="G4" s="24"/>
      <c r="H4" s="24"/>
      <c r="I4" s="24">
        <f t="shared" si="0"/>
        <v>74.64240000000001</v>
      </c>
      <c r="J4" s="24">
        <f t="shared" si="1"/>
        <v>0.5777275541795667</v>
      </c>
      <c r="K4" s="24">
        <f t="shared" si="2"/>
        <v>1.1554551083591333</v>
      </c>
      <c r="L4" s="24">
        <f t="shared" si="3"/>
        <v>12</v>
      </c>
      <c r="M4" s="24">
        <f t="shared" si="4"/>
        <v>16</v>
      </c>
      <c r="N4" s="24">
        <f t="shared" si="5"/>
        <v>6</v>
      </c>
      <c r="O4" s="24">
        <f t="shared" si="5"/>
        <v>8</v>
      </c>
      <c r="P4" s="24">
        <f t="shared" si="6"/>
        <v>75</v>
      </c>
      <c r="Q4" s="24">
        <f t="shared" si="6"/>
        <v>133.33333333333331</v>
      </c>
      <c r="R4" s="25">
        <v>600</v>
      </c>
      <c r="S4" s="24">
        <f t="shared" si="7"/>
        <v>1.2</v>
      </c>
      <c r="T4" s="24">
        <f t="shared" si="8"/>
        <v>83.9448</v>
      </c>
      <c r="U4" s="24">
        <v>21.97</v>
      </c>
      <c r="V4" s="24">
        <v>51.12</v>
      </c>
      <c r="W4" s="24">
        <f t="shared" si="9"/>
        <v>51.12</v>
      </c>
      <c r="X4" s="24">
        <v>129.39</v>
      </c>
      <c r="Y4" s="24">
        <f t="shared" si="10"/>
        <v>9.69</v>
      </c>
      <c r="Z4" s="24">
        <f t="shared" si="11"/>
        <v>7.1899999999999995</v>
      </c>
      <c r="AA4" s="24">
        <f t="shared" si="12"/>
        <v>0.15</v>
      </c>
      <c r="AB4" s="24">
        <f t="shared" si="13"/>
        <v>546.9</v>
      </c>
      <c r="AC4" s="24">
        <f t="shared" si="14"/>
        <v>3154.50722252697</v>
      </c>
      <c r="AD4" s="24">
        <f t="shared" si="15"/>
        <v>11.192222518188077</v>
      </c>
      <c r="AE4" s="24">
        <f t="shared" si="16"/>
        <v>16.788333777282116</v>
      </c>
      <c r="AF4" s="24">
        <f t="shared" si="17"/>
        <v>9.238976127124307</v>
      </c>
      <c r="AG4" s="24">
        <f t="shared" si="18"/>
        <v>18.477952254248613</v>
      </c>
      <c r="AH4" s="8">
        <f t="shared" si="19"/>
        <v>1.8028392256307983</v>
      </c>
      <c r="AI4" s="8">
        <f t="shared" si="20"/>
        <v>2.8425819637138035</v>
      </c>
      <c r="AJ4" s="8">
        <f t="shared" si="21"/>
        <v>0.16931888544891632</v>
      </c>
      <c r="AK4" s="8">
        <f t="shared" si="22"/>
        <v>1.871103875749811</v>
      </c>
      <c r="AL4" s="8">
        <f t="shared" si="23"/>
        <v>0.2544750605533084</v>
      </c>
      <c r="AM4" s="8">
        <f t="shared" si="24"/>
        <v>0.26824026635257425</v>
      </c>
      <c r="AN4" s="8">
        <f t="shared" si="25"/>
        <v>1.87</v>
      </c>
      <c r="AO4" s="8">
        <f t="shared" si="26"/>
        <v>1.875</v>
      </c>
      <c r="AP4" s="8">
        <f t="shared" si="27"/>
        <v>10.3125</v>
      </c>
      <c r="AQ4" s="8">
        <f t="shared" si="28"/>
        <v>289.9248</v>
      </c>
      <c r="AR4" s="8">
        <f t="shared" si="29"/>
        <v>6403.043641321354</v>
      </c>
    </row>
    <row r="5" spans="1:44" ht="12.75">
      <c r="A5" s="12" t="s">
        <v>100</v>
      </c>
      <c r="B5" s="24">
        <v>23.13</v>
      </c>
      <c r="C5" s="24">
        <v>0</v>
      </c>
      <c r="D5" s="24">
        <v>0.6</v>
      </c>
      <c r="E5" s="24">
        <v>134.66</v>
      </c>
      <c r="F5" s="24">
        <v>11.57</v>
      </c>
      <c r="G5" s="24"/>
      <c r="H5" s="24"/>
      <c r="I5" s="24">
        <f t="shared" si="0"/>
        <v>151.3136</v>
      </c>
      <c r="J5" s="24">
        <f t="shared" si="1"/>
        <v>0.6541876351059231</v>
      </c>
      <c r="K5" s="24">
        <f t="shared" si="2"/>
        <v>1.3083752702118463</v>
      </c>
      <c r="L5" s="24">
        <f t="shared" si="3"/>
        <v>22</v>
      </c>
      <c r="M5" s="24">
        <f t="shared" si="4"/>
        <v>28</v>
      </c>
      <c r="N5" s="24">
        <f t="shared" si="5"/>
        <v>11</v>
      </c>
      <c r="O5" s="24">
        <f t="shared" si="5"/>
        <v>14</v>
      </c>
      <c r="P5" s="24">
        <f t="shared" si="6"/>
        <v>252.08333333333331</v>
      </c>
      <c r="Q5" s="24">
        <f t="shared" si="6"/>
        <v>408.3333333333334</v>
      </c>
      <c r="R5" s="25">
        <v>700</v>
      </c>
      <c r="S5" s="24">
        <f t="shared" si="7"/>
        <v>1.2999999999999998</v>
      </c>
      <c r="T5" s="24">
        <f t="shared" si="8"/>
        <v>170.7428</v>
      </c>
      <c r="U5" s="24">
        <v>69.75</v>
      </c>
      <c r="V5" s="24">
        <v>78.79</v>
      </c>
      <c r="W5" s="24">
        <f t="shared" si="9"/>
        <v>78.79</v>
      </c>
      <c r="X5" s="24">
        <v>512.43</v>
      </c>
      <c r="Y5" s="24">
        <f t="shared" si="10"/>
        <v>17.3475</v>
      </c>
      <c r="Z5" s="24">
        <f t="shared" si="11"/>
        <v>14.8475</v>
      </c>
      <c r="AA5" s="24">
        <f t="shared" si="12"/>
        <v>0.15</v>
      </c>
      <c r="AB5" s="24">
        <f t="shared" si="13"/>
        <v>546.9</v>
      </c>
      <c r="AC5" s="24">
        <f t="shared" si="14"/>
        <v>12492.960321813858</v>
      </c>
      <c r="AD5" s="24">
        <f t="shared" si="15"/>
        <v>17.70765074010358</v>
      </c>
      <c r="AE5" s="24">
        <f t="shared" si="16"/>
        <v>26.561476110155372</v>
      </c>
      <c r="AF5" s="24">
        <f t="shared" si="17"/>
        <v>14.617343623164286</v>
      </c>
      <c r="AG5" s="24">
        <f t="shared" si="18"/>
        <v>29.234687246328573</v>
      </c>
      <c r="AH5" s="8">
        <f t="shared" si="19"/>
        <v>4.512801403414379</v>
      </c>
      <c r="AI5" s="8">
        <f t="shared" si="20"/>
        <v>4.497359530849533</v>
      </c>
      <c r="AJ5" s="8">
        <f t="shared" si="21"/>
        <v>0.1693188854489166</v>
      </c>
      <c r="AK5" s="8">
        <f t="shared" si="22"/>
        <v>4.683678986107802</v>
      </c>
      <c r="AL5" s="8">
        <f t="shared" si="23"/>
        <v>0.8314081577191066</v>
      </c>
      <c r="AM5" s="8">
        <f t="shared" si="24"/>
        <v>0.8763811478789597</v>
      </c>
      <c r="AN5" s="8">
        <f t="shared" si="25"/>
        <v>4.68</v>
      </c>
      <c r="AO5" s="8">
        <f t="shared" si="26"/>
        <v>1.875</v>
      </c>
      <c r="AP5" s="8">
        <f t="shared" si="27"/>
        <v>10.3125</v>
      </c>
      <c r="AQ5" s="8">
        <f t="shared" si="28"/>
        <v>1298.9808</v>
      </c>
      <c r="AR5" s="8">
        <f t="shared" si="29"/>
        <v>55772.23103360419</v>
      </c>
    </row>
    <row r="6" spans="1:44" ht="12.75">
      <c r="A6" s="23" t="s">
        <v>137</v>
      </c>
      <c r="B6" s="24">
        <v>23.13</v>
      </c>
      <c r="C6" s="24">
        <v>0</v>
      </c>
      <c r="D6" s="24">
        <v>0.6</v>
      </c>
      <c r="E6" s="24">
        <v>134.66</v>
      </c>
      <c r="F6" s="24">
        <v>11.57</v>
      </c>
      <c r="G6" s="24"/>
      <c r="H6" s="24"/>
      <c r="I6" s="24">
        <f>(1.2*D6*B6)+E6+G6</f>
        <v>151.3136</v>
      </c>
      <c r="J6" s="24">
        <f>(0.1*I6)/B6</f>
        <v>0.6541876351059231</v>
      </c>
      <c r="K6" s="24">
        <f>(0.2*I6)/B6</f>
        <v>1.3083752702118463</v>
      </c>
      <c r="L6" s="24">
        <f>ROUND(((0.08*B6)*12),0)</f>
        <v>22</v>
      </c>
      <c r="M6" s="24">
        <f>ROUND(((0.1*B6)*12),0)</f>
        <v>28</v>
      </c>
      <c r="N6" s="24">
        <f>ROUND((0.5*L6),0)</f>
        <v>11</v>
      </c>
      <c r="O6" s="24">
        <f>ROUND((0.5*M6),0)</f>
        <v>14</v>
      </c>
      <c r="P6" s="24">
        <f>(N6/12)*(L6/12)*150</f>
        <v>252.08333333333331</v>
      </c>
      <c r="Q6" s="24">
        <f>(O6/12)*(M6/12)*150</f>
        <v>408.3333333333334</v>
      </c>
      <c r="R6" s="25">
        <v>700</v>
      </c>
      <c r="S6" s="24">
        <f>D6+(R6/1000)</f>
        <v>1.2999999999999998</v>
      </c>
      <c r="T6" s="24">
        <f>(1.2*S6*B6)+E6+G6</f>
        <v>170.7428</v>
      </c>
      <c r="U6" s="24">
        <v>69.75</v>
      </c>
      <c r="V6" s="24">
        <v>78.79</v>
      </c>
      <c r="W6" s="24">
        <f>MAX(U6:V6)</f>
        <v>78.79</v>
      </c>
      <c r="X6" s="24">
        <v>611</v>
      </c>
      <c r="Y6" s="24">
        <f>(B6/16)*12</f>
        <v>17.3475</v>
      </c>
      <c r="Z6" s="24">
        <f t="shared" si="11"/>
        <v>14.8475</v>
      </c>
      <c r="AA6" s="24">
        <f t="shared" si="12"/>
        <v>0.15</v>
      </c>
      <c r="AB6" s="24">
        <f t="shared" si="13"/>
        <v>546.9</v>
      </c>
      <c r="AC6" s="24">
        <f>(12000*X6)/(AB6*0.9)</f>
        <v>14896.080941061742</v>
      </c>
      <c r="AD6" s="24">
        <f t="shared" si="15"/>
        <v>18.777156896250776</v>
      </c>
      <c r="AE6" s="24">
        <f t="shared" si="16"/>
        <v>28.165735344376166</v>
      </c>
      <c r="AF6" s="24">
        <f>(AC6/4)^(1/3)</f>
        <v>15.500201503125023</v>
      </c>
      <c r="AG6" s="24">
        <f t="shared" si="18"/>
        <v>31.000403006250046</v>
      </c>
      <c r="AH6" s="8">
        <f>(X6*12000)/(0.9*60000*0.95*AE6)</f>
        <v>5.074391804818426</v>
      </c>
      <c r="AI6" s="8">
        <f>(AH6*60000)/(0.85*4000*AD6)</f>
        <v>4.768990916358928</v>
      </c>
      <c r="AJ6" s="8">
        <f>AI6/AE6</f>
        <v>0.16931888544891655</v>
      </c>
      <c r="AK6" s="8">
        <f>(X6*12000)/(0.9*60000*(AE6-(AI6/2)))</f>
        <v>5.266534052556305</v>
      </c>
      <c r="AL6" s="8">
        <f>(3*(4000^0.5)*AD6*Z6)/60000</f>
        <v>0.8816235225917469</v>
      </c>
      <c r="AM6" s="8">
        <f>(200*AD6*Z6)/60000</f>
        <v>0.9293127900569447</v>
      </c>
      <c r="AN6" s="8">
        <f>ROUND(MAX(AK6:AM6),2)</f>
        <v>5.27</v>
      </c>
      <c r="AO6" s="8">
        <f t="shared" si="26"/>
        <v>1.875</v>
      </c>
      <c r="AP6" s="8">
        <f t="shared" si="27"/>
        <v>10.3125</v>
      </c>
      <c r="AQ6" s="8">
        <f>AN6*(B6*12)</f>
        <v>1462.7412</v>
      </c>
      <c r="AR6" s="8">
        <f>(Y6-6)*AD6*(12*B6)</f>
        <v>59140.76056402989</v>
      </c>
    </row>
    <row r="7" spans="1:44" ht="12.75">
      <c r="A7" s="12" t="s">
        <v>98</v>
      </c>
      <c r="B7" s="24">
        <v>17.17</v>
      </c>
      <c r="C7" s="24">
        <v>0</v>
      </c>
      <c r="D7" s="24">
        <v>0.6</v>
      </c>
      <c r="E7" s="24">
        <v>100.85</v>
      </c>
      <c r="F7" s="24">
        <v>8.59</v>
      </c>
      <c r="G7" s="24"/>
      <c r="H7" s="24"/>
      <c r="I7" s="24">
        <f t="shared" si="0"/>
        <v>113.2124</v>
      </c>
      <c r="J7" s="24">
        <f t="shared" si="1"/>
        <v>0.659361677344205</v>
      </c>
      <c r="K7" s="24">
        <f t="shared" si="2"/>
        <v>1.31872335468841</v>
      </c>
      <c r="L7" s="24">
        <f t="shared" si="3"/>
        <v>16</v>
      </c>
      <c r="M7" s="24">
        <f t="shared" si="4"/>
        <v>21</v>
      </c>
      <c r="N7" s="24">
        <f t="shared" si="5"/>
        <v>8</v>
      </c>
      <c r="O7" s="24">
        <f t="shared" si="5"/>
        <v>11</v>
      </c>
      <c r="P7" s="24">
        <f t="shared" si="6"/>
        <v>133.33333333333331</v>
      </c>
      <c r="Q7" s="24">
        <f t="shared" si="6"/>
        <v>240.62499999999997</v>
      </c>
      <c r="R7" s="25">
        <v>600</v>
      </c>
      <c r="S7" s="24">
        <f t="shared" si="7"/>
        <v>1.2</v>
      </c>
      <c r="T7" s="24">
        <f t="shared" si="8"/>
        <v>125.5748</v>
      </c>
      <c r="U7" s="24">
        <v>50.45</v>
      </c>
      <c r="V7" s="24">
        <v>60.7</v>
      </c>
      <c r="W7" s="24">
        <f t="shared" si="9"/>
        <v>60.7</v>
      </c>
      <c r="X7" s="24">
        <v>306.66</v>
      </c>
      <c r="Y7" s="24">
        <f t="shared" si="10"/>
        <v>12.877500000000001</v>
      </c>
      <c r="Z7" s="24">
        <f t="shared" si="11"/>
        <v>10.377500000000001</v>
      </c>
      <c r="AA7" s="24">
        <f t="shared" si="12"/>
        <v>0.15</v>
      </c>
      <c r="AB7" s="24">
        <f t="shared" si="13"/>
        <v>546.9</v>
      </c>
      <c r="AC7" s="24">
        <f t="shared" si="14"/>
        <v>7476.321082464803</v>
      </c>
      <c r="AD7" s="24">
        <f t="shared" si="15"/>
        <v>14.922278535254767</v>
      </c>
      <c r="AE7" s="24">
        <f t="shared" si="16"/>
        <v>22.38341780288215</v>
      </c>
      <c r="AF7" s="24">
        <f t="shared" si="17"/>
        <v>12.318069527788278</v>
      </c>
      <c r="AG7" s="24">
        <f t="shared" si="18"/>
        <v>24.636139055576557</v>
      </c>
      <c r="AH7" s="8">
        <f t="shared" si="19"/>
        <v>3.2047533564823496</v>
      </c>
      <c r="AI7" s="8">
        <f t="shared" si="20"/>
        <v>3.789935354921439</v>
      </c>
      <c r="AJ7" s="8">
        <f t="shared" si="21"/>
        <v>0.16931888544891643</v>
      </c>
      <c r="AK7" s="8">
        <f t="shared" si="22"/>
        <v>3.326101596240919</v>
      </c>
      <c r="AL7" s="8">
        <f t="shared" si="23"/>
        <v>0.48969749699765724</v>
      </c>
      <c r="AM7" s="8">
        <f t="shared" si="24"/>
        <v>0.5161864849986879</v>
      </c>
      <c r="AN7" s="8">
        <f t="shared" si="25"/>
        <v>3.33</v>
      </c>
      <c r="AO7" s="8">
        <f t="shared" si="26"/>
        <v>1.875</v>
      </c>
      <c r="AP7" s="8">
        <f t="shared" si="27"/>
        <v>10.3125</v>
      </c>
      <c r="AQ7" s="8">
        <f t="shared" si="28"/>
        <v>686.1132000000001</v>
      </c>
      <c r="AR7" s="8">
        <f t="shared" si="29"/>
        <v>21145.467067825273</v>
      </c>
    </row>
    <row r="8" spans="1:44" ht="12.75">
      <c r="A8" s="23" t="s">
        <v>138</v>
      </c>
      <c r="B8" s="24">
        <v>17.17</v>
      </c>
      <c r="C8" s="24">
        <v>0</v>
      </c>
      <c r="D8" s="24">
        <v>0.6</v>
      </c>
      <c r="E8" s="24">
        <v>100.85</v>
      </c>
      <c r="F8" s="24">
        <v>8.59</v>
      </c>
      <c r="G8" s="24"/>
      <c r="H8" s="24"/>
      <c r="I8" s="24">
        <f>(1.2*D8*B8)+E8+G8</f>
        <v>113.2124</v>
      </c>
      <c r="J8" s="24">
        <f>(0.1*I8)/B8</f>
        <v>0.659361677344205</v>
      </c>
      <c r="K8" s="24">
        <f>(0.2*I8)/B8</f>
        <v>1.31872335468841</v>
      </c>
      <c r="L8" s="24">
        <f>ROUND(((0.08*B8)*12),0)</f>
        <v>16</v>
      </c>
      <c r="M8" s="24">
        <f>ROUND(((0.1*B8)*12),0)</f>
        <v>21</v>
      </c>
      <c r="N8" s="24">
        <f>ROUND((0.5*L8),0)</f>
        <v>8</v>
      </c>
      <c r="O8" s="24">
        <f>ROUND((0.5*M8),0)</f>
        <v>11</v>
      </c>
      <c r="P8" s="24">
        <f>(N8/12)*(L8/12)*150</f>
        <v>133.33333333333331</v>
      </c>
      <c r="Q8" s="24">
        <f>(O8/12)*(M8/12)*150</f>
        <v>240.62499999999997</v>
      </c>
      <c r="R8" s="25">
        <v>600</v>
      </c>
      <c r="S8" s="24">
        <f>D8+(R8/1000)</f>
        <v>1.2</v>
      </c>
      <c r="T8" s="24">
        <f>(1.2*S8*B8)+E8+G8</f>
        <v>125.5748</v>
      </c>
      <c r="U8" s="24">
        <v>50.45</v>
      </c>
      <c r="V8" s="24">
        <v>60.7</v>
      </c>
      <c r="W8" s="24">
        <f>MAX(U8:V8)</f>
        <v>60.7</v>
      </c>
      <c r="X8" s="24">
        <v>611</v>
      </c>
      <c r="Y8" s="24">
        <f>(B8/16)*12</f>
        <v>12.877500000000001</v>
      </c>
      <c r="Z8" s="24">
        <f t="shared" si="11"/>
        <v>10.377500000000001</v>
      </c>
      <c r="AA8" s="24">
        <f t="shared" si="12"/>
        <v>0.15</v>
      </c>
      <c r="AB8" s="24">
        <f t="shared" si="13"/>
        <v>546.9</v>
      </c>
      <c r="AC8" s="24">
        <f>(12000*X8)/(AB8*0.9)</f>
        <v>14896.080941061742</v>
      </c>
      <c r="AD8" s="24">
        <f t="shared" si="15"/>
        <v>18.777156896250776</v>
      </c>
      <c r="AE8" s="24">
        <f t="shared" si="16"/>
        <v>28.165735344376166</v>
      </c>
      <c r="AF8" s="24">
        <f>(AC8/4)^(1/3)</f>
        <v>15.500201503125023</v>
      </c>
      <c r="AG8" s="24">
        <f t="shared" si="18"/>
        <v>31.000403006250046</v>
      </c>
      <c r="AH8" s="8">
        <f>(X8*12000)/(0.9*60000*0.95*AE8)</f>
        <v>5.074391804818426</v>
      </c>
      <c r="AI8" s="8">
        <f>(AH8*60000)/(0.85*4000*AD8)</f>
        <v>4.768990916358928</v>
      </c>
      <c r="AJ8" s="8">
        <f>AI8/AE8</f>
        <v>0.16931888544891655</v>
      </c>
      <c r="AK8" s="8">
        <f>(X8*12000)/(0.9*60000*(AE8-(AI8/2)))</f>
        <v>5.266534052556305</v>
      </c>
      <c r="AL8" s="8">
        <f>(3*(4000^0.5)*AD8*Z8)/60000</f>
        <v>0.6162012531197747</v>
      </c>
      <c r="AM8" s="8">
        <f>(200*AD8*Z8)/60000</f>
        <v>0.6495331523028083</v>
      </c>
      <c r="AN8" s="8">
        <f>ROUND(MAX(AK8:AM8),2)</f>
        <v>5.27</v>
      </c>
      <c r="AO8" s="8">
        <f t="shared" si="26"/>
        <v>1.875</v>
      </c>
      <c r="AP8" s="8">
        <f t="shared" si="27"/>
        <v>10.3125</v>
      </c>
      <c r="AQ8" s="8">
        <f>AN8*(B8*12)</f>
        <v>1085.8308</v>
      </c>
      <c r="AR8" s="8">
        <f>(Y8-6)*AD8*(12*B8)</f>
        <v>26607.9842859789</v>
      </c>
    </row>
    <row r="9" spans="1:44" ht="12.75">
      <c r="A9" s="12" t="s">
        <v>58</v>
      </c>
      <c r="B9" s="24">
        <v>12.92</v>
      </c>
      <c r="C9" s="24">
        <v>0</v>
      </c>
      <c r="D9" s="24">
        <v>0.6</v>
      </c>
      <c r="E9" s="24">
        <v>61.4</v>
      </c>
      <c r="F9" s="24">
        <v>6.46</v>
      </c>
      <c r="G9" s="24"/>
      <c r="H9" s="24"/>
      <c r="I9" s="24">
        <f t="shared" si="0"/>
        <v>70.7024</v>
      </c>
      <c r="J9" s="24">
        <f t="shared" si="1"/>
        <v>0.5472321981424149</v>
      </c>
      <c r="K9" s="24">
        <f t="shared" si="2"/>
        <v>1.0944643962848297</v>
      </c>
      <c r="L9" s="24">
        <f t="shared" si="3"/>
        <v>12</v>
      </c>
      <c r="M9" s="24">
        <f t="shared" si="4"/>
        <v>16</v>
      </c>
      <c r="N9" s="24">
        <f t="shared" si="5"/>
        <v>6</v>
      </c>
      <c r="O9" s="24">
        <f t="shared" si="5"/>
        <v>8</v>
      </c>
      <c r="P9" s="24">
        <f t="shared" si="6"/>
        <v>75</v>
      </c>
      <c r="Q9" s="24">
        <f t="shared" si="6"/>
        <v>133.33333333333331</v>
      </c>
      <c r="R9" s="25">
        <v>600</v>
      </c>
      <c r="S9" s="24">
        <f t="shared" si="7"/>
        <v>1.2</v>
      </c>
      <c r="T9" s="24">
        <f t="shared" si="8"/>
        <v>80.0048</v>
      </c>
      <c r="U9" s="24">
        <v>39.72</v>
      </c>
      <c r="V9" s="24">
        <v>29.43</v>
      </c>
      <c r="W9" s="24">
        <f t="shared" si="9"/>
        <v>39.72</v>
      </c>
      <c r="X9" s="24">
        <v>88.74</v>
      </c>
      <c r="Y9" s="24">
        <f t="shared" si="10"/>
        <v>9.69</v>
      </c>
      <c r="Z9" s="24">
        <f t="shared" si="11"/>
        <v>7.1899999999999995</v>
      </c>
      <c r="AA9" s="24">
        <f t="shared" si="12"/>
        <v>0.15</v>
      </c>
      <c r="AB9" s="24">
        <f t="shared" si="13"/>
        <v>546.9</v>
      </c>
      <c r="AC9" s="24">
        <f t="shared" si="14"/>
        <v>2163.466812945694</v>
      </c>
      <c r="AD9" s="24">
        <f t="shared" si="15"/>
        <v>9.870123189796589</v>
      </c>
      <c r="AE9" s="24">
        <f t="shared" si="16"/>
        <v>14.805184784694884</v>
      </c>
      <c r="AF9" s="24">
        <f t="shared" si="17"/>
        <v>8.147607177584026</v>
      </c>
      <c r="AG9" s="24">
        <f t="shared" si="18"/>
        <v>16.295214355168053</v>
      </c>
      <c r="AH9" s="8">
        <f t="shared" si="19"/>
        <v>1.4020692776695998</v>
      </c>
      <c r="AI9" s="8">
        <f t="shared" si="20"/>
        <v>2.506797386609795</v>
      </c>
      <c r="AJ9" s="8">
        <f t="shared" si="21"/>
        <v>0.16931888544891655</v>
      </c>
      <c r="AK9" s="8">
        <f t="shared" si="22"/>
        <v>1.4551587419557144</v>
      </c>
      <c r="AL9" s="8">
        <f t="shared" si="23"/>
        <v>0.22441478377600396</v>
      </c>
      <c r="AM9" s="8">
        <f t="shared" si="24"/>
        <v>0.23655395244879154</v>
      </c>
      <c r="AN9" s="8">
        <f t="shared" si="25"/>
        <v>1.46</v>
      </c>
      <c r="AO9" s="8">
        <f t="shared" si="26"/>
        <v>1.875</v>
      </c>
      <c r="AP9" s="8">
        <f t="shared" si="27"/>
        <v>10.3125</v>
      </c>
      <c r="AQ9" s="8">
        <f t="shared" si="28"/>
        <v>226.3584</v>
      </c>
      <c r="AR9" s="8">
        <f t="shared" si="29"/>
        <v>5646.6737885869725</v>
      </c>
    </row>
    <row r="10" spans="1:44" ht="12.75">
      <c r="A10" s="1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2.75">
      <c r="A11" s="12" t="s">
        <v>68</v>
      </c>
      <c r="B11" s="24">
        <v>17.75</v>
      </c>
      <c r="C11" s="24">
        <v>0</v>
      </c>
      <c r="D11" s="24">
        <v>0.6</v>
      </c>
      <c r="E11" s="24">
        <v>81.18</v>
      </c>
      <c r="F11" s="24">
        <v>8.88</v>
      </c>
      <c r="G11" s="24"/>
      <c r="H11" s="24"/>
      <c r="I11" s="24">
        <f aca="true" t="shared" si="30" ref="I11:I18">(1.2*D11*B11)+E11+G11</f>
        <v>93.96000000000001</v>
      </c>
      <c r="J11" s="24">
        <f aca="true" t="shared" si="31" ref="J11:J18">(0.1*I11)/B11</f>
        <v>0.5293521126760564</v>
      </c>
      <c r="K11" s="24">
        <f aca="true" t="shared" si="32" ref="K11:K18">(0.2*I11)/B11</f>
        <v>1.0587042253521128</v>
      </c>
      <c r="L11" s="24">
        <f aca="true" t="shared" si="33" ref="L11:L18">ROUND(((0.08*B11)*12),0)</f>
        <v>17</v>
      </c>
      <c r="M11" s="24">
        <f aca="true" t="shared" si="34" ref="M11:M18">ROUND(((0.1*B11)*12),0)</f>
        <v>21</v>
      </c>
      <c r="N11" s="24">
        <f aca="true" t="shared" si="35" ref="N11:O18">ROUND((0.5*L11),0)</f>
        <v>9</v>
      </c>
      <c r="O11" s="24">
        <f t="shared" si="35"/>
        <v>11</v>
      </c>
      <c r="P11" s="24">
        <f aca="true" t="shared" si="36" ref="P11:Q18">(N11/12)*(L11/12)*150</f>
        <v>159.375</v>
      </c>
      <c r="Q11" s="24">
        <f t="shared" si="36"/>
        <v>240.62499999999997</v>
      </c>
      <c r="R11" s="25">
        <v>600</v>
      </c>
      <c r="S11" s="24">
        <f aca="true" t="shared" si="37" ref="S11:S18">D11+(R11/1000)</f>
        <v>1.2</v>
      </c>
      <c r="T11" s="24">
        <f aca="true" t="shared" si="38" ref="T11:T18">(1.2*S11*B11)+E11+G11</f>
        <v>106.74000000000001</v>
      </c>
      <c r="U11" s="24">
        <v>43.24</v>
      </c>
      <c r="V11" s="24">
        <v>48.59</v>
      </c>
      <c r="W11" s="24">
        <f aca="true" t="shared" si="39" ref="W11:W18">MAX(U11:V11)</f>
        <v>48.59</v>
      </c>
      <c r="X11" s="24">
        <v>382.18</v>
      </c>
      <c r="Y11" s="24">
        <f aca="true" t="shared" si="40" ref="Y11:Y18">(B11/16)*12</f>
        <v>13.3125</v>
      </c>
      <c r="Z11" s="24">
        <f aca="true" t="shared" si="41" ref="Z11:Z18">Y11-2.5</f>
        <v>10.8125</v>
      </c>
      <c r="AA11" s="24">
        <f aca="true" t="shared" si="42" ref="AA11:AA18">(60000/4000)*0.01</f>
        <v>0.15</v>
      </c>
      <c r="AB11" s="24">
        <f aca="true" t="shared" si="43" ref="AB11:AB18">4000*AA11*(1-(0.59*AA11))</f>
        <v>546.9</v>
      </c>
      <c r="AC11" s="24">
        <f aca="true" t="shared" si="44" ref="AC11:AC18">(12000*X11)/(AB11*0.9)</f>
        <v>9317.486438715183</v>
      </c>
      <c r="AD11" s="24">
        <f aca="true" t="shared" si="45" ref="AD11:AD18">(AC11/2.25)^(1/3)</f>
        <v>16.058516307175076</v>
      </c>
      <c r="AE11" s="24">
        <f aca="true" t="shared" si="46" ref="AE11:AE18">AD11*(1.5)</f>
        <v>24.087774460762613</v>
      </c>
      <c r="AF11" s="24">
        <f aca="true" t="shared" si="47" ref="AF11:AF18">(AC11/4)^(1/3)</f>
        <v>13.256013142870028</v>
      </c>
      <c r="AG11" s="24">
        <f aca="true" t="shared" si="48" ref="AG11:AG18">AF11*2</f>
        <v>26.512026285740056</v>
      </c>
      <c r="AH11" s="8">
        <f aca="true" t="shared" si="49" ref="AH11:AH18">(X11*12000)/(0.9*60000*0.95*AE11)</f>
        <v>3.711377759492953</v>
      </c>
      <c r="AI11" s="8">
        <f aca="true" t="shared" si="50" ref="AI11:AI18">(AH11*60000)/(0.85*4000*AD11)</f>
        <v>4.078515124641203</v>
      </c>
      <c r="AJ11" s="8">
        <f aca="true" t="shared" si="51" ref="AJ11:AJ18">AI11/AE11</f>
        <v>0.16931888544891655</v>
      </c>
      <c r="AK11" s="8">
        <f aca="true" t="shared" si="52" ref="AK11:AK18">(X11*12000)/(0.9*60000*(AE11-(AI11/2)))</f>
        <v>3.8519093724118068</v>
      </c>
      <c r="AL11" s="8">
        <f aca="true" t="shared" si="53" ref="AL11:AL18">(3*(4000^0.5)*AD11*Z11)/60000</f>
        <v>0.5490748322273675</v>
      </c>
      <c r="AM11" s="8">
        <f aca="true" t="shared" si="54" ref="AM11:AM18">(200*AD11*Z11)/60000</f>
        <v>0.578775691904435</v>
      </c>
      <c r="AN11" s="8">
        <f aca="true" t="shared" si="55" ref="AN11:AN18">ROUND(MAX(AK11:AM11),2)</f>
        <v>3.85</v>
      </c>
      <c r="AO11" s="8">
        <f aca="true" t="shared" si="56" ref="AO11:AO18">1.875</f>
        <v>1.875</v>
      </c>
      <c r="AP11" s="8">
        <f aca="true" t="shared" si="57" ref="AP11:AP18">(540/(0.6*60))-(2.5*AO11)</f>
        <v>10.3125</v>
      </c>
      <c r="AQ11" s="8">
        <f aca="true" t="shared" si="58" ref="AQ11:AQ18">AN11*(B11*12)</f>
        <v>820.0500000000001</v>
      </c>
      <c r="AR11" s="8">
        <f aca="true" t="shared" si="59" ref="AR11:AR18">(Y11-6)*AD11*(12*B11)</f>
        <v>25012.14280569438</v>
      </c>
    </row>
    <row r="12" spans="1:44" ht="12.75">
      <c r="A12" s="12" t="s">
        <v>67</v>
      </c>
      <c r="B12" s="24">
        <v>11.42</v>
      </c>
      <c r="C12" s="24">
        <v>0</v>
      </c>
      <c r="D12" s="24">
        <v>0.6</v>
      </c>
      <c r="E12" s="24">
        <v>61.61</v>
      </c>
      <c r="F12" s="24">
        <f>11.42/2</f>
        <v>5.71</v>
      </c>
      <c r="G12" s="24"/>
      <c r="H12" s="24"/>
      <c r="I12" s="24">
        <f t="shared" si="30"/>
        <v>69.8324</v>
      </c>
      <c r="J12" s="24">
        <f t="shared" si="31"/>
        <v>0.6114921190893171</v>
      </c>
      <c r="K12" s="24">
        <f t="shared" si="32"/>
        <v>1.2229842381786342</v>
      </c>
      <c r="L12" s="24">
        <f t="shared" si="33"/>
        <v>11</v>
      </c>
      <c r="M12" s="24">
        <f t="shared" si="34"/>
        <v>14</v>
      </c>
      <c r="N12" s="24">
        <f t="shared" si="35"/>
        <v>6</v>
      </c>
      <c r="O12" s="24">
        <f t="shared" si="35"/>
        <v>7</v>
      </c>
      <c r="P12" s="24">
        <f t="shared" si="36"/>
        <v>68.75</v>
      </c>
      <c r="Q12" s="24">
        <f t="shared" si="36"/>
        <v>102.08333333333336</v>
      </c>
      <c r="R12" s="25">
        <v>700</v>
      </c>
      <c r="S12" s="24">
        <f t="shared" si="37"/>
        <v>1.2999999999999998</v>
      </c>
      <c r="T12" s="24">
        <f t="shared" si="38"/>
        <v>79.42519999999999</v>
      </c>
      <c r="U12" s="24">
        <v>33.93</v>
      </c>
      <c r="V12" s="24">
        <v>33.93</v>
      </c>
      <c r="W12" s="24">
        <f t="shared" si="39"/>
        <v>33.93</v>
      </c>
      <c r="X12" s="24">
        <v>183.95</v>
      </c>
      <c r="Y12" s="24">
        <f t="shared" si="40"/>
        <v>8.565</v>
      </c>
      <c r="Z12" s="24">
        <f t="shared" si="41"/>
        <v>6.0649999999999995</v>
      </c>
      <c r="AA12" s="24">
        <f t="shared" si="42"/>
        <v>0.15</v>
      </c>
      <c r="AB12" s="24">
        <f t="shared" si="43"/>
        <v>546.9</v>
      </c>
      <c r="AC12" s="24">
        <f t="shared" si="44"/>
        <v>4484.671176936674</v>
      </c>
      <c r="AD12" s="24">
        <f t="shared" si="45"/>
        <v>12.584888219049173</v>
      </c>
      <c r="AE12" s="24">
        <f t="shared" si="46"/>
        <v>18.877332328573758</v>
      </c>
      <c r="AF12" s="24">
        <f t="shared" si="47"/>
        <v>10.388596333692858</v>
      </c>
      <c r="AG12" s="24">
        <f t="shared" si="48"/>
        <v>20.777192667385716</v>
      </c>
      <c r="AH12" s="8">
        <f t="shared" si="49"/>
        <v>2.279413161622973</v>
      </c>
      <c r="AI12" s="8">
        <f t="shared" si="50"/>
        <v>3.1962888701229066</v>
      </c>
      <c r="AJ12" s="8">
        <f t="shared" si="51"/>
        <v>0.1693188854489164</v>
      </c>
      <c r="AK12" s="8">
        <f t="shared" si="52"/>
        <v>2.3657233215876925</v>
      </c>
      <c r="AL12" s="8">
        <f t="shared" si="53"/>
        <v>0.24136826443149548</v>
      </c>
      <c r="AM12" s="8">
        <f t="shared" si="54"/>
        <v>0.25442449016177743</v>
      </c>
      <c r="AN12" s="8">
        <f t="shared" si="55"/>
        <v>2.37</v>
      </c>
      <c r="AO12" s="8">
        <f t="shared" si="56"/>
        <v>1.875</v>
      </c>
      <c r="AP12" s="8">
        <f t="shared" si="57"/>
        <v>10.3125</v>
      </c>
      <c r="AQ12" s="8">
        <f t="shared" si="58"/>
        <v>324.7848</v>
      </c>
      <c r="AR12" s="8">
        <f t="shared" si="59"/>
        <v>4423.683854146248</v>
      </c>
    </row>
    <row r="13" spans="1:44" ht="12.75">
      <c r="A13" s="12" t="s">
        <v>66</v>
      </c>
      <c r="B13" s="24">
        <v>18</v>
      </c>
      <c r="C13" s="24">
        <v>0</v>
      </c>
      <c r="D13" s="24">
        <v>0.6</v>
      </c>
      <c r="E13" s="24">
        <v>82.11</v>
      </c>
      <c r="F13" s="24">
        <v>9</v>
      </c>
      <c r="G13" s="24"/>
      <c r="H13" s="24"/>
      <c r="I13" s="24">
        <f t="shared" si="30"/>
        <v>95.07</v>
      </c>
      <c r="J13" s="24">
        <f t="shared" si="31"/>
        <v>0.5281666666666667</v>
      </c>
      <c r="K13" s="24">
        <f t="shared" si="32"/>
        <v>1.0563333333333333</v>
      </c>
      <c r="L13" s="24">
        <f t="shared" si="33"/>
        <v>17</v>
      </c>
      <c r="M13" s="24">
        <f t="shared" si="34"/>
        <v>22</v>
      </c>
      <c r="N13" s="24">
        <f t="shared" si="35"/>
        <v>9</v>
      </c>
      <c r="O13" s="24">
        <f t="shared" si="35"/>
        <v>11</v>
      </c>
      <c r="P13" s="24">
        <f t="shared" si="36"/>
        <v>159.375</v>
      </c>
      <c r="Q13" s="24">
        <f t="shared" si="36"/>
        <v>252.08333333333331</v>
      </c>
      <c r="R13" s="25">
        <v>600</v>
      </c>
      <c r="S13" s="24">
        <f t="shared" si="37"/>
        <v>1.2</v>
      </c>
      <c r="T13" s="24">
        <f t="shared" si="38"/>
        <v>108.03</v>
      </c>
      <c r="U13" s="24">
        <v>46.46</v>
      </c>
      <c r="V13" s="24">
        <v>46.46</v>
      </c>
      <c r="W13" s="24">
        <f t="shared" si="39"/>
        <v>46.46</v>
      </c>
      <c r="X13" s="24">
        <v>393.84</v>
      </c>
      <c r="Y13" s="24">
        <f t="shared" si="40"/>
        <v>13.5</v>
      </c>
      <c r="Z13" s="24">
        <f t="shared" si="41"/>
        <v>11</v>
      </c>
      <c r="AA13" s="24">
        <f t="shared" si="42"/>
        <v>0.15</v>
      </c>
      <c r="AB13" s="24">
        <f t="shared" si="43"/>
        <v>546.9</v>
      </c>
      <c r="AC13" s="24">
        <f t="shared" si="44"/>
        <v>9601.755348326935</v>
      </c>
      <c r="AD13" s="24">
        <f t="shared" si="45"/>
        <v>16.22019381527369</v>
      </c>
      <c r="AE13" s="24">
        <f t="shared" si="46"/>
        <v>24.330290722910533</v>
      </c>
      <c r="AF13" s="24">
        <f t="shared" si="47"/>
        <v>13.389474985251066</v>
      </c>
      <c r="AG13" s="24">
        <f t="shared" si="48"/>
        <v>26.778949970502133</v>
      </c>
      <c r="AH13" s="8">
        <f t="shared" si="49"/>
        <v>3.7864864353109953</v>
      </c>
      <c r="AI13" s="8">
        <f t="shared" si="50"/>
        <v>4.119577707851319</v>
      </c>
      <c r="AJ13" s="8">
        <f t="shared" si="51"/>
        <v>0.1693188854489163</v>
      </c>
      <c r="AK13" s="8">
        <f t="shared" si="52"/>
        <v>3.9298620441906236</v>
      </c>
      <c r="AL13" s="8">
        <f t="shared" si="53"/>
        <v>0.5642203220020543</v>
      </c>
      <c r="AM13" s="8">
        <f t="shared" si="54"/>
        <v>0.5947404398933686</v>
      </c>
      <c r="AN13" s="8">
        <f t="shared" si="55"/>
        <v>3.93</v>
      </c>
      <c r="AO13" s="8">
        <f t="shared" si="56"/>
        <v>1.875</v>
      </c>
      <c r="AP13" s="8">
        <f t="shared" si="57"/>
        <v>10.3125</v>
      </c>
      <c r="AQ13" s="8">
        <f t="shared" si="58"/>
        <v>848.88</v>
      </c>
      <c r="AR13" s="8">
        <f t="shared" si="59"/>
        <v>26276.713980743374</v>
      </c>
    </row>
    <row r="14" spans="1:44" ht="12.75">
      <c r="A14" s="12" t="s">
        <v>114</v>
      </c>
      <c r="B14" s="24">
        <v>13</v>
      </c>
      <c r="C14" s="24">
        <v>0</v>
      </c>
      <c r="D14" s="24">
        <v>0.6</v>
      </c>
      <c r="E14" s="24">
        <v>29.02</v>
      </c>
      <c r="F14" s="24">
        <v>6.5</v>
      </c>
      <c r="G14" s="24"/>
      <c r="H14" s="24"/>
      <c r="I14" s="24">
        <f t="shared" si="30"/>
        <v>38.379999999999995</v>
      </c>
      <c r="J14" s="24">
        <f t="shared" si="31"/>
        <v>0.2952307692307692</v>
      </c>
      <c r="K14" s="24">
        <f t="shared" si="32"/>
        <v>0.5904615384615384</v>
      </c>
      <c r="L14" s="24">
        <f t="shared" si="33"/>
        <v>12</v>
      </c>
      <c r="M14" s="24">
        <f t="shared" si="34"/>
        <v>16</v>
      </c>
      <c r="N14" s="24">
        <f t="shared" si="35"/>
        <v>6</v>
      </c>
      <c r="O14" s="24">
        <f t="shared" si="35"/>
        <v>8</v>
      </c>
      <c r="P14" s="24">
        <f t="shared" si="36"/>
        <v>75</v>
      </c>
      <c r="Q14" s="24">
        <f t="shared" si="36"/>
        <v>133.33333333333331</v>
      </c>
      <c r="R14" s="25">
        <v>300</v>
      </c>
      <c r="S14" s="24">
        <f t="shared" si="37"/>
        <v>0.8999999999999999</v>
      </c>
      <c r="T14" s="24">
        <f t="shared" si="38"/>
        <v>43.059999999999995</v>
      </c>
      <c r="U14" s="24">
        <v>18.41</v>
      </c>
      <c r="V14" s="24">
        <v>18.41</v>
      </c>
      <c r="W14" s="24">
        <f t="shared" si="39"/>
        <v>18.41</v>
      </c>
      <c r="X14" s="24">
        <v>106.99</v>
      </c>
      <c r="Y14" s="24">
        <f t="shared" si="40"/>
        <v>9.75</v>
      </c>
      <c r="Z14" s="24">
        <f t="shared" si="41"/>
        <v>7.25</v>
      </c>
      <c r="AA14" s="24">
        <f t="shared" si="42"/>
        <v>0.15</v>
      </c>
      <c r="AB14" s="24">
        <f t="shared" si="43"/>
        <v>546.9</v>
      </c>
      <c r="AC14" s="24">
        <f t="shared" si="44"/>
        <v>2608.39885414762</v>
      </c>
      <c r="AD14" s="24">
        <f t="shared" si="45"/>
        <v>10.505026707660676</v>
      </c>
      <c r="AE14" s="24">
        <f t="shared" si="46"/>
        <v>15.757540061491014</v>
      </c>
      <c r="AF14" s="24">
        <f t="shared" si="47"/>
        <v>8.671708484097648</v>
      </c>
      <c r="AG14" s="24">
        <f t="shared" si="48"/>
        <v>17.343416968195296</v>
      </c>
      <c r="AH14" s="8">
        <f t="shared" si="49"/>
        <v>1.588249211941221</v>
      </c>
      <c r="AI14" s="8">
        <f t="shared" si="50"/>
        <v>2.668049120628308</v>
      </c>
      <c r="AJ14" s="8">
        <f t="shared" si="51"/>
        <v>0.1693188854489164</v>
      </c>
      <c r="AK14" s="8">
        <f t="shared" si="52"/>
        <v>1.6483883941897266</v>
      </c>
      <c r="AL14" s="8">
        <f t="shared" si="53"/>
        <v>0.2408436317590296</v>
      </c>
      <c r="AM14" s="8">
        <f t="shared" si="54"/>
        <v>0.25387147876846633</v>
      </c>
      <c r="AN14" s="8">
        <f t="shared" si="55"/>
        <v>1.65</v>
      </c>
      <c r="AO14" s="8">
        <f t="shared" si="56"/>
        <v>1.875</v>
      </c>
      <c r="AP14" s="8">
        <f t="shared" si="57"/>
        <v>10.3125</v>
      </c>
      <c r="AQ14" s="8">
        <f t="shared" si="58"/>
        <v>257.4</v>
      </c>
      <c r="AR14" s="8">
        <f t="shared" si="59"/>
        <v>6145.440623981495</v>
      </c>
    </row>
    <row r="15" spans="1:44" ht="12.75">
      <c r="A15" s="12" t="s">
        <v>69</v>
      </c>
      <c r="B15" s="24">
        <v>17.75</v>
      </c>
      <c r="C15" s="24">
        <v>0</v>
      </c>
      <c r="D15" s="24">
        <v>0.6</v>
      </c>
      <c r="E15" s="24">
        <v>81.18</v>
      </c>
      <c r="F15" s="24">
        <v>8.88</v>
      </c>
      <c r="G15" s="24"/>
      <c r="H15" s="24"/>
      <c r="I15" s="24">
        <f t="shared" si="30"/>
        <v>93.96000000000001</v>
      </c>
      <c r="J15" s="24">
        <f t="shared" si="31"/>
        <v>0.5293521126760564</v>
      </c>
      <c r="K15" s="24">
        <f t="shared" si="32"/>
        <v>1.0587042253521128</v>
      </c>
      <c r="L15" s="24">
        <f t="shared" si="33"/>
        <v>17</v>
      </c>
      <c r="M15" s="24">
        <f t="shared" si="34"/>
        <v>21</v>
      </c>
      <c r="N15" s="24">
        <f t="shared" si="35"/>
        <v>9</v>
      </c>
      <c r="O15" s="24">
        <f t="shared" si="35"/>
        <v>11</v>
      </c>
      <c r="P15" s="24">
        <f t="shared" si="36"/>
        <v>159.375</v>
      </c>
      <c r="Q15" s="24">
        <f t="shared" si="36"/>
        <v>240.62499999999997</v>
      </c>
      <c r="R15" s="25">
        <v>600</v>
      </c>
      <c r="S15" s="24">
        <f t="shared" si="37"/>
        <v>1.2</v>
      </c>
      <c r="T15" s="24">
        <f t="shared" si="38"/>
        <v>106.74000000000001</v>
      </c>
      <c r="U15" s="24">
        <v>43.24</v>
      </c>
      <c r="V15" s="24">
        <v>48.59</v>
      </c>
      <c r="W15" s="24">
        <f t="shared" si="39"/>
        <v>48.59</v>
      </c>
      <c r="X15" s="24">
        <v>382.18</v>
      </c>
      <c r="Y15" s="24">
        <f t="shared" si="40"/>
        <v>13.3125</v>
      </c>
      <c r="Z15" s="24">
        <f t="shared" si="41"/>
        <v>10.8125</v>
      </c>
      <c r="AA15" s="24">
        <f t="shared" si="42"/>
        <v>0.15</v>
      </c>
      <c r="AB15" s="24">
        <f t="shared" si="43"/>
        <v>546.9</v>
      </c>
      <c r="AC15" s="24">
        <f t="shared" si="44"/>
        <v>9317.486438715183</v>
      </c>
      <c r="AD15" s="24">
        <f t="shared" si="45"/>
        <v>16.058516307175076</v>
      </c>
      <c r="AE15" s="24">
        <f t="shared" si="46"/>
        <v>24.087774460762613</v>
      </c>
      <c r="AF15" s="24">
        <f t="shared" si="47"/>
        <v>13.256013142870028</v>
      </c>
      <c r="AG15" s="24">
        <f t="shared" si="48"/>
        <v>26.512026285740056</v>
      </c>
      <c r="AH15" s="8">
        <f t="shared" si="49"/>
        <v>3.711377759492953</v>
      </c>
      <c r="AI15" s="8">
        <f t="shared" si="50"/>
        <v>4.078515124641203</v>
      </c>
      <c r="AJ15" s="8">
        <f t="shared" si="51"/>
        <v>0.16931888544891655</v>
      </c>
      <c r="AK15" s="8">
        <f t="shared" si="52"/>
        <v>3.8519093724118068</v>
      </c>
      <c r="AL15" s="8">
        <f t="shared" si="53"/>
        <v>0.5490748322273675</v>
      </c>
      <c r="AM15" s="8">
        <f t="shared" si="54"/>
        <v>0.578775691904435</v>
      </c>
      <c r="AN15" s="8">
        <f t="shared" si="55"/>
        <v>3.85</v>
      </c>
      <c r="AO15" s="8">
        <f t="shared" si="56"/>
        <v>1.875</v>
      </c>
      <c r="AP15" s="8">
        <f t="shared" si="57"/>
        <v>10.3125</v>
      </c>
      <c r="AQ15" s="8">
        <f t="shared" si="58"/>
        <v>820.0500000000001</v>
      </c>
      <c r="AR15" s="8">
        <f t="shared" si="59"/>
        <v>25012.14280569438</v>
      </c>
    </row>
    <row r="16" spans="1:44" ht="12.75">
      <c r="A16" s="12" t="s">
        <v>115</v>
      </c>
      <c r="B16" s="24">
        <v>11.42</v>
      </c>
      <c r="C16" s="24">
        <v>0</v>
      </c>
      <c r="D16" s="24">
        <v>0.6</v>
      </c>
      <c r="E16" s="24">
        <v>61.61</v>
      </c>
      <c r="F16" s="24">
        <f>11.42/2</f>
        <v>5.71</v>
      </c>
      <c r="G16" s="24"/>
      <c r="H16" s="24"/>
      <c r="I16" s="24">
        <f t="shared" si="30"/>
        <v>69.8324</v>
      </c>
      <c r="J16" s="24">
        <f t="shared" si="31"/>
        <v>0.6114921190893171</v>
      </c>
      <c r="K16" s="24">
        <f t="shared" si="32"/>
        <v>1.2229842381786342</v>
      </c>
      <c r="L16" s="24">
        <f t="shared" si="33"/>
        <v>11</v>
      </c>
      <c r="M16" s="24">
        <f t="shared" si="34"/>
        <v>14</v>
      </c>
      <c r="N16" s="24">
        <f t="shared" si="35"/>
        <v>6</v>
      </c>
      <c r="O16" s="24">
        <f t="shared" si="35"/>
        <v>7</v>
      </c>
      <c r="P16" s="24">
        <f t="shared" si="36"/>
        <v>68.75</v>
      </c>
      <c r="Q16" s="24">
        <f t="shared" si="36"/>
        <v>102.08333333333336</v>
      </c>
      <c r="R16" s="25">
        <v>700</v>
      </c>
      <c r="S16" s="24">
        <f t="shared" si="37"/>
        <v>1.2999999999999998</v>
      </c>
      <c r="T16" s="24">
        <f t="shared" si="38"/>
        <v>79.42519999999999</v>
      </c>
      <c r="U16" s="24">
        <v>33.93</v>
      </c>
      <c r="V16" s="24">
        <v>33.93</v>
      </c>
      <c r="W16" s="24">
        <f t="shared" si="39"/>
        <v>33.93</v>
      </c>
      <c r="X16" s="24">
        <v>183.95</v>
      </c>
      <c r="Y16" s="24">
        <f t="shared" si="40"/>
        <v>8.565</v>
      </c>
      <c r="Z16" s="24">
        <f t="shared" si="41"/>
        <v>6.0649999999999995</v>
      </c>
      <c r="AA16" s="24">
        <f t="shared" si="42"/>
        <v>0.15</v>
      </c>
      <c r="AB16" s="24">
        <f t="shared" si="43"/>
        <v>546.9</v>
      </c>
      <c r="AC16" s="24">
        <f t="shared" si="44"/>
        <v>4484.671176936674</v>
      </c>
      <c r="AD16" s="24">
        <f t="shared" si="45"/>
        <v>12.584888219049173</v>
      </c>
      <c r="AE16" s="24">
        <f t="shared" si="46"/>
        <v>18.877332328573758</v>
      </c>
      <c r="AF16" s="24">
        <f t="shared" si="47"/>
        <v>10.388596333692858</v>
      </c>
      <c r="AG16" s="24">
        <f t="shared" si="48"/>
        <v>20.777192667385716</v>
      </c>
      <c r="AH16" s="8">
        <f t="shared" si="49"/>
        <v>2.279413161622973</v>
      </c>
      <c r="AI16" s="8">
        <f t="shared" si="50"/>
        <v>3.1962888701229066</v>
      </c>
      <c r="AJ16" s="8">
        <f t="shared" si="51"/>
        <v>0.1693188854489164</v>
      </c>
      <c r="AK16" s="8">
        <f t="shared" si="52"/>
        <v>2.3657233215876925</v>
      </c>
      <c r="AL16" s="8">
        <f t="shared" si="53"/>
        <v>0.24136826443149548</v>
      </c>
      <c r="AM16" s="8">
        <f t="shared" si="54"/>
        <v>0.25442449016177743</v>
      </c>
      <c r="AN16" s="8">
        <f t="shared" si="55"/>
        <v>2.37</v>
      </c>
      <c r="AO16" s="8">
        <f t="shared" si="56"/>
        <v>1.875</v>
      </c>
      <c r="AP16" s="8">
        <f t="shared" si="57"/>
        <v>10.3125</v>
      </c>
      <c r="AQ16" s="8">
        <f t="shared" si="58"/>
        <v>324.7848</v>
      </c>
      <c r="AR16" s="8">
        <f t="shared" si="59"/>
        <v>4423.683854146248</v>
      </c>
    </row>
    <row r="17" spans="1:44" ht="12.75">
      <c r="A17" s="12" t="s">
        <v>71</v>
      </c>
      <c r="B17" s="24">
        <v>18</v>
      </c>
      <c r="C17" s="24">
        <v>0</v>
      </c>
      <c r="D17" s="24">
        <v>0.6</v>
      </c>
      <c r="E17" s="24">
        <v>82.11</v>
      </c>
      <c r="F17" s="24">
        <v>9</v>
      </c>
      <c r="G17" s="24"/>
      <c r="H17" s="24"/>
      <c r="I17" s="24">
        <f t="shared" si="30"/>
        <v>95.07</v>
      </c>
      <c r="J17" s="24">
        <f t="shared" si="31"/>
        <v>0.5281666666666667</v>
      </c>
      <c r="K17" s="24">
        <f t="shared" si="32"/>
        <v>1.0563333333333333</v>
      </c>
      <c r="L17" s="24">
        <f t="shared" si="33"/>
        <v>17</v>
      </c>
      <c r="M17" s="24">
        <f t="shared" si="34"/>
        <v>22</v>
      </c>
      <c r="N17" s="24">
        <f t="shared" si="35"/>
        <v>9</v>
      </c>
      <c r="O17" s="24">
        <f t="shared" si="35"/>
        <v>11</v>
      </c>
      <c r="P17" s="24">
        <f t="shared" si="36"/>
        <v>159.375</v>
      </c>
      <c r="Q17" s="24">
        <f t="shared" si="36"/>
        <v>252.08333333333331</v>
      </c>
      <c r="R17" s="25">
        <v>600</v>
      </c>
      <c r="S17" s="24">
        <f t="shared" si="37"/>
        <v>1.2</v>
      </c>
      <c r="T17" s="24">
        <f t="shared" si="38"/>
        <v>108.03</v>
      </c>
      <c r="U17" s="24">
        <v>46.46</v>
      </c>
      <c r="V17" s="24">
        <v>46.46</v>
      </c>
      <c r="W17" s="24">
        <f t="shared" si="39"/>
        <v>46.46</v>
      </c>
      <c r="X17" s="24">
        <v>393.84</v>
      </c>
      <c r="Y17" s="24">
        <f t="shared" si="40"/>
        <v>13.5</v>
      </c>
      <c r="Z17" s="24">
        <f t="shared" si="41"/>
        <v>11</v>
      </c>
      <c r="AA17" s="24">
        <f t="shared" si="42"/>
        <v>0.15</v>
      </c>
      <c r="AB17" s="24">
        <f t="shared" si="43"/>
        <v>546.9</v>
      </c>
      <c r="AC17" s="24">
        <f t="shared" si="44"/>
        <v>9601.755348326935</v>
      </c>
      <c r="AD17" s="24">
        <f t="shared" si="45"/>
        <v>16.22019381527369</v>
      </c>
      <c r="AE17" s="24">
        <f t="shared" si="46"/>
        <v>24.330290722910533</v>
      </c>
      <c r="AF17" s="24">
        <f t="shared" si="47"/>
        <v>13.389474985251066</v>
      </c>
      <c r="AG17" s="24">
        <f t="shared" si="48"/>
        <v>26.778949970502133</v>
      </c>
      <c r="AH17" s="8">
        <f t="shared" si="49"/>
        <v>3.7864864353109953</v>
      </c>
      <c r="AI17" s="8">
        <f t="shared" si="50"/>
        <v>4.119577707851319</v>
      </c>
      <c r="AJ17" s="8">
        <f t="shared" si="51"/>
        <v>0.1693188854489163</v>
      </c>
      <c r="AK17" s="8">
        <f t="shared" si="52"/>
        <v>3.9298620441906236</v>
      </c>
      <c r="AL17" s="8">
        <f t="shared" si="53"/>
        <v>0.5642203220020543</v>
      </c>
      <c r="AM17" s="8">
        <f t="shared" si="54"/>
        <v>0.5947404398933686</v>
      </c>
      <c r="AN17" s="8">
        <f t="shared" si="55"/>
        <v>3.93</v>
      </c>
      <c r="AO17" s="8">
        <f t="shared" si="56"/>
        <v>1.875</v>
      </c>
      <c r="AP17" s="8">
        <f t="shared" si="57"/>
        <v>10.3125</v>
      </c>
      <c r="AQ17" s="8">
        <f t="shared" si="58"/>
        <v>848.88</v>
      </c>
      <c r="AR17" s="8">
        <f t="shared" si="59"/>
        <v>26276.713980743374</v>
      </c>
    </row>
    <row r="18" spans="1:44" ht="12.75">
      <c r="A18" s="12" t="s">
        <v>116</v>
      </c>
      <c r="B18" s="24">
        <v>13</v>
      </c>
      <c r="C18" s="24">
        <v>0</v>
      </c>
      <c r="D18" s="24">
        <v>0.6</v>
      </c>
      <c r="E18" s="24">
        <v>29.02</v>
      </c>
      <c r="F18" s="24">
        <v>6.5</v>
      </c>
      <c r="G18" s="24"/>
      <c r="H18" s="24"/>
      <c r="I18" s="24">
        <f t="shared" si="30"/>
        <v>38.379999999999995</v>
      </c>
      <c r="J18" s="24">
        <f t="shared" si="31"/>
        <v>0.2952307692307692</v>
      </c>
      <c r="K18" s="24">
        <f t="shared" si="32"/>
        <v>0.5904615384615384</v>
      </c>
      <c r="L18" s="24">
        <f t="shared" si="33"/>
        <v>12</v>
      </c>
      <c r="M18" s="24">
        <f t="shared" si="34"/>
        <v>16</v>
      </c>
      <c r="N18" s="24">
        <f t="shared" si="35"/>
        <v>6</v>
      </c>
      <c r="O18" s="24">
        <f t="shared" si="35"/>
        <v>8</v>
      </c>
      <c r="P18" s="24">
        <f t="shared" si="36"/>
        <v>75</v>
      </c>
      <c r="Q18" s="24">
        <f t="shared" si="36"/>
        <v>133.33333333333331</v>
      </c>
      <c r="R18" s="25">
        <v>300</v>
      </c>
      <c r="S18" s="24">
        <f t="shared" si="37"/>
        <v>0.8999999999999999</v>
      </c>
      <c r="T18" s="24">
        <f t="shared" si="38"/>
        <v>43.059999999999995</v>
      </c>
      <c r="U18" s="24">
        <v>18.41</v>
      </c>
      <c r="V18" s="24">
        <v>18.41</v>
      </c>
      <c r="W18" s="24">
        <f t="shared" si="39"/>
        <v>18.41</v>
      </c>
      <c r="X18" s="24">
        <v>106.99</v>
      </c>
      <c r="Y18" s="24">
        <f t="shared" si="40"/>
        <v>9.75</v>
      </c>
      <c r="Z18" s="24">
        <f t="shared" si="41"/>
        <v>7.25</v>
      </c>
      <c r="AA18" s="24">
        <f t="shared" si="42"/>
        <v>0.15</v>
      </c>
      <c r="AB18" s="24">
        <f t="shared" si="43"/>
        <v>546.9</v>
      </c>
      <c r="AC18" s="24">
        <f t="shared" si="44"/>
        <v>2608.39885414762</v>
      </c>
      <c r="AD18" s="24">
        <f t="shared" si="45"/>
        <v>10.505026707660676</v>
      </c>
      <c r="AE18" s="24">
        <f t="shared" si="46"/>
        <v>15.757540061491014</v>
      </c>
      <c r="AF18" s="24">
        <f t="shared" si="47"/>
        <v>8.671708484097648</v>
      </c>
      <c r="AG18" s="24">
        <f t="shared" si="48"/>
        <v>17.343416968195296</v>
      </c>
      <c r="AH18" s="8">
        <f t="shared" si="49"/>
        <v>1.588249211941221</v>
      </c>
      <c r="AI18" s="8">
        <f t="shared" si="50"/>
        <v>2.668049120628308</v>
      </c>
      <c r="AJ18" s="8">
        <f t="shared" si="51"/>
        <v>0.1693188854489164</v>
      </c>
      <c r="AK18" s="8">
        <f t="shared" si="52"/>
        <v>1.6483883941897266</v>
      </c>
      <c r="AL18" s="8">
        <f t="shared" si="53"/>
        <v>0.2408436317590296</v>
      </c>
      <c r="AM18" s="8">
        <f t="shared" si="54"/>
        <v>0.25387147876846633</v>
      </c>
      <c r="AN18" s="8">
        <f t="shared" si="55"/>
        <v>1.65</v>
      </c>
      <c r="AO18" s="8">
        <f t="shared" si="56"/>
        <v>1.875</v>
      </c>
      <c r="AP18" s="8">
        <f t="shared" si="57"/>
        <v>10.3125</v>
      </c>
      <c r="AQ18" s="8">
        <f t="shared" si="58"/>
        <v>257.4</v>
      </c>
      <c r="AR18" s="8">
        <f t="shared" si="59"/>
        <v>6145.440623981495</v>
      </c>
    </row>
    <row r="19" spans="2:44" ht="12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2.75">
      <c r="A20" s="12" t="s">
        <v>112</v>
      </c>
      <c r="B20" s="24">
        <v>14.16</v>
      </c>
      <c r="C20" s="24">
        <v>0</v>
      </c>
      <c r="D20" s="24">
        <v>0.6</v>
      </c>
      <c r="E20" s="24">
        <v>30.86</v>
      </c>
      <c r="F20" s="24">
        <v>7.08</v>
      </c>
      <c r="G20" s="24">
        <v>0</v>
      </c>
      <c r="H20" s="24"/>
      <c r="I20" s="24">
        <f aca="true" t="shared" si="60" ref="I20:I27">(1.2*D20*B20)+E20+G20</f>
        <v>41.0552</v>
      </c>
      <c r="J20" s="24">
        <f aca="true" t="shared" si="61" ref="J20:J27">(0.1*I20)/B20</f>
        <v>0.28993785310734466</v>
      </c>
      <c r="K20" s="24">
        <f aca="true" t="shared" si="62" ref="K20:K27">(0.2*I20)/B20</f>
        <v>0.5798757062146893</v>
      </c>
      <c r="L20" s="24">
        <f aca="true" t="shared" si="63" ref="L20:L27">ROUND(((0.08*B20)*12),0)</f>
        <v>14</v>
      </c>
      <c r="M20" s="24">
        <f aca="true" t="shared" si="64" ref="M20:M27">ROUND(((0.1*B20)*12),0)</f>
        <v>17</v>
      </c>
      <c r="N20" s="24">
        <f aca="true" t="shared" si="65" ref="N20:O27">ROUND((0.5*L20),0)</f>
        <v>7</v>
      </c>
      <c r="O20" s="24">
        <f t="shared" si="65"/>
        <v>9</v>
      </c>
      <c r="P20" s="24">
        <f aca="true" t="shared" si="66" ref="P20:Q27">(N20/12)*(L20/12)*150</f>
        <v>102.08333333333336</v>
      </c>
      <c r="Q20" s="24">
        <f t="shared" si="66"/>
        <v>159.375</v>
      </c>
      <c r="R20" s="25">
        <v>300</v>
      </c>
      <c r="S20" s="24">
        <f aca="true" t="shared" si="67" ref="S20:S27">D20+(R20/1000)</f>
        <v>0.8999999999999999</v>
      </c>
      <c r="T20" s="24">
        <f aca="true" t="shared" si="68" ref="T20:T27">(1.2*S20*B20)+E20+G20</f>
        <v>46.1528</v>
      </c>
      <c r="U20" s="24">
        <f>T20-V20</f>
        <v>23.0764</v>
      </c>
      <c r="V20" s="24">
        <f>((E20*F20)+(G20*H20)+((1.2*S20)*B20*(0.5*B20)))/B20</f>
        <v>23.0764</v>
      </c>
      <c r="W20" s="24">
        <f aca="true" t="shared" si="69" ref="W20:W27">MAX(U20:V20)</f>
        <v>23.0764</v>
      </c>
      <c r="X20" s="24">
        <f>(((U20-((S20)*F20))*F20)/2)+(F20*(U20-((S20)*F20)))</f>
        <v>177.400728</v>
      </c>
      <c r="Y20" s="24">
        <f aca="true" t="shared" si="70" ref="Y20:Y27">(B20/16)*12</f>
        <v>10.620000000000001</v>
      </c>
      <c r="Z20" s="24">
        <f aca="true" t="shared" si="71" ref="Z20:Z27">Y20-2.5</f>
        <v>8.120000000000001</v>
      </c>
      <c r="AA20" s="24">
        <f aca="true" t="shared" si="72" ref="AA20:AA27">(60000/4000)*0.01</f>
        <v>0.15</v>
      </c>
      <c r="AB20" s="24">
        <f aca="true" t="shared" si="73" ref="AB20:AB27">4000*AA20*(1-(0.59*AA20))</f>
        <v>546.9</v>
      </c>
      <c r="AC20" s="24">
        <f aca="true" t="shared" si="74" ref="AC20:AC27">(12000*X20)/(AB20*0.9)</f>
        <v>4325.000987383434</v>
      </c>
      <c r="AD20" s="24">
        <f aca="true" t="shared" si="75" ref="AD20:AD27">(AC20/2.25)^(1/3)</f>
        <v>12.433724233122744</v>
      </c>
      <c r="AE20" s="24">
        <f aca="true" t="shared" si="76" ref="AE20:AE27">AD20*(1.5)</f>
        <v>18.650586349684115</v>
      </c>
      <c r="AF20" s="24">
        <f aca="true" t="shared" si="77" ref="AF20:AF27">(AC20/4)^(1/3)</f>
        <v>10.263813212647353</v>
      </c>
      <c r="AG20" s="24">
        <f aca="true" t="shared" si="78" ref="AG20:AG27">AF20*2</f>
        <v>20.527626425294706</v>
      </c>
      <c r="AH20" s="8">
        <f aca="true" t="shared" si="79" ref="AH20:AH27">(X20*12000)/(0.9*60000*0.95*AE20)</f>
        <v>2.224983469031381</v>
      </c>
      <c r="AI20" s="8">
        <f aca="true" t="shared" si="80" ref="AI20:AI27">(AH20*60000)/(0.85*4000*AD20)</f>
        <v>3.1578964936972875</v>
      </c>
      <c r="AJ20" s="8">
        <f aca="true" t="shared" si="81" ref="AJ20:AJ27">AI20/AE20</f>
        <v>0.16931888544891635</v>
      </c>
      <c r="AK20" s="8">
        <f aca="true" t="shared" si="82" ref="AK20:AK27">(X20*12000)/(0.9*60000*(AE20-(AI20/2)))</f>
        <v>2.309232644373608</v>
      </c>
      <c r="AL20" s="8">
        <f aca="true" t="shared" si="83" ref="AL20:AL27">(3*(4000^0.5)*AD20*Z20)/60000</f>
        <v>0.3192693736057979</v>
      </c>
      <c r="AM20" s="8">
        <f aca="true" t="shared" si="84" ref="AM20:AM27">(200*AD20*Z20)/60000</f>
        <v>0.336539469243189</v>
      </c>
      <c r="AN20" s="8">
        <f aca="true" t="shared" si="85" ref="AN20:AN27">ROUND(MAX(AK20:AM20),2)</f>
        <v>2.31</v>
      </c>
      <c r="AO20" s="8">
        <f aca="true" t="shared" si="86" ref="AO20:AO27">1.875</f>
        <v>1.875</v>
      </c>
      <c r="AP20" s="8">
        <f aca="true" t="shared" si="87" ref="AP20:AP27">(540/(0.6*60))-(2.5*AO20)</f>
        <v>10.3125</v>
      </c>
      <c r="AQ20" s="8">
        <f aca="true" t="shared" si="88" ref="AQ20:AQ27">AN20*(B20*12)</f>
        <v>392.51520000000005</v>
      </c>
      <c r="AR20" s="8">
        <f aca="true" t="shared" si="89" ref="AR20:AR27">(Y20-6)*AD20*(12*B20)</f>
        <v>9760.851508218044</v>
      </c>
    </row>
    <row r="21" spans="1:44" ht="13.5" customHeight="1">
      <c r="A21" s="12" t="s">
        <v>113</v>
      </c>
      <c r="B21" s="24">
        <v>14.16</v>
      </c>
      <c r="C21" s="24">
        <v>0</v>
      </c>
      <c r="D21" s="24">
        <v>0.6</v>
      </c>
      <c r="E21" s="24">
        <v>30.86</v>
      </c>
      <c r="F21" s="24">
        <v>7.08</v>
      </c>
      <c r="G21" s="24">
        <v>0</v>
      </c>
      <c r="H21" s="24"/>
      <c r="I21" s="24">
        <f t="shared" si="60"/>
        <v>41.0552</v>
      </c>
      <c r="J21" s="24">
        <f t="shared" si="61"/>
        <v>0.28993785310734466</v>
      </c>
      <c r="K21" s="24">
        <f t="shared" si="62"/>
        <v>0.5798757062146893</v>
      </c>
      <c r="L21" s="24">
        <f t="shared" si="63"/>
        <v>14</v>
      </c>
      <c r="M21" s="24">
        <f t="shared" si="64"/>
        <v>17</v>
      </c>
      <c r="N21" s="24">
        <f t="shared" si="65"/>
        <v>7</v>
      </c>
      <c r="O21" s="24">
        <f t="shared" si="65"/>
        <v>9</v>
      </c>
      <c r="P21" s="24">
        <f t="shared" si="66"/>
        <v>102.08333333333336</v>
      </c>
      <c r="Q21" s="24">
        <f t="shared" si="66"/>
        <v>159.375</v>
      </c>
      <c r="R21" s="25">
        <v>300</v>
      </c>
      <c r="S21" s="24">
        <f t="shared" si="67"/>
        <v>0.8999999999999999</v>
      </c>
      <c r="T21" s="24">
        <f t="shared" si="68"/>
        <v>46.1528</v>
      </c>
      <c r="U21" s="24">
        <f>T21-V21</f>
        <v>23.0764</v>
      </c>
      <c r="V21" s="24">
        <f>((E21*F21)+(G21*H21)+((1.2*S21)*B21*(0.5*B21)))/B21</f>
        <v>23.0764</v>
      </c>
      <c r="W21" s="24">
        <f t="shared" si="69"/>
        <v>23.0764</v>
      </c>
      <c r="X21" s="24">
        <f>(((U21-((S21)*F21))*F21)/2)+(F21*(U21-((S21)*F21)))</f>
        <v>177.400728</v>
      </c>
      <c r="Y21" s="24">
        <f t="shared" si="70"/>
        <v>10.620000000000001</v>
      </c>
      <c r="Z21" s="24">
        <f t="shared" si="71"/>
        <v>8.120000000000001</v>
      </c>
      <c r="AA21" s="24">
        <f t="shared" si="72"/>
        <v>0.15</v>
      </c>
      <c r="AB21" s="24">
        <f t="shared" si="73"/>
        <v>546.9</v>
      </c>
      <c r="AC21" s="24">
        <f t="shared" si="74"/>
        <v>4325.000987383434</v>
      </c>
      <c r="AD21" s="24">
        <f t="shared" si="75"/>
        <v>12.433724233122744</v>
      </c>
      <c r="AE21" s="24">
        <f t="shared" si="76"/>
        <v>18.650586349684115</v>
      </c>
      <c r="AF21" s="24">
        <f t="shared" si="77"/>
        <v>10.263813212647353</v>
      </c>
      <c r="AG21" s="24">
        <f t="shared" si="78"/>
        <v>20.527626425294706</v>
      </c>
      <c r="AH21" s="8">
        <f t="shared" si="79"/>
        <v>2.224983469031381</v>
      </c>
      <c r="AI21" s="8">
        <f t="shared" si="80"/>
        <v>3.1578964936972875</v>
      </c>
      <c r="AJ21" s="8">
        <f t="shared" si="81"/>
        <v>0.16931888544891635</v>
      </c>
      <c r="AK21" s="8">
        <f t="shared" si="82"/>
        <v>2.309232644373608</v>
      </c>
      <c r="AL21" s="8">
        <f t="shared" si="83"/>
        <v>0.3192693736057979</v>
      </c>
      <c r="AM21" s="8">
        <f t="shared" si="84"/>
        <v>0.336539469243189</v>
      </c>
      <c r="AN21" s="8">
        <f t="shared" si="85"/>
        <v>2.31</v>
      </c>
      <c r="AO21" s="8">
        <f t="shared" si="86"/>
        <v>1.875</v>
      </c>
      <c r="AP21" s="8">
        <f t="shared" si="87"/>
        <v>10.3125</v>
      </c>
      <c r="AQ21" s="8">
        <f t="shared" si="88"/>
        <v>392.51520000000005</v>
      </c>
      <c r="AR21" s="8">
        <f t="shared" si="89"/>
        <v>9760.851508218044</v>
      </c>
    </row>
    <row r="22" spans="1:44" ht="12.75">
      <c r="A22" s="12" t="s">
        <v>57</v>
      </c>
      <c r="B22" s="24">
        <v>12.92</v>
      </c>
      <c r="C22" s="24">
        <v>0</v>
      </c>
      <c r="D22" s="24">
        <v>0.6</v>
      </c>
      <c r="E22" s="24">
        <v>65.34</v>
      </c>
      <c r="F22" s="24">
        <v>6.46</v>
      </c>
      <c r="G22" s="24"/>
      <c r="H22" s="24"/>
      <c r="I22" s="24">
        <f t="shared" si="60"/>
        <v>74.64240000000001</v>
      </c>
      <c r="J22" s="24">
        <f t="shared" si="61"/>
        <v>0.5777275541795667</v>
      </c>
      <c r="K22" s="24">
        <f t="shared" si="62"/>
        <v>1.1554551083591333</v>
      </c>
      <c r="L22" s="24">
        <f t="shared" si="63"/>
        <v>12</v>
      </c>
      <c r="M22" s="24">
        <f t="shared" si="64"/>
        <v>16</v>
      </c>
      <c r="N22" s="24">
        <f t="shared" si="65"/>
        <v>6</v>
      </c>
      <c r="O22" s="24">
        <f t="shared" si="65"/>
        <v>8</v>
      </c>
      <c r="P22" s="24">
        <f t="shared" si="66"/>
        <v>75</v>
      </c>
      <c r="Q22" s="24">
        <f t="shared" si="66"/>
        <v>133.33333333333331</v>
      </c>
      <c r="R22" s="25">
        <v>600</v>
      </c>
      <c r="S22" s="24">
        <f t="shared" si="67"/>
        <v>1.2</v>
      </c>
      <c r="T22" s="24">
        <f t="shared" si="68"/>
        <v>83.9448</v>
      </c>
      <c r="U22" s="24">
        <v>21.97</v>
      </c>
      <c r="V22" s="24">
        <v>51.12</v>
      </c>
      <c r="W22" s="24">
        <f t="shared" si="69"/>
        <v>51.12</v>
      </c>
      <c r="X22" s="24">
        <v>129.39</v>
      </c>
      <c r="Y22" s="24">
        <f t="shared" si="70"/>
        <v>9.69</v>
      </c>
      <c r="Z22" s="24">
        <f t="shared" si="71"/>
        <v>7.1899999999999995</v>
      </c>
      <c r="AA22" s="24">
        <f t="shared" si="72"/>
        <v>0.15</v>
      </c>
      <c r="AB22" s="24">
        <f t="shared" si="73"/>
        <v>546.9</v>
      </c>
      <c r="AC22" s="24">
        <f t="shared" si="74"/>
        <v>3154.50722252697</v>
      </c>
      <c r="AD22" s="24">
        <f t="shared" si="75"/>
        <v>11.192222518188077</v>
      </c>
      <c r="AE22" s="24">
        <f t="shared" si="76"/>
        <v>16.788333777282116</v>
      </c>
      <c r="AF22" s="24">
        <f t="shared" si="77"/>
        <v>9.238976127124307</v>
      </c>
      <c r="AG22" s="24">
        <f t="shared" si="78"/>
        <v>18.477952254248613</v>
      </c>
      <c r="AH22" s="8">
        <f t="shared" si="79"/>
        <v>1.8028392256307983</v>
      </c>
      <c r="AI22" s="8">
        <f t="shared" si="80"/>
        <v>2.8425819637138035</v>
      </c>
      <c r="AJ22" s="8">
        <f t="shared" si="81"/>
        <v>0.16931888544891632</v>
      </c>
      <c r="AK22" s="8">
        <f t="shared" si="82"/>
        <v>1.871103875749811</v>
      </c>
      <c r="AL22" s="8">
        <f t="shared" si="83"/>
        <v>0.2544750605533084</v>
      </c>
      <c r="AM22" s="8">
        <f t="shared" si="84"/>
        <v>0.26824026635257425</v>
      </c>
      <c r="AN22" s="8">
        <f t="shared" si="85"/>
        <v>1.87</v>
      </c>
      <c r="AO22" s="8">
        <f t="shared" si="86"/>
        <v>1.875</v>
      </c>
      <c r="AP22" s="8">
        <f t="shared" si="87"/>
        <v>10.3125</v>
      </c>
      <c r="AQ22" s="8">
        <f t="shared" si="88"/>
        <v>289.9248</v>
      </c>
      <c r="AR22" s="8">
        <f t="shared" si="89"/>
        <v>6403.043641321354</v>
      </c>
    </row>
    <row r="23" spans="1:44" ht="12.75">
      <c r="A23" s="12" t="s">
        <v>100</v>
      </c>
      <c r="B23" s="24">
        <v>23.13</v>
      </c>
      <c r="C23" s="24">
        <v>0</v>
      </c>
      <c r="D23" s="24">
        <v>0.6</v>
      </c>
      <c r="E23" s="24">
        <v>134.66</v>
      </c>
      <c r="F23" s="24">
        <v>11.57</v>
      </c>
      <c r="G23" s="24"/>
      <c r="H23" s="24"/>
      <c r="I23" s="24">
        <f t="shared" si="60"/>
        <v>151.3136</v>
      </c>
      <c r="J23" s="24">
        <f t="shared" si="61"/>
        <v>0.6541876351059231</v>
      </c>
      <c r="K23" s="24">
        <f t="shared" si="62"/>
        <v>1.3083752702118463</v>
      </c>
      <c r="L23" s="24">
        <f t="shared" si="63"/>
        <v>22</v>
      </c>
      <c r="M23" s="24">
        <f t="shared" si="64"/>
        <v>28</v>
      </c>
      <c r="N23" s="24">
        <f t="shared" si="65"/>
        <v>11</v>
      </c>
      <c r="O23" s="24">
        <f t="shared" si="65"/>
        <v>14</v>
      </c>
      <c r="P23" s="24">
        <f t="shared" si="66"/>
        <v>252.08333333333331</v>
      </c>
      <c r="Q23" s="24">
        <f t="shared" si="66"/>
        <v>408.3333333333334</v>
      </c>
      <c r="R23" s="25">
        <v>700</v>
      </c>
      <c r="S23" s="24">
        <f t="shared" si="67"/>
        <v>1.2999999999999998</v>
      </c>
      <c r="T23" s="24">
        <f t="shared" si="68"/>
        <v>170.7428</v>
      </c>
      <c r="U23" s="24">
        <v>69.75</v>
      </c>
      <c r="V23" s="24">
        <v>78.79</v>
      </c>
      <c r="W23" s="24">
        <f t="shared" si="69"/>
        <v>78.79</v>
      </c>
      <c r="X23" s="24">
        <v>512.43</v>
      </c>
      <c r="Y23" s="24">
        <f t="shared" si="70"/>
        <v>17.3475</v>
      </c>
      <c r="Z23" s="24">
        <f t="shared" si="71"/>
        <v>14.8475</v>
      </c>
      <c r="AA23" s="24">
        <f t="shared" si="72"/>
        <v>0.15</v>
      </c>
      <c r="AB23" s="24">
        <f t="shared" si="73"/>
        <v>546.9</v>
      </c>
      <c r="AC23" s="24">
        <f t="shared" si="74"/>
        <v>12492.960321813858</v>
      </c>
      <c r="AD23" s="24">
        <f t="shared" si="75"/>
        <v>17.70765074010358</v>
      </c>
      <c r="AE23" s="24">
        <f t="shared" si="76"/>
        <v>26.561476110155372</v>
      </c>
      <c r="AF23" s="24">
        <f t="shared" si="77"/>
        <v>14.617343623164286</v>
      </c>
      <c r="AG23" s="24">
        <f t="shared" si="78"/>
        <v>29.234687246328573</v>
      </c>
      <c r="AH23" s="8">
        <f t="shared" si="79"/>
        <v>4.512801403414379</v>
      </c>
      <c r="AI23" s="8">
        <f t="shared" si="80"/>
        <v>4.497359530849533</v>
      </c>
      <c r="AJ23" s="8">
        <f t="shared" si="81"/>
        <v>0.1693188854489166</v>
      </c>
      <c r="AK23" s="8">
        <f t="shared" si="82"/>
        <v>4.683678986107802</v>
      </c>
      <c r="AL23" s="8">
        <f t="shared" si="83"/>
        <v>0.8314081577191066</v>
      </c>
      <c r="AM23" s="8">
        <f t="shared" si="84"/>
        <v>0.8763811478789597</v>
      </c>
      <c r="AN23" s="8">
        <f t="shared" si="85"/>
        <v>4.68</v>
      </c>
      <c r="AO23" s="8">
        <f t="shared" si="86"/>
        <v>1.875</v>
      </c>
      <c r="AP23" s="8">
        <f t="shared" si="87"/>
        <v>10.3125</v>
      </c>
      <c r="AQ23" s="8">
        <f t="shared" si="88"/>
        <v>1298.9808</v>
      </c>
      <c r="AR23" s="8">
        <f t="shared" si="89"/>
        <v>55772.23103360419</v>
      </c>
    </row>
    <row r="24" spans="1:44" ht="12.75">
      <c r="A24" s="23" t="s">
        <v>137</v>
      </c>
      <c r="B24" s="24">
        <v>23.13</v>
      </c>
      <c r="C24" s="24">
        <v>0</v>
      </c>
      <c r="D24" s="24">
        <v>0.6</v>
      </c>
      <c r="E24" s="24">
        <v>134.66</v>
      </c>
      <c r="F24" s="24">
        <v>11.57</v>
      </c>
      <c r="G24" s="24"/>
      <c r="H24" s="24"/>
      <c r="I24" s="24">
        <f t="shared" si="60"/>
        <v>151.3136</v>
      </c>
      <c r="J24" s="24">
        <f t="shared" si="61"/>
        <v>0.6541876351059231</v>
      </c>
      <c r="K24" s="24">
        <f t="shared" si="62"/>
        <v>1.3083752702118463</v>
      </c>
      <c r="L24" s="24">
        <f t="shared" si="63"/>
        <v>22</v>
      </c>
      <c r="M24" s="24">
        <f t="shared" si="64"/>
        <v>28</v>
      </c>
      <c r="N24" s="24">
        <f t="shared" si="65"/>
        <v>11</v>
      </c>
      <c r="O24" s="24">
        <f t="shared" si="65"/>
        <v>14</v>
      </c>
      <c r="P24" s="24">
        <f t="shared" si="66"/>
        <v>252.08333333333331</v>
      </c>
      <c r="Q24" s="24">
        <f t="shared" si="66"/>
        <v>408.3333333333334</v>
      </c>
      <c r="R24" s="25">
        <v>700</v>
      </c>
      <c r="S24" s="24">
        <f t="shared" si="67"/>
        <v>1.2999999999999998</v>
      </c>
      <c r="T24" s="24">
        <f t="shared" si="68"/>
        <v>170.7428</v>
      </c>
      <c r="U24" s="24">
        <v>69.75</v>
      </c>
      <c r="V24" s="24">
        <v>78.79</v>
      </c>
      <c r="W24" s="24">
        <f t="shared" si="69"/>
        <v>78.79</v>
      </c>
      <c r="X24" s="24">
        <v>611</v>
      </c>
      <c r="Y24" s="24">
        <f t="shared" si="70"/>
        <v>17.3475</v>
      </c>
      <c r="Z24" s="24">
        <f t="shared" si="71"/>
        <v>14.8475</v>
      </c>
      <c r="AA24" s="24">
        <f t="shared" si="72"/>
        <v>0.15</v>
      </c>
      <c r="AB24" s="24">
        <f t="shared" si="73"/>
        <v>546.9</v>
      </c>
      <c r="AC24" s="24">
        <f t="shared" si="74"/>
        <v>14896.080941061742</v>
      </c>
      <c r="AD24" s="24">
        <f t="shared" si="75"/>
        <v>18.777156896250776</v>
      </c>
      <c r="AE24" s="24">
        <f t="shared" si="76"/>
        <v>28.165735344376166</v>
      </c>
      <c r="AF24" s="24">
        <f t="shared" si="77"/>
        <v>15.500201503125023</v>
      </c>
      <c r="AG24" s="24">
        <f t="shared" si="78"/>
        <v>31.000403006250046</v>
      </c>
      <c r="AH24" s="8">
        <f t="shared" si="79"/>
        <v>5.074391804818426</v>
      </c>
      <c r="AI24" s="8">
        <f t="shared" si="80"/>
        <v>4.768990916358928</v>
      </c>
      <c r="AJ24" s="8">
        <f t="shared" si="81"/>
        <v>0.16931888544891655</v>
      </c>
      <c r="AK24" s="8">
        <f t="shared" si="82"/>
        <v>5.266534052556305</v>
      </c>
      <c r="AL24" s="8">
        <f t="shared" si="83"/>
        <v>0.8816235225917469</v>
      </c>
      <c r="AM24" s="8">
        <f t="shared" si="84"/>
        <v>0.9293127900569447</v>
      </c>
      <c r="AN24" s="8">
        <f t="shared" si="85"/>
        <v>5.27</v>
      </c>
      <c r="AO24" s="8">
        <f t="shared" si="86"/>
        <v>1.875</v>
      </c>
      <c r="AP24" s="8">
        <f t="shared" si="87"/>
        <v>10.3125</v>
      </c>
      <c r="AQ24" s="8">
        <f t="shared" si="88"/>
        <v>1462.7412</v>
      </c>
      <c r="AR24" s="8">
        <f t="shared" si="89"/>
        <v>59140.76056402989</v>
      </c>
    </row>
    <row r="25" spans="1:44" ht="12.75">
      <c r="A25" s="12" t="s">
        <v>98</v>
      </c>
      <c r="B25" s="24">
        <v>17.17</v>
      </c>
      <c r="C25" s="24">
        <v>0</v>
      </c>
      <c r="D25" s="24">
        <v>0.6</v>
      </c>
      <c r="E25" s="24">
        <v>100.85</v>
      </c>
      <c r="F25" s="24">
        <v>8.59</v>
      </c>
      <c r="G25" s="24"/>
      <c r="H25" s="24"/>
      <c r="I25" s="24">
        <f t="shared" si="60"/>
        <v>113.2124</v>
      </c>
      <c r="J25" s="24">
        <f t="shared" si="61"/>
        <v>0.659361677344205</v>
      </c>
      <c r="K25" s="24">
        <f t="shared" si="62"/>
        <v>1.31872335468841</v>
      </c>
      <c r="L25" s="24">
        <f t="shared" si="63"/>
        <v>16</v>
      </c>
      <c r="M25" s="24">
        <f t="shared" si="64"/>
        <v>21</v>
      </c>
      <c r="N25" s="24">
        <f t="shared" si="65"/>
        <v>8</v>
      </c>
      <c r="O25" s="24">
        <f t="shared" si="65"/>
        <v>11</v>
      </c>
      <c r="P25" s="24">
        <f t="shared" si="66"/>
        <v>133.33333333333331</v>
      </c>
      <c r="Q25" s="24">
        <f t="shared" si="66"/>
        <v>240.62499999999997</v>
      </c>
      <c r="R25" s="25">
        <v>600</v>
      </c>
      <c r="S25" s="24">
        <f t="shared" si="67"/>
        <v>1.2</v>
      </c>
      <c r="T25" s="24">
        <f t="shared" si="68"/>
        <v>125.5748</v>
      </c>
      <c r="U25" s="24">
        <v>50.45</v>
      </c>
      <c r="V25" s="24">
        <v>60.7</v>
      </c>
      <c r="W25" s="24">
        <f t="shared" si="69"/>
        <v>60.7</v>
      </c>
      <c r="X25" s="24">
        <v>306.66</v>
      </c>
      <c r="Y25" s="24">
        <f t="shared" si="70"/>
        <v>12.877500000000001</v>
      </c>
      <c r="Z25" s="24">
        <f t="shared" si="71"/>
        <v>10.377500000000001</v>
      </c>
      <c r="AA25" s="24">
        <f t="shared" si="72"/>
        <v>0.15</v>
      </c>
      <c r="AB25" s="24">
        <f t="shared" si="73"/>
        <v>546.9</v>
      </c>
      <c r="AC25" s="24">
        <f t="shared" si="74"/>
        <v>7476.321082464803</v>
      </c>
      <c r="AD25" s="24">
        <f t="shared" si="75"/>
        <v>14.922278535254767</v>
      </c>
      <c r="AE25" s="24">
        <f t="shared" si="76"/>
        <v>22.38341780288215</v>
      </c>
      <c r="AF25" s="24">
        <f t="shared" si="77"/>
        <v>12.318069527788278</v>
      </c>
      <c r="AG25" s="24">
        <f t="shared" si="78"/>
        <v>24.636139055576557</v>
      </c>
      <c r="AH25" s="8">
        <f t="shared" si="79"/>
        <v>3.2047533564823496</v>
      </c>
      <c r="AI25" s="8">
        <f t="shared" si="80"/>
        <v>3.789935354921439</v>
      </c>
      <c r="AJ25" s="8">
        <f t="shared" si="81"/>
        <v>0.16931888544891643</v>
      </c>
      <c r="AK25" s="8">
        <f t="shared" si="82"/>
        <v>3.326101596240919</v>
      </c>
      <c r="AL25" s="8">
        <f t="shared" si="83"/>
        <v>0.48969749699765724</v>
      </c>
      <c r="AM25" s="8">
        <f t="shared" si="84"/>
        <v>0.5161864849986879</v>
      </c>
      <c r="AN25" s="8">
        <f t="shared" si="85"/>
        <v>3.33</v>
      </c>
      <c r="AO25" s="8">
        <f t="shared" si="86"/>
        <v>1.875</v>
      </c>
      <c r="AP25" s="8">
        <f t="shared" si="87"/>
        <v>10.3125</v>
      </c>
      <c r="AQ25" s="8">
        <f t="shared" si="88"/>
        <v>686.1132000000001</v>
      </c>
      <c r="AR25" s="8">
        <f t="shared" si="89"/>
        <v>21145.467067825273</v>
      </c>
    </row>
    <row r="26" spans="1:44" ht="12.75">
      <c r="A26" s="23" t="s">
        <v>138</v>
      </c>
      <c r="B26" s="24">
        <v>17.17</v>
      </c>
      <c r="C26" s="24">
        <v>0</v>
      </c>
      <c r="D26" s="24">
        <v>0.6</v>
      </c>
      <c r="E26" s="24">
        <v>100.85</v>
      </c>
      <c r="F26" s="24">
        <v>8.59</v>
      </c>
      <c r="G26" s="24"/>
      <c r="H26" s="24"/>
      <c r="I26" s="24">
        <f t="shared" si="60"/>
        <v>113.2124</v>
      </c>
      <c r="J26" s="24">
        <f t="shared" si="61"/>
        <v>0.659361677344205</v>
      </c>
      <c r="K26" s="24">
        <f t="shared" si="62"/>
        <v>1.31872335468841</v>
      </c>
      <c r="L26" s="24">
        <f t="shared" si="63"/>
        <v>16</v>
      </c>
      <c r="M26" s="24">
        <f t="shared" si="64"/>
        <v>21</v>
      </c>
      <c r="N26" s="24">
        <f t="shared" si="65"/>
        <v>8</v>
      </c>
      <c r="O26" s="24">
        <f t="shared" si="65"/>
        <v>11</v>
      </c>
      <c r="P26" s="24">
        <f t="shared" si="66"/>
        <v>133.33333333333331</v>
      </c>
      <c r="Q26" s="24">
        <f t="shared" si="66"/>
        <v>240.62499999999997</v>
      </c>
      <c r="R26" s="25">
        <v>600</v>
      </c>
      <c r="S26" s="24">
        <f t="shared" si="67"/>
        <v>1.2</v>
      </c>
      <c r="T26" s="24">
        <f t="shared" si="68"/>
        <v>125.5748</v>
      </c>
      <c r="U26" s="24">
        <v>50.45</v>
      </c>
      <c r="V26" s="24">
        <v>60.7</v>
      </c>
      <c r="W26" s="24">
        <f t="shared" si="69"/>
        <v>60.7</v>
      </c>
      <c r="X26" s="24">
        <v>611</v>
      </c>
      <c r="Y26" s="24">
        <f t="shared" si="70"/>
        <v>12.877500000000001</v>
      </c>
      <c r="Z26" s="24">
        <f t="shared" si="71"/>
        <v>10.377500000000001</v>
      </c>
      <c r="AA26" s="24">
        <f t="shared" si="72"/>
        <v>0.15</v>
      </c>
      <c r="AB26" s="24">
        <f t="shared" si="73"/>
        <v>546.9</v>
      </c>
      <c r="AC26" s="24">
        <f t="shared" si="74"/>
        <v>14896.080941061742</v>
      </c>
      <c r="AD26" s="24">
        <f t="shared" si="75"/>
        <v>18.777156896250776</v>
      </c>
      <c r="AE26" s="24">
        <f t="shared" si="76"/>
        <v>28.165735344376166</v>
      </c>
      <c r="AF26" s="24">
        <f t="shared" si="77"/>
        <v>15.500201503125023</v>
      </c>
      <c r="AG26" s="24">
        <f t="shared" si="78"/>
        <v>31.000403006250046</v>
      </c>
      <c r="AH26" s="8">
        <f t="shared" si="79"/>
        <v>5.074391804818426</v>
      </c>
      <c r="AI26" s="8">
        <f t="shared" si="80"/>
        <v>4.768990916358928</v>
      </c>
      <c r="AJ26" s="8">
        <f t="shared" si="81"/>
        <v>0.16931888544891655</v>
      </c>
      <c r="AK26" s="8">
        <f t="shared" si="82"/>
        <v>5.266534052556305</v>
      </c>
      <c r="AL26" s="8">
        <f t="shared" si="83"/>
        <v>0.6162012531197747</v>
      </c>
      <c r="AM26" s="8">
        <f t="shared" si="84"/>
        <v>0.6495331523028083</v>
      </c>
      <c r="AN26" s="8">
        <f t="shared" si="85"/>
        <v>5.27</v>
      </c>
      <c r="AO26" s="8">
        <f t="shared" si="86"/>
        <v>1.875</v>
      </c>
      <c r="AP26" s="8">
        <f t="shared" si="87"/>
        <v>10.3125</v>
      </c>
      <c r="AQ26" s="8">
        <f t="shared" si="88"/>
        <v>1085.8308</v>
      </c>
      <c r="AR26" s="8">
        <f t="shared" si="89"/>
        <v>26607.9842859789</v>
      </c>
    </row>
    <row r="27" spans="1:44" ht="12.75">
      <c r="A27" s="12" t="s">
        <v>58</v>
      </c>
      <c r="B27" s="24">
        <v>12.92</v>
      </c>
      <c r="C27" s="24">
        <v>0</v>
      </c>
      <c r="D27" s="24">
        <v>0.6</v>
      </c>
      <c r="E27" s="24">
        <v>61.4</v>
      </c>
      <c r="F27" s="24">
        <v>6.46</v>
      </c>
      <c r="G27" s="24"/>
      <c r="H27" s="24"/>
      <c r="I27" s="24">
        <f t="shared" si="60"/>
        <v>70.7024</v>
      </c>
      <c r="J27" s="24">
        <f t="shared" si="61"/>
        <v>0.5472321981424149</v>
      </c>
      <c r="K27" s="24">
        <f t="shared" si="62"/>
        <v>1.0944643962848297</v>
      </c>
      <c r="L27" s="24">
        <f t="shared" si="63"/>
        <v>12</v>
      </c>
      <c r="M27" s="24">
        <f t="shared" si="64"/>
        <v>16</v>
      </c>
      <c r="N27" s="24">
        <f t="shared" si="65"/>
        <v>6</v>
      </c>
      <c r="O27" s="24">
        <f t="shared" si="65"/>
        <v>8</v>
      </c>
      <c r="P27" s="24">
        <f t="shared" si="66"/>
        <v>75</v>
      </c>
      <c r="Q27" s="24">
        <f t="shared" si="66"/>
        <v>133.33333333333331</v>
      </c>
      <c r="R27" s="25">
        <v>600</v>
      </c>
      <c r="S27" s="24">
        <f t="shared" si="67"/>
        <v>1.2</v>
      </c>
      <c r="T27" s="24">
        <f t="shared" si="68"/>
        <v>80.0048</v>
      </c>
      <c r="U27" s="24">
        <v>39.72</v>
      </c>
      <c r="V27" s="24">
        <v>29.43</v>
      </c>
      <c r="W27" s="24">
        <f t="shared" si="69"/>
        <v>39.72</v>
      </c>
      <c r="X27" s="24">
        <v>88.74</v>
      </c>
      <c r="Y27" s="24">
        <f t="shared" si="70"/>
        <v>9.69</v>
      </c>
      <c r="Z27" s="24">
        <f t="shared" si="71"/>
        <v>7.1899999999999995</v>
      </c>
      <c r="AA27" s="24">
        <f t="shared" si="72"/>
        <v>0.15</v>
      </c>
      <c r="AB27" s="24">
        <f t="shared" si="73"/>
        <v>546.9</v>
      </c>
      <c r="AC27" s="24">
        <f t="shared" si="74"/>
        <v>2163.466812945694</v>
      </c>
      <c r="AD27" s="24">
        <f t="shared" si="75"/>
        <v>9.870123189796589</v>
      </c>
      <c r="AE27" s="24">
        <f t="shared" si="76"/>
        <v>14.805184784694884</v>
      </c>
      <c r="AF27" s="24">
        <f t="shared" si="77"/>
        <v>8.147607177584026</v>
      </c>
      <c r="AG27" s="24">
        <f t="shared" si="78"/>
        <v>16.295214355168053</v>
      </c>
      <c r="AH27" s="8">
        <f t="shared" si="79"/>
        <v>1.4020692776695998</v>
      </c>
      <c r="AI27" s="8">
        <f t="shared" si="80"/>
        <v>2.506797386609795</v>
      </c>
      <c r="AJ27" s="8">
        <f t="shared" si="81"/>
        <v>0.16931888544891655</v>
      </c>
      <c r="AK27" s="8">
        <f t="shared" si="82"/>
        <v>1.4551587419557144</v>
      </c>
      <c r="AL27" s="8">
        <f t="shared" si="83"/>
        <v>0.22441478377600396</v>
      </c>
      <c r="AM27" s="8">
        <f t="shared" si="84"/>
        <v>0.23655395244879154</v>
      </c>
      <c r="AN27" s="8">
        <f t="shared" si="85"/>
        <v>1.46</v>
      </c>
      <c r="AO27" s="8">
        <f t="shared" si="86"/>
        <v>1.875</v>
      </c>
      <c r="AP27" s="8">
        <f t="shared" si="87"/>
        <v>10.3125</v>
      </c>
      <c r="AQ27" s="8">
        <f t="shared" si="88"/>
        <v>226.3584</v>
      </c>
      <c r="AR27" s="8">
        <f t="shared" si="89"/>
        <v>5646.6737885869725</v>
      </c>
    </row>
    <row r="28" spans="4:33" ht="12.7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"/>
      <c r="S28" s="14"/>
      <c r="T28" s="14"/>
      <c r="U28" s="14"/>
      <c r="V28" s="14"/>
      <c r="AD28" s="15"/>
      <c r="AE28" s="15"/>
      <c r="AF28" s="15"/>
      <c r="AG28" s="15"/>
    </row>
    <row r="29" spans="4:33" ht="12.7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9"/>
      <c r="S29" s="14"/>
      <c r="T29" s="14"/>
      <c r="U29" s="14"/>
      <c r="V29" s="14"/>
      <c r="AD29" s="15"/>
      <c r="AE29" s="15"/>
      <c r="AF29" s="15"/>
      <c r="AG29" s="15"/>
    </row>
    <row r="30" spans="4:33" ht="12.7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9"/>
      <c r="S30" s="14"/>
      <c r="T30" s="14"/>
      <c r="U30" s="14"/>
      <c r="V30" s="14"/>
      <c r="AD30" s="15"/>
      <c r="AE30" s="15"/>
      <c r="AF30" s="15"/>
      <c r="AG30" s="15"/>
    </row>
    <row r="31" spans="4:33" ht="12.7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9"/>
      <c r="S31" s="14"/>
      <c r="T31" s="14"/>
      <c r="U31" s="14"/>
      <c r="V31" s="14"/>
      <c r="AD31" s="15"/>
      <c r="AE31" s="15"/>
      <c r="AF31" s="15"/>
      <c r="AG31" s="15"/>
    </row>
    <row r="32" spans="4:33" ht="12.7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9"/>
      <c r="S32" s="14"/>
      <c r="T32" s="14"/>
      <c r="U32" s="14"/>
      <c r="V32" s="14"/>
      <c r="AD32" s="15"/>
      <c r="AE32" s="15"/>
      <c r="AF32" s="15"/>
      <c r="AG32" s="15"/>
    </row>
    <row r="33" spans="4:33" ht="12.7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14"/>
      <c r="T33" s="14"/>
      <c r="U33" s="14"/>
      <c r="V33" s="14"/>
      <c r="AD33" s="15"/>
      <c r="AE33" s="15"/>
      <c r="AF33" s="15"/>
      <c r="AG33" s="15"/>
    </row>
    <row r="34" spans="4:33" ht="12.7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14"/>
      <c r="T34" s="14"/>
      <c r="U34" s="14"/>
      <c r="V34" s="14"/>
      <c r="AD34" s="15"/>
      <c r="AE34" s="15"/>
      <c r="AF34" s="15"/>
      <c r="AG34" s="15"/>
    </row>
    <row r="35" spans="4:33" ht="12.7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14"/>
      <c r="T35" s="14"/>
      <c r="U35" s="14"/>
      <c r="V35" s="14"/>
      <c r="AD35" s="15"/>
      <c r="AE35" s="15"/>
      <c r="AF35" s="15"/>
      <c r="AG35" s="15"/>
    </row>
    <row r="36" spans="4:33" ht="12.7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14"/>
      <c r="T36" s="14"/>
      <c r="U36" s="14"/>
      <c r="V36" s="14"/>
      <c r="AD36" s="15"/>
      <c r="AE36" s="15"/>
      <c r="AF36" s="15"/>
      <c r="AG36" s="15"/>
    </row>
    <row r="37" spans="4:22" ht="12.7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S37" s="14"/>
      <c r="T37" s="14"/>
      <c r="U37" s="14"/>
      <c r="V37" s="14"/>
    </row>
    <row r="38" spans="4:20" ht="12.7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S38" s="14"/>
      <c r="T38" s="14"/>
    </row>
    <row r="39" spans="4:20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S39" s="14"/>
      <c r="T39" s="14"/>
    </row>
    <row r="40" spans="4:20" ht="12.7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S40" s="14"/>
      <c r="T40" s="14"/>
    </row>
    <row r="41" spans="4:20" ht="12.7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S41" s="14"/>
      <c r="T41" s="14"/>
    </row>
    <row r="42" spans="4:20" ht="12.7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S42" s="14"/>
      <c r="T42" s="14"/>
    </row>
    <row r="43" spans="4:20" ht="12.7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S43" s="14"/>
      <c r="T43" s="14"/>
    </row>
    <row r="44" spans="4:20" ht="12.7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S44" s="14"/>
      <c r="T44" s="14"/>
    </row>
    <row r="45" spans="4:20" ht="12.7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S45" s="14"/>
      <c r="T45" s="14"/>
    </row>
    <row r="46" spans="4:20" ht="12.7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S46" s="14"/>
      <c r="T46" s="14"/>
    </row>
    <row r="47" spans="4:20" ht="12.7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S47" s="14"/>
      <c r="T47" s="14"/>
    </row>
    <row r="48" spans="4:20" ht="12.7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S48" s="14"/>
      <c r="T48" s="14"/>
    </row>
    <row r="49" spans="4:20" ht="12.7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S49" s="14"/>
      <c r="T49" s="14"/>
    </row>
    <row r="50" spans="4:20" ht="12.7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S50" s="14"/>
      <c r="T50" s="14"/>
    </row>
    <row r="51" spans="4:20" ht="12.7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S51" s="14"/>
      <c r="T51" s="14"/>
    </row>
    <row r="52" spans="4:20" ht="12.7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S52" s="14"/>
      <c r="T52" s="14"/>
    </row>
    <row r="53" spans="4:20" ht="12.75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S53" s="14"/>
      <c r="T53" s="14"/>
    </row>
    <row r="54" spans="4:20" ht="12.7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S54" s="14"/>
      <c r="T54" s="14"/>
    </row>
    <row r="55" spans="4:20" ht="12.7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S55" s="14"/>
      <c r="T55" s="14"/>
    </row>
    <row r="56" spans="4:20" ht="12.7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S56" s="14"/>
      <c r="T56" s="14"/>
    </row>
    <row r="57" spans="4:20" ht="12.7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S57" s="14"/>
      <c r="T57" s="14"/>
    </row>
    <row r="58" spans="4:20" ht="12.7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S58" s="14"/>
      <c r="T58" s="14"/>
    </row>
  </sheetData>
  <sheetProtection/>
  <dataValidations count="1">
    <dataValidation allowBlank="1" showInputMessage="1" showErrorMessage="1" sqref="S38:S58 E21:Q21 E28:F29 G28:G36 D28:D36 D2:Q2 E3:Q3 I28:I36 J28:J58 K37:K58 K28:Q36 H28:H29 D4:Q20 S2:V37 D22:Q27"/>
  </dataValidations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Worcester Polytechnic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WPI CCC</dc:creator>
  <cp:keywords/>
  <dc:description/>
  <cp:lastModifiedBy>WPI CCC</cp:lastModifiedBy>
  <cp:lastPrinted>2008-02-17T00:09:23Z</cp:lastPrinted>
  <dcterms:created xsi:type="dcterms:W3CDTF">2007-12-03T01:42:41Z</dcterms:created>
  <dcterms:modified xsi:type="dcterms:W3CDTF">2008-02-18T17:33:19Z</dcterms:modified>
  <cp:category/>
  <cp:version/>
  <cp:contentType/>
  <cp:contentStatus/>
</cp:coreProperties>
</file>