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337"/>
  </bookViews>
  <sheets>
    <sheet name="Energy Consumption Trends" sheetId="1" r:id="rId1"/>
  </sheets>
  <calcPr calcId="125725"/>
</workbook>
</file>

<file path=xl/calcChain.xml><?xml version="1.0" encoding="utf-8"?>
<calcChain xmlns="http://schemas.openxmlformats.org/spreadsheetml/2006/main">
  <c r="G22" i="1"/>
  <c r="G23"/>
  <c r="G24"/>
  <c r="G25"/>
  <c r="G26"/>
  <c r="G27"/>
  <c r="G28"/>
  <c r="G30"/>
  <c r="G31"/>
  <c r="G21"/>
  <c r="AD5"/>
  <c r="AE17"/>
  <c r="AD16"/>
  <c r="AD17" s="1"/>
  <c r="AC16"/>
  <c r="AC17" s="1"/>
  <c r="AB16"/>
  <c r="AB17" s="1"/>
  <c r="AD8"/>
  <c r="E5"/>
  <c r="E6"/>
  <c r="E7"/>
  <c r="E8"/>
  <c r="E9"/>
  <c r="E10"/>
  <c r="E11"/>
  <c r="E12"/>
  <c r="E13"/>
  <c r="E14"/>
  <c r="E4"/>
  <c r="F35" l="1"/>
  <c r="D28"/>
  <c r="J4"/>
  <c r="O4"/>
  <c r="T4"/>
  <c r="J5"/>
  <c r="O5"/>
  <c r="T5"/>
  <c r="J6"/>
  <c r="O6"/>
  <c r="T6"/>
  <c r="J7"/>
  <c r="O7"/>
  <c r="T7"/>
  <c r="J8"/>
  <c r="O8"/>
  <c r="T8"/>
  <c r="Y8"/>
  <c r="Y16" s="1"/>
  <c r="Y17" s="1"/>
  <c r="J9"/>
  <c r="O9"/>
  <c r="T9"/>
  <c r="J10"/>
  <c r="M10"/>
  <c r="N10"/>
  <c r="O10" s="1"/>
  <c r="T10"/>
  <c r="J11"/>
  <c r="O11"/>
  <c r="T11"/>
  <c r="J12"/>
  <c r="G29" s="1"/>
  <c r="G33" s="1"/>
  <c r="O12"/>
  <c r="T12"/>
  <c r="C13"/>
  <c r="D13"/>
  <c r="J13"/>
  <c r="O13"/>
  <c r="T13"/>
  <c r="J14"/>
  <c r="O14"/>
  <c r="T14"/>
  <c r="C16"/>
  <c r="D16"/>
  <c r="D17" s="1"/>
  <c r="H16"/>
  <c r="H17" s="1"/>
  <c r="I16"/>
  <c r="I17" s="1"/>
  <c r="M16"/>
  <c r="N16"/>
  <c r="N17" s="1"/>
  <c r="R16"/>
  <c r="S16"/>
  <c r="T16"/>
  <c r="W16"/>
  <c r="X16"/>
  <c r="X17" s="1"/>
  <c r="C17"/>
  <c r="M17"/>
  <c r="P17"/>
  <c r="R17"/>
  <c r="S17"/>
  <c r="T17"/>
  <c r="U17"/>
  <c r="W17"/>
  <c r="Z17"/>
  <c r="D21"/>
  <c r="E21"/>
  <c r="F21"/>
  <c r="F22"/>
  <c r="C23"/>
  <c r="F23" s="1"/>
  <c r="D23"/>
  <c r="E23"/>
  <c r="E33" s="1"/>
  <c r="F24"/>
  <c r="C25"/>
  <c r="D25"/>
  <c r="E25"/>
  <c r="F25"/>
  <c r="C26"/>
  <c r="F26" s="1"/>
  <c r="D26"/>
  <c r="E26"/>
  <c r="C27"/>
  <c r="D27"/>
  <c r="E27"/>
  <c r="F27"/>
  <c r="C28"/>
  <c r="F28" s="1"/>
  <c r="E28"/>
  <c r="C29"/>
  <c r="D29"/>
  <c r="E29"/>
  <c r="F29"/>
  <c r="D30"/>
  <c r="E30"/>
  <c r="F30"/>
  <c r="C31"/>
  <c r="F31" s="1"/>
  <c r="D31"/>
  <c r="E31"/>
  <c r="D33"/>
  <c r="C35"/>
  <c r="D35"/>
  <c r="E35"/>
  <c r="G35" l="1"/>
  <c r="J16"/>
  <c r="J17" s="1"/>
  <c r="O16"/>
  <c r="O17" s="1"/>
  <c r="E16"/>
  <c r="E17" s="1"/>
  <c r="C33"/>
</calcChain>
</file>

<file path=xl/sharedStrings.xml><?xml version="1.0" encoding="utf-8"?>
<sst xmlns="http://schemas.openxmlformats.org/spreadsheetml/2006/main" count="67" uniqueCount="31">
  <si>
    <t>Business</t>
  </si>
  <si>
    <t>Boiler Adjustment Savings</t>
  </si>
  <si>
    <t>LED Lighting Savings</t>
  </si>
  <si>
    <t>Variable Speed Drive Savings</t>
  </si>
  <si>
    <t>Thermostatic Radiator Valve Savings</t>
  </si>
  <si>
    <t>£</t>
  </si>
  <si>
    <t>kWh</t>
  </si>
  <si>
    <t>Tonnes CO2</t>
  </si>
  <si>
    <t>Years Till Payback</t>
  </si>
  <si>
    <t>Armatool</t>
  </si>
  <si>
    <t>Craftstone Europe</t>
  </si>
  <si>
    <t>ING Lease</t>
  </si>
  <si>
    <t>La Barbe</t>
  </si>
  <si>
    <t>Reigate Library</t>
  </si>
  <si>
    <t>Risbridger Ltd.</t>
  </si>
  <si>
    <t>Summit Print</t>
  </si>
  <si>
    <t>Wray Common Primary School</t>
  </si>
  <si>
    <t>Wray Park Fire Complex</t>
  </si>
  <si>
    <t>YMCA Hillbrook</t>
  </si>
  <si>
    <t>YMCA Princes Road</t>
  </si>
  <si>
    <t>Total</t>
  </si>
  <si>
    <t>Average per recommendation</t>
  </si>
  <si>
    <t>Totals</t>
  </si>
  <si>
    <t>Saved in kWh</t>
  </si>
  <si>
    <t>Payback</t>
  </si>
  <si>
    <t>Saved in Tonnes CO2</t>
  </si>
  <si>
    <t>Average</t>
  </si>
  <si>
    <r>
      <t>Saved (</t>
    </r>
    <r>
      <rPr>
        <b/>
        <sz val="10"/>
        <rFont val="Calibri"/>
        <family val="2"/>
      </rPr>
      <t>£</t>
    </r>
    <r>
      <rPr>
        <b/>
        <sz val="10"/>
        <rFont val="Arial"/>
        <family val="2"/>
      </rPr>
      <t>)</t>
    </r>
  </si>
  <si>
    <r>
      <t>Invested (</t>
    </r>
    <r>
      <rPr>
        <b/>
        <sz val="10"/>
        <rFont val="Calibri"/>
        <family val="2"/>
      </rPr>
      <t>£</t>
    </r>
    <r>
      <rPr>
        <b/>
        <sz val="10"/>
        <rFont val="Arial"/>
        <family val="2"/>
      </rPr>
      <t>)</t>
    </r>
  </si>
  <si>
    <t>Additional Savings</t>
  </si>
  <si>
    <t>Behavioral Changes Savings</t>
  </si>
</sst>
</file>

<file path=xl/styles.xml><?xml version="1.0" encoding="utf-8"?>
<styleSheet xmlns="http://schemas.openxmlformats.org/spreadsheetml/2006/main">
  <numFmts count="1">
    <numFmt numFmtId="164" formatCode="[$£-809]#,##0.00"/>
  </numFmts>
  <fonts count="5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Calibri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7"/>
      </patternFill>
    </fill>
    <fill>
      <patternFill patternType="solid">
        <fgColor rgb="FF66FFFF"/>
        <bgColor indexed="35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/>
    <xf numFmtId="0" fontId="0" fillId="6" borderId="0" xfId="0" applyFont="1" applyFill="1"/>
    <xf numFmtId="2" fontId="0" fillId="6" borderId="0" xfId="0" applyNumberFormat="1" applyFont="1" applyFill="1"/>
    <xf numFmtId="0" fontId="0" fillId="10" borderId="0" xfId="0" applyFill="1"/>
    <xf numFmtId="0" fontId="2" fillId="11" borderId="0" xfId="0" applyFont="1" applyFill="1"/>
    <xf numFmtId="0" fontId="2" fillId="2" borderId="0" xfId="0" applyFont="1" applyFill="1"/>
    <xf numFmtId="164" fontId="0" fillId="0" borderId="0" xfId="0" applyNumberFormat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164" fontId="0" fillId="9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6" borderId="0" xfId="0" applyNumberFormat="1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0" fillId="0" borderId="0" xfId="0" applyNumberFormat="1"/>
    <xf numFmtId="3" fontId="0" fillId="9" borderId="0" xfId="0" applyNumberForma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center"/>
    </xf>
    <xf numFmtId="4" fontId="0" fillId="9" borderId="0" xfId="0" applyNumberFormat="1" applyFill="1" applyAlignment="1">
      <alignment horizontal="center"/>
    </xf>
    <xf numFmtId="4" fontId="0" fillId="0" borderId="0" xfId="0" applyNumberFormat="1"/>
    <xf numFmtId="4" fontId="0" fillId="11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6" borderId="0" xfId="0" applyNumberFormat="1" applyFont="1" applyFill="1" applyAlignment="1">
      <alignment horizontal="center"/>
    </xf>
    <xf numFmtId="0" fontId="4" fillId="12" borderId="0" xfId="0" applyFont="1" applyFill="1"/>
    <xf numFmtId="164" fontId="0" fillId="0" borderId="0" xfId="0" applyNumberForma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66FF66"/>
      <color rgb="FFFFFFCC"/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7"/>
  <sheetViews>
    <sheetView tabSelected="1" topLeftCell="A7" zoomScale="70" zoomScaleNormal="70" workbookViewId="0">
      <selection activeCell="I26" sqref="I26"/>
    </sheetView>
  </sheetViews>
  <sheetFormatPr defaultColWidth="11.5703125" defaultRowHeight="12.75"/>
  <cols>
    <col min="1" max="1" width="26.5703125" customWidth="1"/>
    <col min="2" max="2" width="25.28515625" customWidth="1"/>
    <col min="3" max="3" width="12.42578125" customWidth="1"/>
    <col min="4" max="4" width="16.85546875" customWidth="1"/>
    <col min="5" max="5" width="13.7109375" customWidth="1"/>
    <col min="6" max="6" width="17" customWidth="1"/>
    <col min="7" max="7" width="22.140625" customWidth="1"/>
    <col min="8" max="8" width="11.42578125" customWidth="1"/>
    <col min="9" max="9" width="11" customWidth="1"/>
    <col min="10" max="10" width="11.7109375" customWidth="1"/>
    <col min="11" max="11" width="17" customWidth="1"/>
    <col min="13" max="13" width="10.85546875" customWidth="1"/>
    <col min="14" max="14" width="10" customWidth="1"/>
    <col min="15" max="15" width="11.7109375" customWidth="1"/>
    <col min="16" max="16" width="17" customWidth="1"/>
    <col min="18" max="18" width="10.42578125" customWidth="1"/>
    <col min="19" max="19" width="9" customWidth="1"/>
    <col min="20" max="20" width="11.7109375" customWidth="1"/>
    <col min="21" max="21" width="17" customWidth="1"/>
    <col min="23" max="23" width="8.5703125" customWidth="1"/>
    <col min="24" max="24" width="9" customWidth="1"/>
    <col min="25" max="25" width="11.7109375" customWidth="1"/>
    <col min="26" max="26" width="17" customWidth="1"/>
    <col min="30" max="30" width="16.42578125" customWidth="1"/>
    <col min="31" max="31" width="15.7109375" customWidth="1"/>
  </cols>
  <sheetData>
    <row r="1" spans="1:31">
      <c r="A1" s="8" t="s">
        <v>0</v>
      </c>
      <c r="C1" s="32" t="s">
        <v>30</v>
      </c>
      <c r="D1" s="32"/>
      <c r="E1" s="32"/>
      <c r="F1" s="32"/>
      <c r="H1" s="31" t="s">
        <v>1</v>
      </c>
      <c r="I1" s="31"/>
      <c r="J1" s="31"/>
      <c r="K1" s="31"/>
      <c r="M1" s="31" t="s">
        <v>2</v>
      </c>
      <c r="N1" s="31"/>
      <c r="O1" s="31"/>
      <c r="P1" s="31"/>
      <c r="R1" s="31" t="s">
        <v>3</v>
      </c>
      <c r="S1" s="31"/>
      <c r="T1" s="31"/>
      <c r="U1" s="31"/>
      <c r="W1" s="31" t="s">
        <v>4</v>
      </c>
      <c r="X1" s="31"/>
      <c r="Y1" s="31"/>
      <c r="Z1" s="31"/>
      <c r="AB1" s="31" t="s">
        <v>29</v>
      </c>
      <c r="AC1" s="31"/>
      <c r="AD1" s="31"/>
      <c r="AE1" s="31"/>
    </row>
    <row r="2" spans="1:31">
      <c r="C2" s="1" t="s">
        <v>5</v>
      </c>
      <c r="D2" s="2" t="s">
        <v>6</v>
      </c>
      <c r="E2" s="2" t="s">
        <v>7</v>
      </c>
      <c r="F2" s="2" t="s">
        <v>8</v>
      </c>
      <c r="H2" s="1" t="s">
        <v>5</v>
      </c>
      <c r="I2" s="2" t="s">
        <v>6</v>
      </c>
      <c r="J2" s="2" t="s">
        <v>7</v>
      </c>
      <c r="K2" s="2" t="s">
        <v>8</v>
      </c>
      <c r="M2" s="1" t="s">
        <v>5</v>
      </c>
      <c r="N2" s="2" t="s">
        <v>6</v>
      </c>
      <c r="O2" s="2" t="s">
        <v>7</v>
      </c>
      <c r="P2" s="2" t="s">
        <v>8</v>
      </c>
      <c r="R2" s="1" t="s">
        <v>5</v>
      </c>
      <c r="S2" s="2" t="s">
        <v>6</v>
      </c>
      <c r="T2" s="2" t="s">
        <v>7</v>
      </c>
      <c r="U2" s="2" t="s">
        <v>8</v>
      </c>
      <c r="W2" s="1" t="s">
        <v>5</v>
      </c>
      <c r="X2" s="2" t="s">
        <v>6</v>
      </c>
      <c r="Y2" s="2" t="s">
        <v>7</v>
      </c>
      <c r="Z2" s="2" t="s">
        <v>8</v>
      </c>
      <c r="AB2" s="1" t="s">
        <v>5</v>
      </c>
      <c r="AC2" s="2" t="s">
        <v>6</v>
      </c>
      <c r="AD2" s="2" t="s">
        <v>7</v>
      </c>
      <c r="AE2" s="2" t="s">
        <v>8</v>
      </c>
    </row>
    <row r="4" spans="1:31">
      <c r="A4" s="3" t="s">
        <v>9</v>
      </c>
      <c r="C4" s="13">
        <v>1203</v>
      </c>
      <c r="D4" s="17">
        <v>10950</v>
      </c>
      <c r="E4" s="14">
        <f>(0.365225*D4)/1000</f>
        <v>3.9992137500000005</v>
      </c>
      <c r="F4" s="14">
        <v>0</v>
      </c>
      <c r="H4" s="13">
        <v>0</v>
      </c>
      <c r="I4" s="17">
        <v>0</v>
      </c>
      <c r="J4" s="14">
        <f t="shared" ref="J4:J14" si="0">(0.18523*I4)/1000</f>
        <v>0</v>
      </c>
      <c r="K4" s="14">
        <v>0</v>
      </c>
      <c r="M4" s="13">
        <v>2067</v>
      </c>
      <c r="N4" s="17">
        <v>19681</v>
      </c>
      <c r="O4" s="14">
        <f t="shared" ref="O4:O14" si="1">(0.54522*N4)/1000</f>
        <v>10.730474820000001</v>
      </c>
      <c r="P4" s="14">
        <v>3.5</v>
      </c>
      <c r="R4" s="13">
        <v>0</v>
      </c>
      <c r="S4" s="17">
        <v>0</v>
      </c>
      <c r="T4" s="14">
        <f t="shared" ref="T4:T14" si="2">(0.54522*S4)/1000</f>
        <v>0</v>
      </c>
      <c r="U4" s="14">
        <v>0</v>
      </c>
      <c r="W4" s="13">
        <v>0</v>
      </c>
      <c r="X4" s="17">
        <v>0</v>
      </c>
      <c r="Y4" s="14">
        <v>0</v>
      </c>
      <c r="Z4" s="14">
        <v>0</v>
      </c>
      <c r="AB4" s="13">
        <v>0</v>
      </c>
      <c r="AC4" s="17">
        <v>0</v>
      </c>
      <c r="AD4" s="14">
        <v>0</v>
      </c>
      <c r="AE4" s="14">
        <v>0</v>
      </c>
    </row>
    <row r="5" spans="1:31">
      <c r="A5" s="3" t="s">
        <v>10</v>
      </c>
      <c r="C5" s="13">
        <v>0</v>
      </c>
      <c r="D5" s="17">
        <v>0</v>
      </c>
      <c r="E5" s="14">
        <f t="shared" ref="E5:E14" si="3">(0.365225*D5)/1000</f>
        <v>0</v>
      </c>
      <c r="F5" s="14">
        <v>0</v>
      </c>
      <c r="H5" s="13">
        <v>0</v>
      </c>
      <c r="I5" s="17">
        <v>0</v>
      </c>
      <c r="J5" s="14">
        <f t="shared" si="0"/>
        <v>0</v>
      </c>
      <c r="K5" s="14">
        <v>0</v>
      </c>
      <c r="M5" s="13">
        <v>0</v>
      </c>
      <c r="N5" s="17">
        <v>0</v>
      </c>
      <c r="O5" s="14">
        <f t="shared" si="1"/>
        <v>0</v>
      </c>
      <c r="P5" s="14">
        <v>0</v>
      </c>
      <c r="R5" s="13">
        <v>0</v>
      </c>
      <c r="S5" s="17">
        <v>0</v>
      </c>
      <c r="T5" s="14">
        <f t="shared" si="2"/>
        <v>0</v>
      </c>
      <c r="U5" s="14">
        <v>0</v>
      </c>
      <c r="W5" s="13">
        <v>0</v>
      </c>
      <c r="X5" s="17">
        <v>0</v>
      </c>
      <c r="Y5" s="14">
        <v>0</v>
      </c>
      <c r="Z5" s="14">
        <v>0</v>
      </c>
      <c r="AB5" s="13">
        <v>3177</v>
      </c>
      <c r="AC5" s="17">
        <v>0</v>
      </c>
      <c r="AD5" s="14">
        <f>((101311*0.24683)-(101311*0.18523))/1000</f>
        <v>6.2407575999999976</v>
      </c>
      <c r="AE5" s="14">
        <v>0</v>
      </c>
    </row>
    <row r="6" spans="1:31">
      <c r="A6" s="3" t="s">
        <v>11</v>
      </c>
      <c r="C6" s="13">
        <v>1481</v>
      </c>
      <c r="D6" s="17">
        <v>13472</v>
      </c>
      <c r="E6" s="14">
        <f t="shared" si="3"/>
        <v>4.9203112000000004</v>
      </c>
      <c r="F6" s="14">
        <v>0</v>
      </c>
      <c r="H6" s="13">
        <v>1953</v>
      </c>
      <c r="I6" s="17">
        <v>145950</v>
      </c>
      <c r="J6" s="14">
        <f t="shared" si="0"/>
        <v>27.034318500000001</v>
      </c>
      <c r="K6" s="14">
        <v>0</v>
      </c>
      <c r="M6" s="13">
        <v>10746</v>
      </c>
      <c r="N6" s="17">
        <v>89547</v>
      </c>
      <c r="O6" s="14">
        <f t="shared" si="1"/>
        <v>48.822815339999998</v>
      </c>
      <c r="P6" s="14">
        <v>2.9</v>
      </c>
      <c r="R6" s="13">
        <v>3538</v>
      </c>
      <c r="S6" s="17">
        <v>35385</v>
      </c>
      <c r="T6" s="14">
        <f t="shared" si="2"/>
        <v>19.2926097</v>
      </c>
      <c r="U6" s="14">
        <v>1.3</v>
      </c>
      <c r="W6" s="13">
        <v>0</v>
      </c>
      <c r="X6" s="17">
        <v>0</v>
      </c>
      <c r="Y6" s="14">
        <v>0</v>
      </c>
      <c r="Z6" s="14">
        <v>0</v>
      </c>
      <c r="AB6" s="13">
        <v>0</v>
      </c>
      <c r="AC6" s="17">
        <v>0</v>
      </c>
      <c r="AD6" s="14">
        <v>0</v>
      </c>
      <c r="AE6" s="14">
        <v>0</v>
      </c>
    </row>
    <row r="7" spans="1:31">
      <c r="A7" s="3" t="s">
        <v>12</v>
      </c>
      <c r="C7" s="13">
        <v>0</v>
      </c>
      <c r="D7" s="17">
        <v>0</v>
      </c>
      <c r="E7" s="14">
        <f t="shared" si="3"/>
        <v>0</v>
      </c>
      <c r="F7" s="14">
        <v>0</v>
      </c>
      <c r="H7" s="13">
        <v>0</v>
      </c>
      <c r="I7" s="17">
        <v>0</v>
      </c>
      <c r="J7" s="14">
        <f t="shared" si="0"/>
        <v>0</v>
      </c>
      <c r="K7" s="14">
        <v>0</v>
      </c>
      <c r="M7" s="13">
        <v>386</v>
      </c>
      <c r="N7" s="17">
        <v>3220</v>
      </c>
      <c r="O7" s="14">
        <f t="shared" si="1"/>
        <v>1.7556084000000001</v>
      </c>
      <c r="P7" s="14">
        <v>2.1</v>
      </c>
      <c r="R7" s="13">
        <v>0</v>
      </c>
      <c r="S7" s="17">
        <v>0</v>
      </c>
      <c r="T7" s="14">
        <f t="shared" si="2"/>
        <v>0</v>
      </c>
      <c r="U7" s="14">
        <v>0</v>
      </c>
      <c r="W7" s="13">
        <v>0</v>
      </c>
      <c r="X7" s="17">
        <v>0</v>
      </c>
      <c r="Y7" s="14">
        <v>0</v>
      </c>
      <c r="Z7" s="14">
        <v>0</v>
      </c>
      <c r="AB7" s="13">
        <v>0</v>
      </c>
      <c r="AC7" s="17">
        <v>0</v>
      </c>
      <c r="AD7" s="14">
        <v>0</v>
      </c>
      <c r="AE7" s="14">
        <v>0</v>
      </c>
    </row>
    <row r="8" spans="1:31">
      <c r="A8" s="3" t="s">
        <v>13</v>
      </c>
      <c r="C8" s="13">
        <v>450</v>
      </c>
      <c r="D8" s="17">
        <v>11490</v>
      </c>
      <c r="E8" s="14">
        <f t="shared" si="3"/>
        <v>4.1964352500000004</v>
      </c>
      <c r="F8" s="14">
        <v>0</v>
      </c>
      <c r="H8" s="13">
        <v>0</v>
      </c>
      <c r="I8" s="17">
        <v>0</v>
      </c>
      <c r="J8" s="14">
        <f t="shared" si="0"/>
        <v>0</v>
      </c>
      <c r="K8" s="14">
        <v>0</v>
      </c>
      <c r="M8" s="13">
        <v>1829</v>
      </c>
      <c r="N8" s="17">
        <v>18285</v>
      </c>
      <c r="O8" s="14">
        <f t="shared" si="1"/>
        <v>9.9693477000000001</v>
      </c>
      <c r="P8" s="14">
        <v>3.5</v>
      </c>
      <c r="R8" s="13">
        <v>0</v>
      </c>
      <c r="S8" s="17">
        <v>0</v>
      </c>
      <c r="T8" s="14">
        <f t="shared" si="2"/>
        <v>0</v>
      </c>
      <c r="U8" s="14">
        <v>0</v>
      </c>
      <c r="W8" s="13">
        <v>308</v>
      </c>
      <c r="X8" s="17">
        <v>13814</v>
      </c>
      <c r="Y8" s="14">
        <f>(0.18523*X8)/1000</f>
        <v>2.55876722</v>
      </c>
      <c r="Z8" s="14">
        <v>0.75</v>
      </c>
      <c r="AB8" s="13">
        <v>0</v>
      </c>
      <c r="AC8" s="17">
        <v>0</v>
      </c>
      <c r="AD8" s="14">
        <f>(0.18523*AC8)/1000</f>
        <v>0</v>
      </c>
      <c r="AE8" s="14">
        <v>0</v>
      </c>
    </row>
    <row r="9" spans="1:31">
      <c r="A9" s="3" t="s">
        <v>14</v>
      </c>
      <c r="C9" s="13">
        <v>0</v>
      </c>
      <c r="D9" s="17">
        <v>0</v>
      </c>
      <c r="E9" s="14">
        <f t="shared" si="3"/>
        <v>0</v>
      </c>
      <c r="F9" s="14">
        <v>0</v>
      </c>
      <c r="H9" s="13">
        <v>1324</v>
      </c>
      <c r="I9" s="17">
        <v>59403</v>
      </c>
      <c r="J9" s="14">
        <f t="shared" si="0"/>
        <v>11.00321769</v>
      </c>
      <c r="K9" s="14">
        <v>0</v>
      </c>
      <c r="M9" s="13">
        <v>1750</v>
      </c>
      <c r="N9" s="17">
        <v>14586</v>
      </c>
      <c r="O9" s="14">
        <f t="shared" si="1"/>
        <v>7.9525789200000006</v>
      </c>
      <c r="P9" s="14">
        <v>9.6</v>
      </c>
      <c r="R9" s="13">
        <v>159</v>
      </c>
      <c r="S9" s="17">
        <v>1587</v>
      </c>
      <c r="T9" s="14">
        <f t="shared" si="2"/>
        <v>0.86526414000000007</v>
      </c>
      <c r="U9" s="14">
        <v>2.5499999999999998</v>
      </c>
      <c r="W9" s="13">
        <v>0</v>
      </c>
      <c r="X9" s="17">
        <v>0</v>
      </c>
      <c r="Y9" s="14">
        <v>0</v>
      </c>
      <c r="Z9" s="14">
        <v>0</v>
      </c>
      <c r="AB9" s="13">
        <v>0</v>
      </c>
      <c r="AC9" s="17">
        <v>0</v>
      </c>
      <c r="AD9" s="14">
        <v>0</v>
      </c>
      <c r="AE9" s="14">
        <v>0</v>
      </c>
    </row>
    <row r="10" spans="1:31">
      <c r="A10" s="3" t="s">
        <v>15</v>
      </c>
      <c r="C10" s="13">
        <v>156</v>
      </c>
      <c r="D10" s="17">
        <v>1581</v>
      </c>
      <c r="E10" s="14">
        <f t="shared" si="3"/>
        <v>0.57742072500000008</v>
      </c>
      <c r="F10" s="14">
        <v>0</v>
      </c>
      <c r="H10" s="13">
        <v>0</v>
      </c>
      <c r="I10" s="17">
        <v>0</v>
      </c>
      <c r="J10" s="14">
        <f t="shared" si="0"/>
        <v>0</v>
      </c>
      <c r="K10" s="14">
        <v>0</v>
      </c>
      <c r="M10" s="13">
        <f>932+1320</f>
        <v>2252</v>
      </c>
      <c r="N10" s="17">
        <f>7767+11004</f>
        <v>18771</v>
      </c>
      <c r="O10" s="14">
        <f t="shared" si="1"/>
        <v>10.234324620000001</v>
      </c>
      <c r="P10" s="14">
        <v>2.9</v>
      </c>
      <c r="R10" s="13">
        <v>0</v>
      </c>
      <c r="S10" s="17">
        <v>0</v>
      </c>
      <c r="T10" s="14">
        <f t="shared" si="2"/>
        <v>0</v>
      </c>
      <c r="U10" s="14">
        <v>0</v>
      </c>
      <c r="W10" s="13">
        <v>0</v>
      </c>
      <c r="X10" s="17">
        <v>0</v>
      </c>
      <c r="Y10" s="14">
        <v>0</v>
      </c>
      <c r="Z10" s="14">
        <v>0</v>
      </c>
      <c r="AB10" s="13">
        <v>0</v>
      </c>
      <c r="AC10" s="17">
        <v>0</v>
      </c>
      <c r="AD10" s="14">
        <v>0</v>
      </c>
      <c r="AE10" s="14">
        <v>0</v>
      </c>
    </row>
    <row r="11" spans="1:31">
      <c r="A11" s="3" t="s">
        <v>16</v>
      </c>
      <c r="C11" s="13">
        <v>269</v>
      </c>
      <c r="D11" s="17">
        <v>3593</v>
      </c>
      <c r="E11" s="14">
        <f t="shared" si="3"/>
        <v>1.3122534250000002</v>
      </c>
      <c r="F11" s="14">
        <v>0</v>
      </c>
      <c r="H11" s="13">
        <v>5200</v>
      </c>
      <c r="I11" s="17">
        <v>103000</v>
      </c>
      <c r="J11" s="14">
        <f t="shared" si="0"/>
        <v>19.078690000000002</v>
      </c>
      <c r="K11" s="14">
        <v>0</v>
      </c>
      <c r="M11" s="13">
        <v>2329</v>
      </c>
      <c r="N11" s="17">
        <v>23290</v>
      </c>
      <c r="O11" s="14">
        <f t="shared" si="1"/>
        <v>12.698173800000001</v>
      </c>
      <c r="P11" s="14">
        <v>12.1</v>
      </c>
      <c r="R11" s="13">
        <v>0</v>
      </c>
      <c r="S11" s="17">
        <v>0</v>
      </c>
      <c r="T11" s="14">
        <f t="shared" si="2"/>
        <v>0</v>
      </c>
      <c r="U11" s="14">
        <v>0</v>
      </c>
      <c r="W11" s="13">
        <v>0</v>
      </c>
      <c r="X11" s="17">
        <v>0</v>
      </c>
      <c r="Y11" s="14">
        <v>0</v>
      </c>
      <c r="Z11" s="14">
        <v>0</v>
      </c>
      <c r="AB11" s="13">
        <v>0</v>
      </c>
      <c r="AC11" s="17">
        <v>0</v>
      </c>
      <c r="AD11" s="14">
        <v>0</v>
      </c>
      <c r="AE11" s="14">
        <v>0</v>
      </c>
    </row>
    <row r="12" spans="1:31">
      <c r="A12" s="3" t="s">
        <v>17</v>
      </c>
      <c r="C12" s="13">
        <v>1079</v>
      </c>
      <c r="D12" s="17">
        <v>23268</v>
      </c>
      <c r="E12" s="14">
        <f t="shared" si="3"/>
        <v>8.4980553000000008</v>
      </c>
      <c r="F12" s="14">
        <v>0</v>
      </c>
      <c r="H12" s="13">
        <v>0</v>
      </c>
      <c r="I12" s="17">
        <v>0</v>
      </c>
      <c r="J12" s="14">
        <f t="shared" si="0"/>
        <v>0</v>
      </c>
      <c r="K12" s="14">
        <v>0</v>
      </c>
      <c r="M12" s="13">
        <v>791</v>
      </c>
      <c r="N12" s="17">
        <v>7907</v>
      </c>
      <c r="O12" s="14">
        <f t="shared" si="1"/>
        <v>4.3110545399999998</v>
      </c>
      <c r="P12" s="14">
        <v>6.1</v>
      </c>
      <c r="R12" s="13">
        <v>0</v>
      </c>
      <c r="S12" s="17">
        <v>0</v>
      </c>
      <c r="T12" s="14">
        <f t="shared" si="2"/>
        <v>0</v>
      </c>
      <c r="U12" s="14">
        <v>0</v>
      </c>
      <c r="W12" s="13">
        <v>0</v>
      </c>
      <c r="X12" s="17">
        <v>0</v>
      </c>
      <c r="Y12" s="14">
        <v>0</v>
      </c>
      <c r="Z12" s="14">
        <v>0</v>
      </c>
      <c r="AB12" s="13">
        <v>0</v>
      </c>
      <c r="AC12" s="17">
        <v>0</v>
      </c>
      <c r="AD12" s="14">
        <v>0</v>
      </c>
      <c r="AE12" s="14">
        <v>0</v>
      </c>
    </row>
    <row r="13" spans="1:31">
      <c r="A13" s="3" t="s">
        <v>18</v>
      </c>
      <c r="C13" s="13">
        <f>630+185</f>
        <v>815</v>
      </c>
      <c r="D13" s="17">
        <f>5720+8260</f>
        <v>13980</v>
      </c>
      <c r="E13" s="14">
        <f t="shared" si="3"/>
        <v>5.1058455</v>
      </c>
      <c r="F13" s="14">
        <v>0</v>
      </c>
      <c r="H13" s="13">
        <v>0</v>
      </c>
      <c r="I13" s="17">
        <v>0</v>
      </c>
      <c r="J13" s="14">
        <f t="shared" si="0"/>
        <v>0</v>
      </c>
      <c r="K13" s="14">
        <v>0</v>
      </c>
      <c r="M13" s="13">
        <v>3551</v>
      </c>
      <c r="N13" s="17">
        <v>35509</v>
      </c>
      <c r="O13" s="14">
        <f t="shared" si="1"/>
        <v>19.360216980000001</v>
      </c>
      <c r="P13" s="14">
        <v>3.8</v>
      </c>
      <c r="R13" s="13">
        <v>0</v>
      </c>
      <c r="S13" s="17">
        <v>0</v>
      </c>
      <c r="T13" s="14">
        <f t="shared" si="2"/>
        <v>0</v>
      </c>
      <c r="U13" s="14">
        <v>0</v>
      </c>
      <c r="W13" s="13">
        <v>0</v>
      </c>
      <c r="X13" s="17">
        <v>0</v>
      </c>
      <c r="Y13" s="14">
        <v>0</v>
      </c>
      <c r="Z13" s="14">
        <v>0</v>
      </c>
      <c r="AB13" s="13">
        <v>0</v>
      </c>
      <c r="AC13" s="17">
        <v>0</v>
      </c>
      <c r="AD13" s="14">
        <v>0</v>
      </c>
      <c r="AE13" s="14">
        <v>0</v>
      </c>
    </row>
    <row r="14" spans="1:31">
      <c r="A14" s="3" t="s">
        <v>19</v>
      </c>
      <c r="C14" s="13">
        <v>200</v>
      </c>
      <c r="D14" s="17">
        <v>3758</v>
      </c>
      <c r="E14" s="14">
        <f t="shared" si="3"/>
        <v>1.3725155500000001</v>
      </c>
      <c r="F14" s="14">
        <v>0</v>
      </c>
      <c r="H14" s="13">
        <v>876</v>
      </c>
      <c r="I14" s="17">
        <v>39285</v>
      </c>
      <c r="J14" s="14">
        <f t="shared" si="0"/>
        <v>7.2767605499999997</v>
      </c>
      <c r="K14" s="14">
        <v>0</v>
      </c>
      <c r="M14" s="13">
        <v>4958</v>
      </c>
      <c r="N14" s="17">
        <v>39579</v>
      </c>
      <c r="O14" s="14">
        <f t="shared" si="1"/>
        <v>21.579262379999999</v>
      </c>
      <c r="P14" s="14">
        <v>3</v>
      </c>
      <c r="R14" s="13">
        <v>0</v>
      </c>
      <c r="S14" s="17">
        <v>0</v>
      </c>
      <c r="T14" s="14">
        <f t="shared" si="2"/>
        <v>0</v>
      </c>
      <c r="U14" s="14">
        <v>0</v>
      </c>
      <c r="W14" s="13">
        <v>0</v>
      </c>
      <c r="X14" s="17">
        <v>0</v>
      </c>
      <c r="Y14" s="14">
        <v>0</v>
      </c>
      <c r="Z14" s="14">
        <v>0</v>
      </c>
      <c r="AB14" s="13">
        <v>0</v>
      </c>
      <c r="AC14" s="17">
        <v>0</v>
      </c>
      <c r="AD14" s="14">
        <v>0</v>
      </c>
      <c r="AE14" s="14">
        <v>0</v>
      </c>
    </row>
    <row r="15" spans="1:31">
      <c r="C15" s="15"/>
      <c r="D15" s="18"/>
      <c r="E15" s="27"/>
      <c r="F15" s="27"/>
      <c r="H15" s="9"/>
      <c r="I15" s="20"/>
      <c r="J15" s="25"/>
      <c r="K15" s="25"/>
      <c r="M15" s="15"/>
      <c r="N15" s="18"/>
      <c r="O15" s="27"/>
      <c r="P15" s="27"/>
      <c r="R15" s="15"/>
      <c r="S15" s="18"/>
      <c r="T15" s="27"/>
      <c r="U15" s="27"/>
      <c r="W15" s="15"/>
      <c r="X15" s="18"/>
      <c r="Y15" s="27"/>
      <c r="Z15" s="27"/>
    </row>
    <row r="16" spans="1:31">
      <c r="B16" s="4" t="s">
        <v>20</v>
      </c>
      <c r="C16" s="16">
        <f>SUM(C4:C14)</f>
        <v>5653</v>
      </c>
      <c r="D16" s="19">
        <f>SUM(D4:D14)</f>
        <v>82092</v>
      </c>
      <c r="E16" s="28">
        <f>SUM(E4:E14)</f>
        <v>29.982050700000002</v>
      </c>
      <c r="F16" s="28"/>
      <c r="G16" s="5"/>
      <c r="H16" s="16">
        <f>SUM(H4:H14)</f>
        <v>9353</v>
      </c>
      <c r="I16" s="19">
        <f>SUM(I4:I14)</f>
        <v>347638</v>
      </c>
      <c r="J16" s="28">
        <f>SUM(J4:J14)</f>
        <v>64.392986739999998</v>
      </c>
      <c r="K16" s="28"/>
      <c r="L16" s="5"/>
      <c r="M16" s="16">
        <f>SUM(M4:M14)</f>
        <v>30659</v>
      </c>
      <c r="N16" s="19">
        <f>SUM(N4:N14)</f>
        <v>270375</v>
      </c>
      <c r="O16" s="28">
        <f>SUM(O4:O14)</f>
        <v>147.41385750000001</v>
      </c>
      <c r="P16" s="28"/>
      <c r="Q16" s="5"/>
      <c r="R16" s="16">
        <f>SUM(R4:R14)</f>
        <v>3697</v>
      </c>
      <c r="S16" s="19">
        <f>SUM(S4:S14)</f>
        <v>36972</v>
      </c>
      <c r="T16" s="28">
        <f>SUM(T4:T14)</f>
        <v>20.157873840000001</v>
      </c>
      <c r="U16" s="28"/>
      <c r="V16" s="5"/>
      <c r="W16" s="16">
        <f>SUM(W4:W14)</f>
        <v>308</v>
      </c>
      <c r="X16" s="19">
        <f>SUM(X4:X14)</f>
        <v>13814</v>
      </c>
      <c r="Y16" s="28">
        <f>SUM(Y4:Y14)</f>
        <v>2.55876722</v>
      </c>
      <c r="Z16" s="28"/>
      <c r="AA16" s="5"/>
      <c r="AB16" s="16">
        <f>SUM(AB4:AB14)</f>
        <v>3177</v>
      </c>
      <c r="AC16" s="19">
        <f>SUM(AC4:AC14)</f>
        <v>0</v>
      </c>
      <c r="AD16" s="28">
        <f>SUM(AD4:AD14)</f>
        <v>6.2407575999999976</v>
      </c>
      <c r="AE16" s="28"/>
    </row>
    <row r="17" spans="1:31">
      <c r="B17" s="4" t="s">
        <v>21</v>
      </c>
      <c r="C17" s="16">
        <f>C16/8</f>
        <v>706.625</v>
      </c>
      <c r="D17" s="19">
        <f>D16/8</f>
        <v>10261.5</v>
      </c>
      <c r="E17" s="28">
        <f>E16/8</f>
        <v>3.7477563375000003</v>
      </c>
      <c r="F17" s="28">
        <v>0</v>
      </c>
      <c r="G17" s="5"/>
      <c r="H17" s="16">
        <f>H16/5</f>
        <v>1870.6</v>
      </c>
      <c r="I17" s="19">
        <f>I16/5</f>
        <v>69527.600000000006</v>
      </c>
      <c r="J17" s="28">
        <f>J16/5</f>
        <v>12.878597348</v>
      </c>
      <c r="K17" s="28">
        <v>0</v>
      </c>
      <c r="L17" s="5"/>
      <c r="M17" s="16">
        <f>M16/10</f>
        <v>3065.9</v>
      </c>
      <c r="N17" s="19">
        <f>N16/10</f>
        <v>27037.5</v>
      </c>
      <c r="O17" s="28">
        <f>O16/10</f>
        <v>14.741385750000001</v>
      </c>
      <c r="P17" s="28">
        <f>SUM(P4:P14)/10</f>
        <v>4.95</v>
      </c>
      <c r="Q17" s="5"/>
      <c r="R17" s="16">
        <f>R16/2</f>
        <v>1848.5</v>
      </c>
      <c r="S17" s="19">
        <f>S16/2</f>
        <v>18486</v>
      </c>
      <c r="T17" s="28">
        <f>T16/2</f>
        <v>10.07893692</v>
      </c>
      <c r="U17" s="28">
        <f>SUM(U4:U14)/2</f>
        <v>1.9249999999999998</v>
      </c>
      <c r="V17" s="5"/>
      <c r="W17" s="16">
        <f>W16</f>
        <v>308</v>
      </c>
      <c r="X17" s="19">
        <f>X16</f>
        <v>13814</v>
      </c>
      <c r="Y17" s="28">
        <f>Y16</f>
        <v>2.55876722</v>
      </c>
      <c r="Z17" s="28">
        <f>Z8</f>
        <v>0.75</v>
      </c>
      <c r="AA17" s="5"/>
      <c r="AB17" s="16">
        <f>AB16</f>
        <v>3177</v>
      </c>
      <c r="AC17" s="19">
        <f>AC16</f>
        <v>0</v>
      </c>
      <c r="AD17" s="28">
        <f>AD16</f>
        <v>6.2407575999999976</v>
      </c>
      <c r="AE17" s="28">
        <f>AE8</f>
        <v>0</v>
      </c>
    </row>
    <row r="19" spans="1:31" ht="20.25">
      <c r="A19" s="29" t="s">
        <v>22</v>
      </c>
    </row>
    <row r="20" spans="1:31">
      <c r="A20" s="11" t="s">
        <v>0</v>
      </c>
      <c r="C20" s="10" t="s">
        <v>28</v>
      </c>
      <c r="D20" s="10" t="s">
        <v>27</v>
      </c>
      <c r="E20" s="10" t="s">
        <v>23</v>
      </c>
      <c r="F20" s="10" t="s">
        <v>24</v>
      </c>
      <c r="G20" s="10" t="s">
        <v>25</v>
      </c>
    </row>
    <row r="21" spans="1:31">
      <c r="A21" s="6" t="s">
        <v>9</v>
      </c>
      <c r="C21" s="12">
        <v>7133</v>
      </c>
      <c r="D21" s="12">
        <f>1203+2067</f>
        <v>3270</v>
      </c>
      <c r="E21" s="21">
        <f>10950+19681</f>
        <v>30631</v>
      </c>
      <c r="F21" s="24">
        <f t="shared" ref="F21:F31" si="4">C21/D21</f>
        <v>2.1813455657492353</v>
      </c>
      <c r="G21" s="24">
        <f>SUM(E4,J4,O4,T4,Y4,AD4)</f>
        <v>14.729688570000002</v>
      </c>
      <c r="I21" t="s">
        <v>30</v>
      </c>
      <c r="J21" s="9"/>
    </row>
    <row r="22" spans="1:31">
      <c r="A22" s="6" t="s">
        <v>10</v>
      </c>
      <c r="C22" s="12">
        <v>4000</v>
      </c>
      <c r="D22" s="12">
        <v>3177</v>
      </c>
      <c r="E22" s="21">
        <v>0</v>
      </c>
      <c r="F22" s="24">
        <f t="shared" si="4"/>
        <v>1.2590494176896443</v>
      </c>
      <c r="G22" s="24">
        <f t="shared" ref="G22:G31" si="5">SUM(E5,J5,O5,T5,Y5,AD5)</f>
        <v>6.2407575999999976</v>
      </c>
      <c r="I22" t="s">
        <v>1</v>
      </c>
      <c r="J22" s="25"/>
    </row>
    <row r="23" spans="1:31">
      <c r="A23" s="6" t="s">
        <v>11</v>
      </c>
      <c r="C23" s="12">
        <f>30666+4611</f>
        <v>35277</v>
      </c>
      <c r="D23" s="12">
        <f>3434+3538+10746</f>
        <v>17718</v>
      </c>
      <c r="E23" s="21">
        <f>159421+35385+89547</f>
        <v>284353</v>
      </c>
      <c r="F23" s="24">
        <f t="shared" si="4"/>
        <v>1.9910260751777853</v>
      </c>
      <c r="G23" s="24">
        <f t="shared" si="5"/>
        <v>100.07005474</v>
      </c>
      <c r="I23" t="s">
        <v>2</v>
      </c>
      <c r="J23" s="9"/>
    </row>
    <row r="24" spans="1:31">
      <c r="A24" s="6" t="s">
        <v>12</v>
      </c>
      <c r="C24" s="12">
        <v>815</v>
      </c>
      <c r="D24" s="12">
        <v>386</v>
      </c>
      <c r="E24" s="21">
        <v>3220</v>
      </c>
      <c r="F24" s="24">
        <f t="shared" si="4"/>
        <v>2.1113989637305699</v>
      </c>
      <c r="G24" s="24">
        <f t="shared" si="5"/>
        <v>1.7556084000000001</v>
      </c>
      <c r="H24" s="25"/>
    </row>
    <row r="25" spans="1:31">
      <c r="A25" s="6" t="s">
        <v>13</v>
      </c>
      <c r="C25" s="12">
        <f>0+230+6411</f>
        <v>6641</v>
      </c>
      <c r="D25" s="12">
        <f>308.6+1829+450</f>
        <v>2587.6</v>
      </c>
      <c r="E25" s="21">
        <f>11490+13814+18285</f>
        <v>43589</v>
      </c>
      <c r="F25" s="24">
        <f t="shared" si="4"/>
        <v>2.5664708610295257</v>
      </c>
      <c r="G25" s="24">
        <f t="shared" si="5"/>
        <v>16.724550170000001</v>
      </c>
      <c r="J25" s="9"/>
    </row>
    <row r="26" spans="1:31">
      <c r="A26" s="6" t="s">
        <v>14</v>
      </c>
      <c r="C26" s="12">
        <f>0+404+16735</f>
        <v>17139</v>
      </c>
      <c r="D26" s="12">
        <f>159+1750+1324</f>
        <v>3233</v>
      </c>
      <c r="E26" s="21">
        <f>59403+1587+14586</f>
        <v>75576</v>
      </c>
      <c r="F26" s="24">
        <f t="shared" si="4"/>
        <v>5.301268171976492</v>
      </c>
      <c r="G26" s="24">
        <f t="shared" si="5"/>
        <v>19.821060750000001</v>
      </c>
      <c r="I26" s="25"/>
      <c r="J26" s="9"/>
    </row>
    <row r="27" spans="1:31">
      <c r="A27" s="6" t="s">
        <v>15</v>
      </c>
      <c r="C27" s="12">
        <f>0+4230+3782</f>
        <v>8012</v>
      </c>
      <c r="D27" s="12">
        <f>126+1320+932</f>
        <v>2378</v>
      </c>
      <c r="E27" s="21">
        <f>1581+7767+11004</f>
        <v>20352</v>
      </c>
      <c r="F27" s="24">
        <f t="shared" si="4"/>
        <v>3.3692178301093354</v>
      </c>
      <c r="G27" s="24">
        <f t="shared" si="5"/>
        <v>10.811745345</v>
      </c>
    </row>
    <row r="28" spans="1:31">
      <c r="A28" s="6" t="s">
        <v>16</v>
      </c>
      <c r="C28" s="12">
        <f>0+0+28100</f>
        <v>28100</v>
      </c>
      <c r="D28" s="12">
        <f>5200+37000+269+2329</f>
        <v>44798</v>
      </c>
      <c r="E28" s="21">
        <f>3953+23290</f>
        <v>27243</v>
      </c>
      <c r="F28" s="24">
        <f t="shared" si="4"/>
        <v>0.62726014554221166</v>
      </c>
      <c r="G28" s="24">
        <f t="shared" si="5"/>
        <v>33.089117225000003</v>
      </c>
    </row>
    <row r="29" spans="1:31">
      <c r="A29" s="6" t="s">
        <v>17</v>
      </c>
      <c r="C29" s="12">
        <f>0+0+4797</f>
        <v>4797</v>
      </c>
      <c r="D29" s="12">
        <f>1079+19474+791</f>
        <v>21344</v>
      </c>
      <c r="E29" s="21">
        <f>23268+7907</f>
        <v>31175</v>
      </c>
      <c r="F29" s="24">
        <f t="shared" si="4"/>
        <v>0.22474700149925037</v>
      </c>
      <c r="G29" s="24">
        <f t="shared" si="5"/>
        <v>12.809109840000001</v>
      </c>
    </row>
    <row r="30" spans="1:31">
      <c r="A30" s="6" t="s">
        <v>18</v>
      </c>
      <c r="C30" s="12">
        <v>13357</v>
      </c>
      <c r="D30" s="12">
        <f>630+185+3551</f>
        <v>4366</v>
      </c>
      <c r="E30" s="21">
        <f>5720+8260+35509</f>
        <v>49489</v>
      </c>
      <c r="F30" s="24">
        <f t="shared" si="4"/>
        <v>3.0593220338983049</v>
      </c>
      <c r="G30" s="24">
        <f t="shared" si="5"/>
        <v>24.466062480000002</v>
      </c>
    </row>
    <row r="31" spans="1:31">
      <c r="A31" s="6" t="s">
        <v>19</v>
      </c>
      <c r="C31" s="12">
        <f>0+1423+14653</f>
        <v>16076</v>
      </c>
      <c r="D31" s="12">
        <f>876+200+4958</f>
        <v>6034</v>
      </c>
      <c r="E31" s="21">
        <f>39285+3758+39579</f>
        <v>82622</v>
      </c>
      <c r="F31" s="24">
        <f t="shared" si="4"/>
        <v>2.6642359960225388</v>
      </c>
      <c r="G31" s="24">
        <f t="shared" si="5"/>
        <v>30.228538479999997</v>
      </c>
    </row>
    <row r="32" spans="1:31">
      <c r="C32" s="9"/>
      <c r="D32" s="9"/>
      <c r="E32" s="20"/>
      <c r="F32" s="25"/>
      <c r="G32" s="25"/>
      <c r="H32" s="30"/>
    </row>
    <row r="33" spans="2:7">
      <c r="B33" s="7" t="s">
        <v>22</v>
      </c>
      <c r="C33" s="22">
        <f>SUM(C21:C31)</f>
        <v>141347</v>
      </c>
      <c r="D33" s="22">
        <f>SUM(D21:D31)</f>
        <v>109291.6</v>
      </c>
      <c r="E33" s="23">
        <f>SUM(E21:E31)</f>
        <v>648250</v>
      </c>
      <c r="F33" s="26"/>
      <c r="G33" s="26">
        <f>SUM(G21:G31)</f>
        <v>270.7462936</v>
      </c>
    </row>
    <row r="34" spans="2:7">
      <c r="C34" s="15"/>
      <c r="D34" s="15"/>
      <c r="E34" s="18"/>
      <c r="F34" s="27"/>
      <c r="G34" s="27"/>
    </row>
    <row r="35" spans="2:7">
      <c r="B35" s="7" t="s">
        <v>26</v>
      </c>
      <c r="C35" s="22">
        <f>AVERAGE(C21:C31)</f>
        <v>12849.727272727272</v>
      </c>
      <c r="D35" s="22">
        <f>AVERAGE(D21:D31)</f>
        <v>9935.6</v>
      </c>
      <c r="E35" s="23">
        <f>AVERAGE(E21:E31)</f>
        <v>58931.818181818184</v>
      </c>
      <c r="F35" s="26">
        <f>AVERAGE(F21:F31)</f>
        <v>2.3050310965840812</v>
      </c>
      <c r="G35" s="26">
        <f>AVERAGE(G21:G31)</f>
        <v>24.613299418181818</v>
      </c>
    </row>
    <row r="37" spans="2:7">
      <c r="C37" s="30"/>
    </row>
  </sheetData>
  <sheetProtection selectLockedCells="1" selectUnlockedCells="1"/>
  <mergeCells count="6">
    <mergeCell ref="AB1:AE1"/>
    <mergeCell ref="C1:F1"/>
    <mergeCell ref="H1:K1"/>
    <mergeCell ref="M1:P1"/>
    <mergeCell ref="R1:U1"/>
    <mergeCell ref="W1:Z1"/>
  </mergeCell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</TotalTime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Consumption Trends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Solarz</dc:creator>
  <cp:lastModifiedBy>Your User Name</cp:lastModifiedBy>
  <cp:revision>8</cp:revision>
  <cp:lastPrinted>1601-01-01T00:00:00Z</cp:lastPrinted>
  <dcterms:created xsi:type="dcterms:W3CDTF">2011-04-17T13:32:39Z</dcterms:created>
  <dcterms:modified xsi:type="dcterms:W3CDTF">2011-04-26T00:38:25Z</dcterms:modified>
</cp:coreProperties>
</file>