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kemcmanus\Desktop\"/>
    </mc:Choice>
  </mc:AlternateContent>
  <bookViews>
    <workbookView xWindow="0" yWindow="0" windowWidth="24000" windowHeight="9735" tabRatio="637"/>
  </bookViews>
  <sheets>
    <sheet name="Inputs" sheetId="2" r:id="rId1"/>
    <sheet name="Formula" sheetId="9" r:id="rId2"/>
    <sheet name="Variables" sheetId="1" r:id="rId3"/>
    <sheet name="Incidence" sheetId="3" r:id="rId4"/>
    <sheet name="Cost" sheetId="5" r:id="rId5"/>
    <sheet name="Expected Claims" sheetId="8" r:id="rId6"/>
    <sheet name="Expenses" sheetId="10" r:id="rId7"/>
    <sheet name="All Costs" sheetId="6" r:id="rId8"/>
    <sheet name="Pet Stats" sheetId="7" r:id="rId9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9" l="1"/>
  <c r="C2" i="3"/>
  <c r="G2" i="3"/>
  <c r="E193" i="6"/>
  <c r="H193" i="6"/>
  <c r="I191" i="6"/>
  <c r="J191" i="6"/>
  <c r="K191" i="6"/>
  <c r="E194" i="6"/>
  <c r="H194" i="6"/>
  <c r="I192" i="6"/>
  <c r="J192" i="6"/>
  <c r="K192" i="6"/>
  <c r="L191" i="6"/>
  <c r="F2" i="5"/>
  <c r="D31" i="8"/>
  <c r="I2" i="3"/>
  <c r="H20" i="6"/>
  <c r="H21" i="6"/>
  <c r="H2" i="5"/>
  <c r="E31" i="8"/>
  <c r="F2" i="3"/>
  <c r="E77" i="6"/>
  <c r="F77" i="6"/>
  <c r="E78" i="6"/>
  <c r="F78" i="6"/>
  <c r="E79" i="6"/>
  <c r="F79" i="6"/>
  <c r="E80" i="6"/>
  <c r="F80" i="6"/>
  <c r="E81" i="6"/>
  <c r="F81" i="6"/>
  <c r="E82" i="6"/>
  <c r="F82" i="6"/>
  <c r="E83" i="6"/>
  <c r="F83" i="6"/>
  <c r="E84" i="6"/>
  <c r="F84" i="6"/>
  <c r="E85" i="6"/>
  <c r="F85" i="6"/>
  <c r="E86" i="6"/>
  <c r="F86" i="6"/>
  <c r="E87" i="6"/>
  <c r="F87" i="6"/>
  <c r="E88" i="6"/>
  <c r="F88" i="6"/>
  <c r="E89" i="6"/>
  <c r="F89" i="6"/>
  <c r="E90" i="6"/>
  <c r="F90" i="6"/>
  <c r="E91" i="6"/>
  <c r="F91" i="6"/>
  <c r="E92" i="6"/>
  <c r="F92" i="6"/>
  <c r="E93" i="6"/>
  <c r="F93" i="6"/>
  <c r="E94" i="6"/>
  <c r="F94" i="6"/>
  <c r="E95" i="6"/>
  <c r="F95" i="6"/>
  <c r="E96" i="6"/>
  <c r="F96" i="6"/>
  <c r="E97" i="6"/>
  <c r="F97" i="6"/>
  <c r="E98" i="6"/>
  <c r="F98" i="6"/>
  <c r="E99" i="6"/>
  <c r="F99" i="6"/>
  <c r="E100" i="6"/>
  <c r="F100" i="6"/>
  <c r="E101" i="6"/>
  <c r="F101" i="6"/>
  <c r="E102" i="6"/>
  <c r="F102" i="6"/>
  <c r="E103" i="6"/>
  <c r="F103" i="6"/>
  <c r="E104" i="6"/>
  <c r="F104" i="6"/>
  <c r="E105" i="6"/>
  <c r="F105" i="6"/>
  <c r="E106" i="6"/>
  <c r="F106" i="6"/>
  <c r="E107" i="6"/>
  <c r="F107" i="6"/>
  <c r="E108" i="6"/>
  <c r="F108" i="6"/>
  <c r="E109" i="6"/>
  <c r="F109" i="6"/>
  <c r="E110" i="6"/>
  <c r="F110" i="6"/>
  <c r="E111" i="6"/>
  <c r="F111" i="6"/>
  <c r="E112" i="6"/>
  <c r="F112" i="6"/>
  <c r="E113" i="6"/>
  <c r="F113" i="6"/>
  <c r="E114" i="6"/>
  <c r="F114" i="6"/>
  <c r="E115" i="6"/>
  <c r="F115" i="6"/>
  <c r="E116" i="6"/>
  <c r="F116" i="6"/>
  <c r="E117" i="6"/>
  <c r="F117" i="6"/>
  <c r="E118" i="6"/>
  <c r="F118" i="6"/>
  <c r="E119" i="6"/>
  <c r="F119" i="6"/>
  <c r="E120" i="6"/>
  <c r="F120" i="6"/>
  <c r="E121" i="6"/>
  <c r="F121" i="6"/>
  <c r="E122" i="6"/>
  <c r="F122" i="6"/>
  <c r="E123" i="6"/>
  <c r="F123" i="6"/>
  <c r="E124" i="6"/>
  <c r="F124" i="6"/>
  <c r="E125" i="6"/>
  <c r="F125" i="6"/>
  <c r="E126" i="6"/>
  <c r="F126" i="6"/>
  <c r="E127" i="6"/>
  <c r="F127" i="6"/>
  <c r="E128" i="6"/>
  <c r="F128" i="6"/>
  <c r="E129" i="6"/>
  <c r="F129" i="6"/>
  <c r="E130" i="6"/>
  <c r="F130" i="6"/>
  <c r="E131" i="6"/>
  <c r="F131" i="6"/>
  <c r="E132" i="6"/>
  <c r="F132" i="6"/>
  <c r="E133" i="6"/>
  <c r="F133" i="6"/>
  <c r="E134" i="6"/>
  <c r="F134" i="6"/>
  <c r="E135" i="6"/>
  <c r="F135" i="6"/>
  <c r="E136" i="6"/>
  <c r="F136" i="6"/>
  <c r="F137" i="6"/>
  <c r="E140" i="6"/>
  <c r="F140" i="6"/>
  <c r="E141" i="6"/>
  <c r="F141" i="6"/>
  <c r="E142" i="6"/>
  <c r="F142" i="6"/>
  <c r="E143" i="6"/>
  <c r="F143" i="6"/>
  <c r="E144" i="6"/>
  <c r="F144" i="6"/>
  <c r="E145" i="6"/>
  <c r="F145" i="6"/>
  <c r="E146" i="6"/>
  <c r="F146" i="6"/>
  <c r="E147" i="6"/>
  <c r="F147" i="6"/>
  <c r="E148" i="6"/>
  <c r="F148" i="6"/>
  <c r="E149" i="6"/>
  <c r="F149" i="6"/>
  <c r="E150" i="6"/>
  <c r="F150" i="6"/>
  <c r="E151" i="6"/>
  <c r="F151" i="6"/>
  <c r="E152" i="6"/>
  <c r="F152" i="6"/>
  <c r="E153" i="6"/>
  <c r="F153" i="6"/>
  <c r="E154" i="6"/>
  <c r="F154" i="6"/>
  <c r="E155" i="6"/>
  <c r="F155" i="6"/>
  <c r="E156" i="6"/>
  <c r="F156" i="6"/>
  <c r="E157" i="6"/>
  <c r="F157" i="6"/>
  <c r="E158" i="6"/>
  <c r="F158" i="6"/>
  <c r="E159" i="6"/>
  <c r="F159" i="6"/>
  <c r="E160" i="6"/>
  <c r="F160" i="6"/>
  <c r="E161" i="6"/>
  <c r="F161" i="6"/>
  <c r="E162" i="6"/>
  <c r="F162" i="6"/>
  <c r="E163" i="6"/>
  <c r="F163" i="6"/>
  <c r="E164" i="6"/>
  <c r="F164" i="6"/>
  <c r="E165" i="6"/>
  <c r="F165" i="6"/>
  <c r="E166" i="6"/>
  <c r="F166" i="6"/>
  <c r="E167" i="6"/>
  <c r="F167" i="6"/>
  <c r="E168" i="6"/>
  <c r="F168" i="6"/>
  <c r="E169" i="6"/>
  <c r="F169" i="6"/>
  <c r="E170" i="6"/>
  <c r="F170" i="6"/>
  <c r="E171" i="6"/>
  <c r="F171" i="6"/>
  <c r="E172" i="6"/>
  <c r="F172" i="6"/>
  <c r="E173" i="6"/>
  <c r="F173" i="6"/>
  <c r="E174" i="6"/>
  <c r="F174" i="6"/>
  <c r="E175" i="6"/>
  <c r="F175" i="6"/>
  <c r="E176" i="6"/>
  <c r="F176" i="6"/>
  <c r="E177" i="6"/>
  <c r="F177" i="6"/>
  <c r="E178" i="6"/>
  <c r="F178" i="6"/>
  <c r="E179" i="6"/>
  <c r="F179" i="6"/>
  <c r="E180" i="6"/>
  <c r="F180" i="6"/>
  <c r="E181" i="6"/>
  <c r="F181" i="6"/>
  <c r="E182" i="6"/>
  <c r="F182" i="6"/>
  <c r="E183" i="6"/>
  <c r="F183" i="6"/>
  <c r="E184" i="6"/>
  <c r="F184" i="6"/>
  <c r="E185" i="6"/>
  <c r="F185" i="6"/>
  <c r="F186" i="6"/>
  <c r="H139" i="6"/>
  <c r="E2" i="5"/>
  <c r="C31" i="8"/>
  <c r="L2" i="3"/>
  <c r="E392" i="6"/>
  <c r="F392" i="6"/>
  <c r="E393" i="6"/>
  <c r="F393" i="6"/>
  <c r="H392" i="6"/>
  <c r="E414" i="6"/>
  <c r="F414" i="6"/>
  <c r="E415" i="6"/>
  <c r="F415" i="6"/>
  <c r="I413" i="6"/>
  <c r="I392" i="6"/>
  <c r="E394" i="6"/>
  <c r="F394" i="6"/>
  <c r="H393" i="6"/>
  <c r="I393" i="6"/>
  <c r="E395" i="6"/>
  <c r="F395" i="6"/>
  <c r="H394" i="6"/>
  <c r="I394" i="6"/>
  <c r="E396" i="6"/>
  <c r="F396" i="6"/>
  <c r="H395" i="6"/>
  <c r="I395" i="6"/>
  <c r="E397" i="6"/>
  <c r="F397" i="6"/>
  <c r="H396" i="6"/>
  <c r="I396" i="6"/>
  <c r="E398" i="6"/>
  <c r="F398" i="6"/>
  <c r="H397" i="6"/>
  <c r="I397" i="6"/>
  <c r="E399" i="6"/>
  <c r="F399" i="6"/>
  <c r="H398" i="6"/>
  <c r="I398" i="6"/>
  <c r="E400" i="6"/>
  <c r="F400" i="6"/>
  <c r="H399" i="6"/>
  <c r="I399" i="6"/>
  <c r="E401" i="6"/>
  <c r="F401" i="6"/>
  <c r="H400" i="6"/>
  <c r="I400" i="6"/>
  <c r="E402" i="6"/>
  <c r="F402" i="6"/>
  <c r="H401" i="6"/>
  <c r="I401" i="6"/>
  <c r="E403" i="6"/>
  <c r="F403" i="6"/>
  <c r="H402" i="6"/>
  <c r="I402" i="6"/>
  <c r="E404" i="6"/>
  <c r="F404" i="6"/>
  <c r="H403" i="6"/>
  <c r="I403" i="6"/>
  <c r="E405" i="6"/>
  <c r="F405" i="6"/>
  <c r="H404" i="6"/>
  <c r="I404" i="6"/>
  <c r="E406" i="6"/>
  <c r="F406" i="6"/>
  <c r="H405" i="6"/>
  <c r="I405" i="6"/>
  <c r="E407" i="6"/>
  <c r="F407" i="6"/>
  <c r="H406" i="6"/>
  <c r="I406" i="6"/>
  <c r="E408" i="6"/>
  <c r="F408" i="6"/>
  <c r="H407" i="6"/>
  <c r="I407" i="6"/>
  <c r="E409" i="6"/>
  <c r="F409" i="6"/>
  <c r="H408" i="6"/>
  <c r="I408" i="6"/>
  <c r="E410" i="6"/>
  <c r="F410" i="6"/>
  <c r="H409" i="6"/>
  <c r="I409" i="6"/>
  <c r="E411" i="6"/>
  <c r="F411" i="6"/>
  <c r="H410" i="6"/>
  <c r="I410" i="6"/>
  <c r="J392" i="6"/>
  <c r="L2" i="5"/>
  <c r="F31" i="8"/>
  <c r="M2" i="3"/>
  <c r="E375" i="6"/>
  <c r="F375" i="6"/>
  <c r="M2" i="5"/>
  <c r="G31" i="8"/>
  <c r="N2" i="3"/>
  <c r="E221" i="6"/>
  <c r="F221" i="6"/>
  <c r="E222" i="6"/>
  <c r="F222" i="6"/>
  <c r="E223" i="6"/>
  <c r="F223" i="6"/>
  <c r="E224" i="6"/>
  <c r="F224" i="6"/>
  <c r="F225" i="6"/>
  <c r="N2" i="5"/>
  <c r="H31" i="8"/>
  <c r="O2" i="3"/>
  <c r="E322" i="6"/>
  <c r="F322" i="6"/>
  <c r="E323" i="6"/>
  <c r="F323" i="6"/>
  <c r="E324" i="6"/>
  <c r="F324" i="6"/>
  <c r="E325" i="6"/>
  <c r="F325" i="6"/>
  <c r="E326" i="6"/>
  <c r="F326" i="6"/>
  <c r="E327" i="6"/>
  <c r="F327" i="6"/>
  <c r="E328" i="6"/>
  <c r="F328" i="6"/>
  <c r="E329" i="6"/>
  <c r="F329" i="6"/>
  <c r="E330" i="6"/>
  <c r="F330" i="6"/>
  <c r="E331" i="6"/>
  <c r="F331" i="6"/>
  <c r="E332" i="6"/>
  <c r="F332" i="6"/>
  <c r="E333" i="6"/>
  <c r="F333" i="6"/>
  <c r="E334" i="6"/>
  <c r="F334" i="6"/>
  <c r="E335" i="6"/>
  <c r="F335" i="6"/>
  <c r="E336" i="6"/>
  <c r="F336" i="6"/>
  <c r="E337" i="6"/>
  <c r="F337" i="6"/>
  <c r="E338" i="6"/>
  <c r="F338" i="6"/>
  <c r="E339" i="6"/>
  <c r="F339" i="6"/>
  <c r="E340" i="6"/>
  <c r="F340" i="6"/>
  <c r="E341" i="6"/>
  <c r="F341" i="6"/>
  <c r="E342" i="6"/>
  <c r="F342" i="6"/>
  <c r="E343" i="6"/>
  <c r="F343" i="6"/>
  <c r="E344" i="6"/>
  <c r="F344" i="6"/>
  <c r="E345" i="6"/>
  <c r="F345" i="6"/>
  <c r="I322" i="6"/>
  <c r="E346" i="6"/>
  <c r="F346" i="6"/>
  <c r="E347" i="6"/>
  <c r="F347" i="6"/>
  <c r="E348" i="6"/>
  <c r="F348" i="6"/>
  <c r="E349" i="6"/>
  <c r="F349" i="6"/>
  <c r="E350" i="6"/>
  <c r="F350" i="6"/>
  <c r="E351" i="6"/>
  <c r="F351" i="6"/>
  <c r="E352" i="6"/>
  <c r="F352" i="6"/>
  <c r="E353" i="6"/>
  <c r="F353" i="6"/>
  <c r="E354" i="6"/>
  <c r="F354" i="6"/>
  <c r="E355" i="6"/>
  <c r="F355" i="6"/>
  <c r="E356" i="6"/>
  <c r="F356" i="6"/>
  <c r="E357" i="6"/>
  <c r="F357" i="6"/>
  <c r="E358" i="6"/>
  <c r="F358" i="6"/>
  <c r="E359" i="6"/>
  <c r="F359" i="6"/>
  <c r="E360" i="6"/>
  <c r="F360" i="6"/>
  <c r="E361" i="6"/>
  <c r="F361" i="6"/>
  <c r="E362" i="6"/>
  <c r="F362" i="6"/>
  <c r="E363" i="6"/>
  <c r="F363" i="6"/>
  <c r="E364" i="6"/>
  <c r="F364" i="6"/>
  <c r="E365" i="6"/>
  <c r="F365" i="6"/>
  <c r="E366" i="6"/>
  <c r="F366" i="6"/>
  <c r="E367" i="6"/>
  <c r="F367" i="6"/>
  <c r="E368" i="6"/>
  <c r="F368" i="6"/>
  <c r="E369" i="6"/>
  <c r="F369" i="6"/>
  <c r="I323" i="6"/>
  <c r="J322" i="6"/>
  <c r="O2" i="5"/>
  <c r="I31" i="8"/>
  <c r="J31" i="8"/>
  <c r="T31" i="8"/>
  <c r="U31" i="8"/>
  <c r="V31" i="8"/>
  <c r="W31" i="8"/>
  <c r="X31" i="8"/>
  <c r="Y31" i="8"/>
  <c r="Z31" i="8"/>
  <c r="AA31" i="8"/>
  <c r="AB31" i="8"/>
  <c r="AC31" i="8"/>
  <c r="AD31" i="8"/>
  <c r="C3" i="9"/>
  <c r="F6" i="3"/>
  <c r="E6" i="5"/>
  <c r="C35" i="8"/>
  <c r="C6" i="3"/>
  <c r="G6" i="3"/>
  <c r="F6" i="5"/>
  <c r="D35" i="8"/>
  <c r="I6" i="3"/>
  <c r="H6" i="5"/>
  <c r="E35" i="8"/>
  <c r="L6" i="3"/>
  <c r="L6" i="5"/>
  <c r="F35" i="8"/>
  <c r="M6" i="3"/>
  <c r="M6" i="5"/>
  <c r="G35" i="8"/>
  <c r="N6" i="3"/>
  <c r="N6" i="5"/>
  <c r="H35" i="8"/>
  <c r="O6" i="3"/>
  <c r="O6" i="5"/>
  <c r="I35" i="8"/>
  <c r="J35" i="8"/>
  <c r="T35" i="8"/>
  <c r="U35" i="8"/>
  <c r="V35" i="8"/>
  <c r="W35" i="8"/>
  <c r="X35" i="8"/>
  <c r="Y35" i="8"/>
  <c r="Z35" i="8"/>
  <c r="AA35" i="8"/>
  <c r="AB35" i="8"/>
  <c r="AC35" i="8"/>
  <c r="AD35" i="8"/>
  <c r="F10" i="3"/>
  <c r="C39" i="8"/>
  <c r="G10" i="3"/>
  <c r="D39" i="8"/>
  <c r="I10" i="3"/>
  <c r="E39" i="8"/>
  <c r="J39" i="8"/>
  <c r="T39" i="8"/>
  <c r="U39" i="8"/>
  <c r="V39" i="8"/>
  <c r="W39" i="8"/>
  <c r="X39" i="8"/>
  <c r="Y39" i="8"/>
  <c r="Z39" i="8"/>
  <c r="AA39" i="8"/>
  <c r="AB39" i="8"/>
  <c r="AC39" i="8"/>
  <c r="AD39" i="8"/>
  <c r="F3" i="9"/>
  <c r="C12" i="9"/>
  <c r="C11" i="9"/>
  <c r="F5" i="9"/>
  <c r="F9" i="9"/>
  <c r="C19" i="9"/>
  <c r="F10" i="9"/>
  <c r="D2" i="3"/>
  <c r="E15" i="6"/>
  <c r="F15" i="6"/>
  <c r="C2" i="5"/>
  <c r="C6" i="8"/>
  <c r="F6" i="8"/>
  <c r="H2" i="3"/>
  <c r="E197" i="6"/>
  <c r="H197" i="6"/>
  <c r="I195" i="6"/>
  <c r="J195" i="6"/>
  <c r="K195" i="6"/>
  <c r="G2" i="5"/>
  <c r="G6" i="8"/>
  <c r="H6" i="8"/>
  <c r="E2" i="3"/>
  <c r="E34" i="6"/>
  <c r="F34" i="6"/>
  <c r="E35" i="6"/>
  <c r="F35" i="6"/>
  <c r="E36" i="6"/>
  <c r="F36" i="6"/>
  <c r="I34" i="6"/>
  <c r="D2" i="5"/>
  <c r="D6" i="8"/>
  <c r="E6" i="8"/>
  <c r="B2" i="3"/>
  <c r="K2" i="3"/>
  <c r="E23" i="6"/>
  <c r="F23" i="6"/>
  <c r="K2" i="5"/>
  <c r="J6" i="8"/>
  <c r="K6" i="8"/>
  <c r="L6" i="8"/>
  <c r="M6" i="8"/>
  <c r="N6" i="8"/>
  <c r="P6" i="8"/>
  <c r="AG6" i="8"/>
  <c r="AH6" i="8"/>
  <c r="AI6" i="8"/>
  <c r="AJ6" i="8"/>
  <c r="AK6" i="8"/>
  <c r="AL6" i="8"/>
  <c r="AM6" i="8"/>
  <c r="AN6" i="8"/>
  <c r="AO6" i="8"/>
  <c r="AP6" i="8"/>
  <c r="AQ6" i="8"/>
  <c r="C7" i="9"/>
  <c r="B6" i="3"/>
  <c r="J6" i="3"/>
  <c r="J6" i="5"/>
  <c r="I10" i="8"/>
  <c r="D6" i="3"/>
  <c r="E16" i="6"/>
  <c r="F16" i="6"/>
  <c r="C6" i="5"/>
  <c r="C10" i="8"/>
  <c r="E6" i="3"/>
  <c r="I35" i="6"/>
  <c r="D6" i="5"/>
  <c r="D10" i="8"/>
  <c r="E10" i="8"/>
  <c r="F10" i="8"/>
  <c r="H6" i="3"/>
  <c r="G6" i="5"/>
  <c r="G10" i="8"/>
  <c r="H10" i="8"/>
  <c r="K6" i="3"/>
  <c r="K6" i="5"/>
  <c r="J10" i="8"/>
  <c r="K10" i="8"/>
  <c r="L10" i="8"/>
  <c r="M10" i="8"/>
  <c r="N10" i="8"/>
  <c r="O10" i="8"/>
  <c r="T10" i="8"/>
  <c r="U10" i="8"/>
  <c r="V10" i="8"/>
  <c r="W10" i="8"/>
  <c r="X10" i="8"/>
  <c r="Y10" i="8"/>
  <c r="Z10" i="8"/>
  <c r="AA10" i="8"/>
  <c r="AB10" i="8"/>
  <c r="AC10" i="8"/>
  <c r="AD10" i="8"/>
  <c r="D10" i="3"/>
  <c r="C14" i="8"/>
  <c r="E10" i="3"/>
  <c r="D14" i="8"/>
  <c r="E14" i="8"/>
  <c r="F14" i="8"/>
  <c r="H10" i="3"/>
  <c r="G14" i="8"/>
  <c r="H14" i="8"/>
  <c r="I14" i="8"/>
  <c r="O14" i="8"/>
  <c r="T14" i="8"/>
  <c r="U14" i="8"/>
  <c r="V14" i="8"/>
  <c r="W14" i="8"/>
  <c r="X14" i="8"/>
  <c r="Y14" i="8"/>
  <c r="Z14" i="8"/>
  <c r="AA14" i="8"/>
  <c r="AB14" i="8"/>
  <c r="AC14" i="8"/>
  <c r="AD14" i="8"/>
  <c r="F13" i="9"/>
  <c r="F15" i="9"/>
  <c r="F19" i="9"/>
  <c r="F20" i="9"/>
  <c r="C56" i="8"/>
  <c r="F56" i="8"/>
  <c r="G56" i="8"/>
  <c r="H56" i="8"/>
  <c r="D56" i="8"/>
  <c r="E56" i="8"/>
  <c r="J56" i="8"/>
  <c r="K56" i="8"/>
  <c r="L56" i="8"/>
  <c r="M56" i="8"/>
  <c r="N56" i="8"/>
  <c r="P2" i="3"/>
  <c r="E64" i="6"/>
  <c r="F64" i="6"/>
  <c r="P2" i="5"/>
  <c r="O56" i="8"/>
  <c r="Q56" i="8"/>
  <c r="AG56" i="8"/>
  <c r="AH56" i="8"/>
  <c r="AI56" i="8"/>
  <c r="AJ56" i="8"/>
  <c r="AK56" i="8"/>
  <c r="AL56" i="8"/>
  <c r="AM56" i="8"/>
  <c r="AN56" i="8"/>
  <c r="AO56" i="8"/>
  <c r="AP56" i="8"/>
  <c r="AQ56" i="8"/>
  <c r="I60" i="8"/>
  <c r="C60" i="8"/>
  <c r="D60" i="8"/>
  <c r="E60" i="8"/>
  <c r="F60" i="8"/>
  <c r="G60" i="8"/>
  <c r="H60" i="8"/>
  <c r="J60" i="8"/>
  <c r="K60" i="8"/>
  <c r="L60" i="8"/>
  <c r="M60" i="8"/>
  <c r="N60" i="8"/>
  <c r="P6" i="3"/>
  <c r="P6" i="5"/>
  <c r="O60" i="8"/>
  <c r="P60" i="8"/>
  <c r="T60" i="8"/>
  <c r="U60" i="8"/>
  <c r="V60" i="8"/>
  <c r="W60" i="8"/>
  <c r="X60" i="8"/>
  <c r="Y60" i="8"/>
  <c r="Z60" i="8"/>
  <c r="AA60" i="8"/>
  <c r="AB60" i="8"/>
  <c r="AC60" i="8"/>
  <c r="AD60" i="8"/>
  <c r="C64" i="8"/>
  <c r="D64" i="8"/>
  <c r="E64" i="8"/>
  <c r="F64" i="8"/>
  <c r="G64" i="8"/>
  <c r="H64" i="8"/>
  <c r="I64" i="8"/>
  <c r="P64" i="8"/>
  <c r="T64" i="8"/>
  <c r="U64" i="8"/>
  <c r="V64" i="8"/>
  <c r="W64" i="8"/>
  <c r="X64" i="8"/>
  <c r="Y64" i="8"/>
  <c r="Z64" i="8"/>
  <c r="AA64" i="8"/>
  <c r="AB64" i="8"/>
  <c r="AC64" i="8"/>
  <c r="AD64" i="8"/>
  <c r="F24" i="9"/>
  <c r="F26" i="9"/>
  <c r="F30" i="9"/>
  <c r="F31" i="9"/>
  <c r="I26" i="9"/>
  <c r="I15" i="9"/>
  <c r="I5" i="9"/>
  <c r="I27" i="9"/>
  <c r="I16" i="9"/>
  <c r="I6" i="9"/>
  <c r="F9" i="2"/>
  <c r="L9" i="2"/>
  <c r="I9" i="2"/>
  <c r="AI32" i="8"/>
  <c r="AI33" i="8"/>
  <c r="AI34" i="8"/>
  <c r="AI35" i="8"/>
  <c r="AI36" i="8"/>
  <c r="AI37" i="8"/>
  <c r="AI38" i="8"/>
  <c r="AI39" i="8"/>
  <c r="AI40" i="8"/>
  <c r="AI41" i="8"/>
  <c r="AI31" i="8"/>
  <c r="C3" i="3"/>
  <c r="M3" i="3"/>
  <c r="N3" i="3"/>
  <c r="O3" i="3"/>
  <c r="C4" i="3"/>
  <c r="M4" i="3"/>
  <c r="N4" i="3"/>
  <c r="O4" i="3"/>
  <c r="C5" i="3"/>
  <c r="M5" i="3"/>
  <c r="N5" i="3"/>
  <c r="O5" i="3"/>
  <c r="C7" i="3"/>
  <c r="M7" i="3"/>
  <c r="N7" i="3"/>
  <c r="O7" i="3"/>
  <c r="C8" i="3"/>
  <c r="M8" i="3"/>
  <c r="N8" i="3"/>
  <c r="O8" i="3"/>
  <c r="C9" i="3"/>
  <c r="M9" i="3"/>
  <c r="N9" i="3"/>
  <c r="O9" i="3"/>
  <c r="C10" i="3"/>
  <c r="M10" i="3"/>
  <c r="N10" i="3"/>
  <c r="O10" i="3"/>
  <c r="C11" i="3"/>
  <c r="M11" i="3"/>
  <c r="N11" i="3"/>
  <c r="O11" i="3"/>
  <c r="C12" i="3"/>
  <c r="M12" i="3"/>
  <c r="N12" i="3"/>
  <c r="O12" i="3"/>
  <c r="C13" i="3"/>
  <c r="M13" i="3"/>
  <c r="N13" i="3"/>
  <c r="O13" i="3"/>
  <c r="C14" i="3"/>
  <c r="M14" i="3"/>
  <c r="N14" i="3"/>
  <c r="O14" i="3"/>
  <c r="C15" i="3"/>
  <c r="M15" i="3"/>
  <c r="N15" i="3"/>
  <c r="O15" i="3"/>
  <c r="C16" i="3"/>
  <c r="M16" i="3"/>
  <c r="N16" i="3"/>
  <c r="O16" i="3"/>
  <c r="C17" i="3"/>
  <c r="M17" i="3"/>
  <c r="N17" i="3"/>
  <c r="O17" i="3"/>
  <c r="C18" i="3"/>
  <c r="M18" i="3"/>
  <c r="N18" i="3"/>
  <c r="O18" i="3"/>
  <c r="C19" i="3"/>
  <c r="M19" i="3"/>
  <c r="N19" i="3"/>
  <c r="O19" i="3"/>
  <c r="C20" i="3"/>
  <c r="M20" i="3"/>
  <c r="N20" i="3"/>
  <c r="O20" i="3"/>
  <c r="C21" i="3"/>
  <c r="M21" i="3"/>
  <c r="N21" i="3"/>
  <c r="O21" i="3"/>
  <c r="C22" i="3"/>
  <c r="M22" i="3"/>
  <c r="N22" i="3"/>
  <c r="O22" i="3"/>
  <c r="B3" i="3"/>
  <c r="J3" i="3"/>
  <c r="K3" i="3"/>
  <c r="B4" i="3"/>
  <c r="J4" i="3"/>
  <c r="K4" i="3"/>
  <c r="B5" i="3"/>
  <c r="J5" i="3"/>
  <c r="K5" i="3"/>
  <c r="B7" i="3"/>
  <c r="J7" i="3"/>
  <c r="K7" i="3"/>
  <c r="B8" i="3"/>
  <c r="J8" i="3"/>
  <c r="K8" i="3"/>
  <c r="B9" i="3"/>
  <c r="J9" i="3"/>
  <c r="K9" i="3"/>
  <c r="B10" i="3"/>
  <c r="J10" i="3"/>
  <c r="K10" i="3"/>
  <c r="B11" i="3"/>
  <c r="J11" i="3"/>
  <c r="K11" i="3"/>
  <c r="B12" i="3"/>
  <c r="J12" i="3"/>
  <c r="K12" i="3"/>
  <c r="B13" i="3"/>
  <c r="J13" i="3"/>
  <c r="K13" i="3"/>
  <c r="B14" i="3"/>
  <c r="J14" i="3"/>
  <c r="K14" i="3"/>
  <c r="B15" i="3"/>
  <c r="J15" i="3"/>
  <c r="K15" i="3"/>
  <c r="B16" i="3"/>
  <c r="J16" i="3"/>
  <c r="K16" i="3"/>
  <c r="B17" i="3"/>
  <c r="J17" i="3"/>
  <c r="K17" i="3"/>
  <c r="B18" i="3"/>
  <c r="J18" i="3"/>
  <c r="K18" i="3"/>
  <c r="B19" i="3"/>
  <c r="J19" i="3"/>
  <c r="K19" i="3"/>
  <c r="B20" i="3"/>
  <c r="J20" i="3"/>
  <c r="K20" i="3"/>
  <c r="B21" i="3"/>
  <c r="J21" i="3"/>
  <c r="K21" i="3"/>
  <c r="B22" i="3"/>
  <c r="J22" i="3"/>
  <c r="K22" i="3"/>
  <c r="J2" i="3"/>
  <c r="I3" i="3"/>
  <c r="I4" i="3"/>
  <c r="I5" i="3"/>
  <c r="I7" i="3"/>
  <c r="I8" i="3"/>
  <c r="I9" i="3"/>
  <c r="I11" i="3"/>
  <c r="I12" i="3"/>
  <c r="I13" i="3"/>
  <c r="I14" i="3"/>
  <c r="I15" i="3"/>
  <c r="I16" i="3"/>
  <c r="I17" i="3"/>
  <c r="I18" i="3"/>
  <c r="I19" i="3"/>
  <c r="I20" i="3"/>
  <c r="I21" i="3"/>
  <c r="I22" i="3"/>
  <c r="G3" i="3"/>
  <c r="G4" i="3"/>
  <c r="G5" i="3"/>
  <c r="G7" i="3"/>
  <c r="G8" i="3"/>
  <c r="G9" i="3"/>
  <c r="G11" i="3"/>
  <c r="G12" i="3"/>
  <c r="G13" i="3"/>
  <c r="G14" i="3"/>
  <c r="G15" i="3"/>
  <c r="G16" i="3"/>
  <c r="G17" i="3"/>
  <c r="G18" i="3"/>
  <c r="G19" i="3"/>
  <c r="G20" i="3"/>
  <c r="G21" i="3"/>
  <c r="G22" i="3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3" i="1"/>
  <c r="D3" i="3"/>
  <c r="D4" i="3"/>
  <c r="D5" i="3"/>
  <c r="D8" i="3"/>
  <c r="D9" i="3"/>
  <c r="D11" i="3"/>
  <c r="D12" i="3"/>
  <c r="D13" i="3"/>
  <c r="D14" i="3"/>
  <c r="D15" i="3"/>
  <c r="D16" i="3"/>
  <c r="D17" i="3"/>
  <c r="D18" i="3"/>
  <c r="D19" i="3"/>
  <c r="D20" i="3"/>
  <c r="D21" i="3"/>
  <c r="D22" i="3"/>
  <c r="D7" i="3"/>
  <c r="C3" i="5"/>
  <c r="C7" i="8"/>
  <c r="E3" i="3"/>
  <c r="F3" i="3"/>
  <c r="H3" i="3"/>
  <c r="H3" i="5"/>
  <c r="K3" i="5"/>
  <c r="J7" i="8"/>
  <c r="L3" i="3"/>
  <c r="M3" i="5"/>
  <c r="L7" i="8"/>
  <c r="C4" i="5"/>
  <c r="C8" i="8"/>
  <c r="E4" i="3"/>
  <c r="F4" i="3"/>
  <c r="H4" i="3"/>
  <c r="K4" i="5"/>
  <c r="J8" i="8"/>
  <c r="L4" i="3"/>
  <c r="N4" i="5"/>
  <c r="M58" i="8"/>
  <c r="E5" i="3"/>
  <c r="F5" i="3"/>
  <c r="H5" i="3"/>
  <c r="K5" i="5"/>
  <c r="J9" i="8"/>
  <c r="L5" i="3"/>
  <c r="N5" i="5"/>
  <c r="M59" i="8"/>
  <c r="E7" i="3"/>
  <c r="F7" i="3"/>
  <c r="H7" i="3"/>
  <c r="H7" i="5"/>
  <c r="K7" i="5"/>
  <c r="J11" i="8"/>
  <c r="L7" i="3"/>
  <c r="C8" i="5"/>
  <c r="C62" i="8"/>
  <c r="E8" i="3"/>
  <c r="F8" i="3"/>
  <c r="H8" i="3"/>
  <c r="K8" i="5"/>
  <c r="J12" i="8"/>
  <c r="L8" i="3"/>
  <c r="N8" i="5"/>
  <c r="E9" i="3"/>
  <c r="F9" i="3"/>
  <c r="H9" i="3"/>
  <c r="K9" i="5"/>
  <c r="J13" i="8"/>
  <c r="L9" i="3"/>
  <c r="K10" i="5"/>
  <c r="J14" i="8"/>
  <c r="L10" i="3"/>
  <c r="E11" i="3"/>
  <c r="F11" i="3"/>
  <c r="H11" i="3"/>
  <c r="H11" i="5"/>
  <c r="K11" i="5"/>
  <c r="J15" i="8"/>
  <c r="L11" i="3"/>
  <c r="C12" i="5"/>
  <c r="C16" i="8"/>
  <c r="E12" i="3"/>
  <c r="F12" i="3"/>
  <c r="H12" i="3"/>
  <c r="K12" i="5"/>
  <c r="J16" i="8"/>
  <c r="L12" i="3"/>
  <c r="N12" i="5"/>
  <c r="M66" i="8"/>
  <c r="C13" i="5"/>
  <c r="C17" i="8"/>
  <c r="E13" i="3"/>
  <c r="F13" i="3"/>
  <c r="H13" i="3"/>
  <c r="K13" i="5"/>
  <c r="J17" i="8"/>
  <c r="L13" i="3"/>
  <c r="M13" i="5"/>
  <c r="L67" i="8"/>
  <c r="N13" i="5"/>
  <c r="M67" i="8"/>
  <c r="C14" i="5"/>
  <c r="E14" i="3"/>
  <c r="F14" i="3"/>
  <c r="H14" i="3"/>
  <c r="H14" i="5"/>
  <c r="H18" i="8"/>
  <c r="K14" i="5"/>
  <c r="J18" i="8"/>
  <c r="L14" i="3"/>
  <c r="M14" i="5"/>
  <c r="L18" i="8"/>
  <c r="E15" i="3"/>
  <c r="F15" i="3"/>
  <c r="H15" i="3"/>
  <c r="H15" i="5"/>
  <c r="H19" i="8"/>
  <c r="K15" i="5"/>
  <c r="L15" i="3"/>
  <c r="M15" i="5"/>
  <c r="L19" i="8"/>
  <c r="C16" i="5"/>
  <c r="C20" i="8"/>
  <c r="E16" i="3"/>
  <c r="F16" i="3"/>
  <c r="H16" i="3"/>
  <c r="H16" i="5"/>
  <c r="K16" i="5"/>
  <c r="J20" i="8"/>
  <c r="L16" i="3"/>
  <c r="C17" i="5"/>
  <c r="C21" i="8"/>
  <c r="E17" i="3"/>
  <c r="F17" i="3"/>
  <c r="H17" i="3"/>
  <c r="K17" i="5"/>
  <c r="J21" i="8"/>
  <c r="L17" i="3"/>
  <c r="M17" i="5"/>
  <c r="L21" i="8"/>
  <c r="C18" i="5"/>
  <c r="E18" i="3"/>
  <c r="F18" i="3"/>
  <c r="H18" i="3"/>
  <c r="H18" i="5"/>
  <c r="K18" i="5"/>
  <c r="J22" i="8"/>
  <c r="L18" i="3"/>
  <c r="M18" i="5"/>
  <c r="C19" i="5"/>
  <c r="C23" i="8"/>
  <c r="E19" i="3"/>
  <c r="F19" i="3"/>
  <c r="H19" i="3"/>
  <c r="H19" i="5"/>
  <c r="H23" i="8"/>
  <c r="K19" i="5"/>
  <c r="L19" i="3"/>
  <c r="M19" i="5"/>
  <c r="L73" i="8"/>
  <c r="L23" i="8"/>
  <c r="C20" i="5"/>
  <c r="C24" i="8"/>
  <c r="E20" i="3"/>
  <c r="F20" i="3"/>
  <c r="H20" i="3"/>
  <c r="H20" i="5"/>
  <c r="H24" i="8"/>
  <c r="K20" i="5"/>
  <c r="J24" i="8"/>
  <c r="L20" i="3"/>
  <c r="M20" i="5"/>
  <c r="C21" i="5"/>
  <c r="C25" i="8"/>
  <c r="E21" i="3"/>
  <c r="F21" i="3"/>
  <c r="H21" i="3"/>
  <c r="H21" i="5"/>
  <c r="H25" i="8"/>
  <c r="K21" i="5"/>
  <c r="J25" i="8"/>
  <c r="L21" i="3"/>
  <c r="M21" i="5"/>
  <c r="L25" i="8"/>
  <c r="N21" i="5"/>
  <c r="C22" i="5"/>
  <c r="E22" i="3"/>
  <c r="F22" i="3"/>
  <c r="H22" i="3"/>
  <c r="H22" i="5"/>
  <c r="H26" i="8"/>
  <c r="K22" i="5"/>
  <c r="J26" i="8"/>
  <c r="L22" i="3"/>
  <c r="M22" i="5"/>
  <c r="G51" i="8"/>
  <c r="L26" i="8"/>
  <c r="C57" i="8"/>
  <c r="J57" i="8"/>
  <c r="L57" i="8"/>
  <c r="P3" i="3"/>
  <c r="P3" i="5"/>
  <c r="C58" i="8"/>
  <c r="J58" i="8"/>
  <c r="P4" i="3"/>
  <c r="J59" i="8"/>
  <c r="P5" i="3"/>
  <c r="P5" i="5"/>
  <c r="O59" i="8"/>
  <c r="J61" i="8"/>
  <c r="P7" i="3"/>
  <c r="P7" i="5"/>
  <c r="O61" i="8"/>
  <c r="J62" i="8"/>
  <c r="P8" i="3"/>
  <c r="P8" i="5"/>
  <c r="P9" i="3"/>
  <c r="P9" i="5"/>
  <c r="O63" i="8"/>
  <c r="J64" i="8"/>
  <c r="P10" i="3"/>
  <c r="P10" i="5"/>
  <c r="O64" i="8"/>
  <c r="H65" i="8"/>
  <c r="J65" i="8"/>
  <c r="P11" i="3"/>
  <c r="P11" i="5"/>
  <c r="O65" i="8"/>
  <c r="C66" i="8"/>
  <c r="J66" i="8"/>
  <c r="P12" i="3"/>
  <c r="P12" i="5"/>
  <c r="C67" i="8"/>
  <c r="J67" i="8"/>
  <c r="P13" i="3"/>
  <c r="P13" i="5"/>
  <c r="O67" i="8"/>
  <c r="H68" i="8"/>
  <c r="J68" i="8"/>
  <c r="P14" i="3"/>
  <c r="P14" i="5"/>
  <c r="O68" i="8"/>
  <c r="H69" i="8"/>
  <c r="L69" i="8"/>
  <c r="P15" i="3"/>
  <c r="P15" i="5"/>
  <c r="O69" i="8"/>
  <c r="C70" i="8"/>
  <c r="J70" i="8"/>
  <c r="P16" i="3"/>
  <c r="P16" i="5"/>
  <c r="O70" i="8"/>
  <c r="C71" i="8"/>
  <c r="J71" i="8"/>
  <c r="L71" i="8"/>
  <c r="P17" i="3"/>
  <c r="P17" i="5"/>
  <c r="O71" i="8"/>
  <c r="H72" i="8"/>
  <c r="J72" i="8"/>
  <c r="P18" i="3"/>
  <c r="P18" i="5"/>
  <c r="O72" i="8"/>
  <c r="C73" i="8"/>
  <c r="H73" i="8"/>
  <c r="P19" i="3"/>
  <c r="P19" i="5"/>
  <c r="O73" i="8"/>
  <c r="C74" i="8"/>
  <c r="H74" i="8"/>
  <c r="J74" i="8"/>
  <c r="L74" i="8"/>
  <c r="P20" i="3"/>
  <c r="P20" i="5"/>
  <c r="O74" i="8"/>
  <c r="C75" i="8"/>
  <c r="H75" i="8"/>
  <c r="L75" i="8"/>
  <c r="M75" i="8"/>
  <c r="P21" i="3"/>
  <c r="P21" i="5"/>
  <c r="O75" i="8"/>
  <c r="H76" i="8"/>
  <c r="J76" i="8"/>
  <c r="P22" i="3"/>
  <c r="P22" i="5"/>
  <c r="O76" i="8"/>
  <c r="J3" i="5"/>
  <c r="I57" i="8"/>
  <c r="J4" i="5"/>
  <c r="J5" i="5"/>
  <c r="J7" i="5"/>
  <c r="I61" i="8"/>
  <c r="J8" i="5"/>
  <c r="I12" i="8"/>
  <c r="I62" i="8"/>
  <c r="J9" i="5"/>
  <c r="J10" i="5"/>
  <c r="J11" i="5"/>
  <c r="I65" i="8"/>
  <c r="J12" i="5"/>
  <c r="J13" i="5"/>
  <c r="J14" i="5"/>
  <c r="I68" i="8"/>
  <c r="J15" i="5"/>
  <c r="I19" i="8"/>
  <c r="I69" i="8"/>
  <c r="J16" i="5"/>
  <c r="I70" i="8"/>
  <c r="J17" i="5"/>
  <c r="I21" i="8"/>
  <c r="I71" i="8"/>
  <c r="J18" i="5"/>
  <c r="I72" i="8"/>
  <c r="J19" i="5"/>
  <c r="I73" i="8"/>
  <c r="J20" i="5"/>
  <c r="J21" i="5"/>
  <c r="J22" i="5"/>
  <c r="I26" i="8"/>
  <c r="I76" i="8"/>
  <c r="J2" i="5"/>
  <c r="I6" i="8"/>
  <c r="I56" i="8"/>
  <c r="E32" i="8"/>
  <c r="G32" i="8"/>
  <c r="H34" i="8"/>
  <c r="H37" i="8"/>
  <c r="E40" i="8"/>
  <c r="G42" i="8"/>
  <c r="H42" i="8"/>
  <c r="E43" i="8"/>
  <c r="G43" i="8"/>
  <c r="E44" i="8"/>
  <c r="G44" i="8"/>
  <c r="G46" i="8"/>
  <c r="E48" i="8"/>
  <c r="E49" i="8"/>
  <c r="E50" i="8"/>
  <c r="G50" i="8"/>
  <c r="E51" i="8"/>
  <c r="B5" i="10"/>
  <c r="B6" i="10"/>
  <c r="B7" i="10"/>
  <c r="B8" i="10"/>
  <c r="B9" i="10"/>
  <c r="B10" i="10"/>
  <c r="B19" i="10"/>
  <c r="B20" i="10"/>
  <c r="B23" i="10"/>
  <c r="B25" i="10"/>
  <c r="B27" i="10"/>
  <c r="B28" i="10"/>
  <c r="F4" i="10"/>
  <c r="F5" i="10"/>
  <c r="F6" i="10"/>
  <c r="F7" i="10"/>
  <c r="F9" i="10"/>
  <c r="F10" i="10"/>
  <c r="F11" i="10"/>
  <c r="F14" i="10"/>
  <c r="I7" i="8"/>
  <c r="I15" i="8"/>
  <c r="I22" i="8"/>
  <c r="I23" i="8"/>
  <c r="I25" i="8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" i="5"/>
  <c r="E32" i="6"/>
  <c r="F32" i="6"/>
  <c r="E33" i="6"/>
  <c r="F33" i="6"/>
  <c r="E31" i="6"/>
  <c r="F31" i="6"/>
  <c r="I31" i="6"/>
  <c r="C4" i="9"/>
  <c r="C5" i="9"/>
  <c r="E192" i="6"/>
  <c r="F192" i="6"/>
  <c r="E191" i="6"/>
  <c r="F191" i="6"/>
  <c r="E416" i="6"/>
  <c r="F416" i="6"/>
  <c r="E417" i="6"/>
  <c r="F417" i="6"/>
  <c r="E418" i="6"/>
  <c r="F418" i="6"/>
  <c r="E419" i="6"/>
  <c r="F419" i="6"/>
  <c r="E420" i="6"/>
  <c r="F420" i="6"/>
  <c r="E421" i="6"/>
  <c r="F421" i="6"/>
  <c r="E422" i="6"/>
  <c r="F422" i="6"/>
  <c r="E382" i="6"/>
  <c r="F382" i="6"/>
  <c r="E383" i="6"/>
  <c r="F383" i="6"/>
  <c r="E384" i="6"/>
  <c r="F384" i="6"/>
  <c r="E385" i="6"/>
  <c r="F385" i="6"/>
  <c r="E386" i="6"/>
  <c r="F386" i="6"/>
  <c r="E387" i="6"/>
  <c r="F387" i="6"/>
  <c r="E388" i="6"/>
  <c r="F388" i="6"/>
  <c r="E389" i="6"/>
  <c r="F389" i="6"/>
  <c r="E381" i="6"/>
  <c r="F381" i="6"/>
  <c r="E373" i="6"/>
  <c r="F373" i="6"/>
  <c r="E374" i="6"/>
  <c r="F374" i="6"/>
  <c r="E372" i="6"/>
  <c r="F372" i="6"/>
  <c r="E42" i="6"/>
  <c r="E43" i="6"/>
  <c r="F43" i="6"/>
  <c r="E44" i="6"/>
  <c r="F44" i="6"/>
  <c r="E45" i="6"/>
  <c r="E41" i="6"/>
  <c r="E24" i="6"/>
  <c r="E25" i="6"/>
  <c r="F25" i="6"/>
  <c r="E26" i="6"/>
  <c r="E27" i="6"/>
  <c r="E3" i="6"/>
  <c r="F3" i="6"/>
  <c r="E4" i="6"/>
  <c r="F4" i="6"/>
  <c r="E5" i="6"/>
  <c r="F5" i="6"/>
  <c r="E6" i="6"/>
  <c r="F6" i="6"/>
  <c r="E7" i="6"/>
  <c r="F7" i="6"/>
  <c r="E8" i="6"/>
  <c r="F8" i="6"/>
  <c r="E9" i="6"/>
  <c r="F9" i="6"/>
  <c r="E10" i="6"/>
  <c r="F10" i="6"/>
  <c r="E11" i="6"/>
  <c r="F11" i="6"/>
  <c r="E12" i="6"/>
  <c r="F12" i="6"/>
  <c r="E13" i="6"/>
  <c r="F13" i="6"/>
  <c r="E14" i="6"/>
  <c r="F14" i="6"/>
  <c r="E17" i="6"/>
  <c r="F17" i="6"/>
  <c r="E18" i="6"/>
  <c r="F18" i="6"/>
  <c r="E19" i="6"/>
  <c r="F19" i="6"/>
  <c r="E295" i="6"/>
  <c r="F295" i="6"/>
  <c r="E296" i="6"/>
  <c r="F296" i="6"/>
  <c r="E297" i="6"/>
  <c r="F297" i="6"/>
  <c r="E298" i="6"/>
  <c r="F298" i="6"/>
  <c r="E299" i="6"/>
  <c r="F299" i="6"/>
  <c r="E300" i="6"/>
  <c r="F300" i="6"/>
  <c r="E301" i="6"/>
  <c r="F301" i="6"/>
  <c r="E302" i="6"/>
  <c r="F302" i="6"/>
  <c r="E303" i="6"/>
  <c r="F303" i="6"/>
  <c r="E304" i="6"/>
  <c r="F304" i="6"/>
  <c r="E305" i="6"/>
  <c r="F305" i="6"/>
  <c r="E306" i="6"/>
  <c r="F306" i="6"/>
  <c r="E307" i="6"/>
  <c r="F307" i="6"/>
  <c r="E308" i="6"/>
  <c r="F308" i="6"/>
  <c r="E309" i="6"/>
  <c r="F309" i="6"/>
  <c r="E310" i="6"/>
  <c r="F310" i="6"/>
  <c r="E311" i="6"/>
  <c r="F311" i="6"/>
  <c r="E312" i="6"/>
  <c r="F312" i="6"/>
  <c r="E313" i="6"/>
  <c r="F313" i="6"/>
  <c r="E314" i="6"/>
  <c r="F314" i="6"/>
  <c r="E315" i="6"/>
  <c r="F315" i="6"/>
  <c r="E316" i="6"/>
  <c r="F316" i="6"/>
  <c r="E317" i="6"/>
  <c r="F317" i="6"/>
  <c r="E318" i="6"/>
  <c r="F318" i="6"/>
  <c r="E291" i="6"/>
  <c r="F291" i="6"/>
  <c r="E292" i="6"/>
  <c r="F292" i="6"/>
  <c r="E290" i="6"/>
  <c r="F290" i="6"/>
  <c r="E241" i="6"/>
  <c r="F241" i="6"/>
  <c r="E242" i="6"/>
  <c r="F242" i="6"/>
  <c r="E243" i="6"/>
  <c r="F243" i="6"/>
  <c r="E244" i="6"/>
  <c r="F244" i="6"/>
  <c r="E245" i="6"/>
  <c r="F245" i="6"/>
  <c r="E246" i="6"/>
  <c r="F246" i="6"/>
  <c r="E247" i="6"/>
  <c r="F247" i="6"/>
  <c r="E248" i="6"/>
  <c r="F248" i="6"/>
  <c r="E249" i="6"/>
  <c r="F249" i="6"/>
  <c r="E250" i="6"/>
  <c r="F250" i="6"/>
  <c r="E251" i="6"/>
  <c r="F251" i="6"/>
  <c r="E252" i="6"/>
  <c r="F252" i="6"/>
  <c r="E253" i="6"/>
  <c r="F253" i="6"/>
  <c r="E254" i="6"/>
  <c r="F254" i="6"/>
  <c r="E255" i="6"/>
  <c r="F255" i="6"/>
  <c r="E256" i="6"/>
  <c r="F256" i="6"/>
  <c r="E257" i="6"/>
  <c r="F257" i="6"/>
  <c r="E258" i="6"/>
  <c r="F258" i="6"/>
  <c r="E259" i="6"/>
  <c r="F259" i="6"/>
  <c r="E260" i="6"/>
  <c r="F260" i="6"/>
  <c r="E261" i="6"/>
  <c r="F261" i="6"/>
  <c r="E262" i="6"/>
  <c r="F262" i="6"/>
  <c r="E263" i="6"/>
  <c r="F263" i="6"/>
  <c r="E264" i="6"/>
  <c r="F264" i="6"/>
  <c r="E265" i="6"/>
  <c r="F265" i="6"/>
  <c r="E266" i="6"/>
  <c r="F266" i="6"/>
  <c r="E267" i="6"/>
  <c r="F267" i="6"/>
  <c r="E268" i="6"/>
  <c r="F268" i="6"/>
  <c r="E269" i="6"/>
  <c r="F269" i="6"/>
  <c r="E270" i="6"/>
  <c r="F270" i="6"/>
  <c r="E271" i="6"/>
  <c r="F271" i="6"/>
  <c r="E272" i="6"/>
  <c r="F272" i="6"/>
  <c r="E273" i="6"/>
  <c r="F273" i="6"/>
  <c r="E274" i="6"/>
  <c r="F274" i="6"/>
  <c r="E275" i="6"/>
  <c r="F275" i="6"/>
  <c r="E276" i="6"/>
  <c r="F276" i="6"/>
  <c r="E277" i="6"/>
  <c r="F277" i="6"/>
  <c r="E278" i="6"/>
  <c r="F278" i="6"/>
  <c r="E279" i="6"/>
  <c r="F279" i="6"/>
  <c r="E280" i="6"/>
  <c r="F280" i="6"/>
  <c r="E281" i="6"/>
  <c r="F281" i="6"/>
  <c r="E282" i="6"/>
  <c r="F282" i="6"/>
  <c r="E283" i="6"/>
  <c r="F283" i="6"/>
  <c r="E284" i="6"/>
  <c r="F284" i="6"/>
  <c r="E285" i="6"/>
  <c r="F285" i="6"/>
  <c r="E286" i="6"/>
  <c r="F286" i="6"/>
  <c r="E240" i="6"/>
  <c r="F240" i="6"/>
  <c r="E228" i="6"/>
  <c r="F228" i="6"/>
  <c r="E229" i="6"/>
  <c r="F229" i="6"/>
  <c r="E230" i="6"/>
  <c r="F230" i="6"/>
  <c r="E231" i="6"/>
  <c r="F231" i="6"/>
  <c r="E232" i="6"/>
  <c r="F232" i="6"/>
  <c r="E233" i="6"/>
  <c r="F233" i="6"/>
  <c r="E234" i="6"/>
  <c r="F234" i="6"/>
  <c r="E235" i="6"/>
  <c r="F235" i="6"/>
  <c r="E236" i="6"/>
  <c r="F236" i="6"/>
  <c r="E237" i="6"/>
  <c r="F237" i="6"/>
  <c r="E203" i="6"/>
  <c r="F203" i="6"/>
  <c r="E204" i="6"/>
  <c r="F204" i="6"/>
  <c r="E205" i="6"/>
  <c r="F205" i="6"/>
  <c r="E206" i="6"/>
  <c r="F206" i="6"/>
  <c r="E207" i="6"/>
  <c r="F207" i="6"/>
  <c r="E208" i="6"/>
  <c r="F208" i="6"/>
  <c r="E209" i="6"/>
  <c r="F209" i="6"/>
  <c r="E210" i="6"/>
  <c r="F210" i="6"/>
  <c r="E211" i="6"/>
  <c r="F211" i="6"/>
  <c r="E212" i="6"/>
  <c r="F212" i="6"/>
  <c r="E213" i="6"/>
  <c r="F213" i="6"/>
  <c r="E214" i="6"/>
  <c r="F214" i="6"/>
  <c r="E215" i="6"/>
  <c r="F215" i="6"/>
  <c r="E216" i="6"/>
  <c r="F216" i="6"/>
  <c r="E217" i="6"/>
  <c r="F217" i="6"/>
  <c r="E218" i="6"/>
  <c r="F218" i="6"/>
  <c r="E202" i="6"/>
  <c r="F202" i="6"/>
  <c r="E195" i="6"/>
  <c r="H195" i="6"/>
  <c r="E196" i="6"/>
  <c r="H196" i="6"/>
  <c r="I194" i="6"/>
  <c r="E198" i="6"/>
  <c r="H198" i="6"/>
  <c r="J196" i="6"/>
  <c r="E199" i="6"/>
  <c r="H199" i="6"/>
  <c r="H192" i="6"/>
  <c r="E74" i="6"/>
  <c r="E50" i="6"/>
  <c r="E51" i="6"/>
  <c r="F51" i="6"/>
  <c r="E52" i="6"/>
  <c r="F52" i="6"/>
  <c r="E53" i="6"/>
  <c r="F53" i="6"/>
  <c r="E54" i="6"/>
  <c r="E55" i="6"/>
  <c r="E56" i="6"/>
  <c r="E57" i="6"/>
  <c r="E58" i="6"/>
  <c r="E59" i="6"/>
  <c r="F59" i="6"/>
  <c r="E60" i="6"/>
  <c r="F60" i="6"/>
  <c r="E61" i="6"/>
  <c r="F61" i="6"/>
  <c r="E62" i="6"/>
  <c r="F62" i="6"/>
  <c r="E63" i="6"/>
  <c r="F63" i="6"/>
  <c r="E65" i="6"/>
  <c r="E66" i="6"/>
  <c r="E67" i="6"/>
  <c r="E68" i="6"/>
  <c r="F68" i="6"/>
  <c r="E69" i="6"/>
  <c r="F69" i="6"/>
  <c r="E70" i="6"/>
  <c r="F70" i="6"/>
  <c r="E49" i="6"/>
  <c r="F49" i="6"/>
  <c r="F50" i="6"/>
  <c r="F54" i="6"/>
  <c r="F55" i="6"/>
  <c r="F56" i="6"/>
  <c r="F57" i="6"/>
  <c r="F58" i="6"/>
  <c r="F65" i="6"/>
  <c r="F66" i="6"/>
  <c r="F67" i="6"/>
  <c r="H191" i="6"/>
  <c r="F74" i="6"/>
  <c r="F41" i="6"/>
  <c r="F42" i="6"/>
  <c r="F45" i="6"/>
  <c r="F24" i="6"/>
  <c r="F26" i="6"/>
  <c r="F27" i="6"/>
  <c r="I193" i="6"/>
  <c r="J193" i="6"/>
  <c r="K193" i="6"/>
  <c r="J194" i="6"/>
  <c r="K194" i="6"/>
  <c r="I196" i="6"/>
  <c r="K196" i="6"/>
  <c r="I414" i="6"/>
  <c r="L72" i="8"/>
  <c r="L22" i="8"/>
  <c r="G47" i="8"/>
  <c r="I63" i="8"/>
  <c r="I13" i="8"/>
  <c r="I74" i="8"/>
  <c r="I24" i="8"/>
  <c r="B31" i="10"/>
  <c r="C26" i="8"/>
  <c r="C76" i="8"/>
  <c r="H20" i="8"/>
  <c r="H70" i="8"/>
  <c r="E45" i="8"/>
  <c r="O57" i="8"/>
  <c r="I66" i="8"/>
  <c r="I16" i="8"/>
  <c r="H11" i="8"/>
  <c r="H61" i="8"/>
  <c r="E36" i="8"/>
  <c r="G49" i="8"/>
  <c r="L24" i="8"/>
  <c r="H7" i="8"/>
  <c r="H57" i="8"/>
  <c r="O62" i="8"/>
  <c r="I197" i="6"/>
  <c r="J197" i="6"/>
  <c r="I67" i="8"/>
  <c r="I17" i="8"/>
  <c r="N14" i="5"/>
  <c r="M18" i="8"/>
  <c r="M68" i="8"/>
  <c r="M9" i="5"/>
  <c r="L63" i="8"/>
  <c r="G38" i="8"/>
  <c r="I59" i="8"/>
  <c r="H33" i="8"/>
  <c r="C18" i="8"/>
  <c r="C68" i="8"/>
  <c r="C5" i="5"/>
  <c r="C9" i="8"/>
  <c r="H8" i="5"/>
  <c r="H12" i="8"/>
  <c r="J73" i="8"/>
  <c r="J23" i="8"/>
  <c r="F20" i="6"/>
  <c r="I9" i="8"/>
  <c r="I58" i="8"/>
  <c r="I8" i="8"/>
  <c r="J75" i="8"/>
  <c r="G297" i="6"/>
  <c r="I20" i="8"/>
  <c r="J63" i="8"/>
  <c r="M8" i="8"/>
  <c r="I32" i="6"/>
  <c r="M25" i="8"/>
  <c r="F20" i="10"/>
  <c r="H50" i="8"/>
  <c r="H41" i="8"/>
  <c r="H22" i="8"/>
  <c r="E47" i="8"/>
  <c r="N3" i="5"/>
  <c r="M7" i="8"/>
  <c r="N10" i="5"/>
  <c r="N7" i="5"/>
  <c r="N15" i="5"/>
  <c r="N9" i="5"/>
  <c r="N16" i="5"/>
  <c r="N22" i="5"/>
  <c r="H43" i="8"/>
  <c r="N19" i="5"/>
  <c r="N18" i="5"/>
  <c r="N20" i="5"/>
  <c r="N17" i="5"/>
  <c r="N11" i="5"/>
  <c r="G48" i="8"/>
  <c r="I75" i="8"/>
  <c r="I18" i="8"/>
  <c r="I11" i="8"/>
  <c r="L76" i="8"/>
  <c r="J19" i="8"/>
  <c r="J69" i="8"/>
  <c r="M16" i="8"/>
  <c r="M12" i="8"/>
  <c r="M62" i="8"/>
  <c r="M10" i="5"/>
  <c r="L14" i="8"/>
  <c r="C12" i="8"/>
  <c r="C22" i="8"/>
  <c r="C72" i="8"/>
  <c r="L68" i="8"/>
  <c r="L17" i="8"/>
  <c r="M7" i="5"/>
  <c r="G36" i="8"/>
  <c r="M11" i="5"/>
  <c r="M4" i="5"/>
  <c r="M8" i="5"/>
  <c r="M12" i="5"/>
  <c r="L13" i="8"/>
  <c r="G39" i="8"/>
  <c r="M16" i="5"/>
  <c r="M5" i="5"/>
  <c r="P4" i="5"/>
  <c r="O58" i="8"/>
  <c r="L15" i="8"/>
  <c r="O66" i="8"/>
  <c r="M9" i="8"/>
  <c r="H4" i="5"/>
  <c r="H8" i="8"/>
  <c r="H12" i="5"/>
  <c r="H16" i="8"/>
  <c r="H10" i="5"/>
  <c r="H13" i="5"/>
  <c r="H9" i="5"/>
  <c r="H17" i="5"/>
  <c r="H5" i="5"/>
  <c r="C10" i="5"/>
  <c r="C7" i="5"/>
  <c r="C11" i="5"/>
  <c r="H15" i="8"/>
  <c r="M17" i="8"/>
  <c r="C59" i="8"/>
  <c r="C15" i="5"/>
  <c r="C9" i="5"/>
  <c r="G45" i="8"/>
  <c r="L70" i="8"/>
  <c r="G308" i="6"/>
  <c r="G301" i="6"/>
  <c r="M15" i="8"/>
  <c r="H40" i="8"/>
  <c r="M65" i="8"/>
  <c r="M70" i="8"/>
  <c r="H45" i="8"/>
  <c r="G315" i="6"/>
  <c r="G317" i="6"/>
  <c r="G298" i="6"/>
  <c r="M20" i="8"/>
  <c r="G304" i="6"/>
  <c r="M21" i="8"/>
  <c r="H46" i="8"/>
  <c r="M71" i="8"/>
  <c r="M63" i="8"/>
  <c r="H38" i="8"/>
  <c r="M13" i="8"/>
  <c r="H17" i="8"/>
  <c r="H67" i="8"/>
  <c r="E42" i="8"/>
  <c r="L66" i="8"/>
  <c r="L16" i="8"/>
  <c r="G41" i="8"/>
  <c r="G312" i="6"/>
  <c r="M24" i="8"/>
  <c r="M74" i="8"/>
  <c r="H49" i="8"/>
  <c r="M19" i="8"/>
  <c r="M69" i="8"/>
  <c r="H44" i="8"/>
  <c r="M57" i="8"/>
  <c r="K197" i="6"/>
  <c r="G306" i="6"/>
  <c r="C11" i="8"/>
  <c r="C61" i="8"/>
  <c r="H58" i="8"/>
  <c r="E33" i="8"/>
  <c r="L9" i="8"/>
  <c r="L59" i="8"/>
  <c r="G34" i="8"/>
  <c r="L12" i="8"/>
  <c r="L62" i="8"/>
  <c r="G37" i="8"/>
  <c r="M72" i="8"/>
  <c r="H47" i="8"/>
  <c r="M11" i="8"/>
  <c r="M61" i="8"/>
  <c r="H36" i="8"/>
  <c r="G295" i="6"/>
  <c r="H32" i="8"/>
  <c r="G316" i="6"/>
  <c r="C13" i="8"/>
  <c r="C63" i="8"/>
  <c r="H66" i="8"/>
  <c r="E41" i="8"/>
  <c r="M22" i="8"/>
  <c r="L58" i="8"/>
  <c r="G33" i="8"/>
  <c r="L8" i="8"/>
  <c r="L20" i="8"/>
  <c r="M23" i="8"/>
  <c r="H48" i="8"/>
  <c r="M73" i="8"/>
  <c r="M14" i="8"/>
  <c r="M64" i="8"/>
  <c r="H39" i="8"/>
  <c r="G309" i="6"/>
  <c r="G5" i="5"/>
  <c r="G9" i="5"/>
  <c r="G13" i="5"/>
  <c r="G3" i="5"/>
  <c r="G14" i="5"/>
  <c r="G18" i="5"/>
  <c r="G21" i="5"/>
  <c r="G4" i="5"/>
  <c r="G8" i="5"/>
  <c r="G11" i="5"/>
  <c r="G12" i="5"/>
  <c r="G17" i="5"/>
  <c r="G22" i="5"/>
  <c r="G10" i="5"/>
  <c r="G19" i="5"/>
  <c r="G7" i="5"/>
  <c r="G20" i="5"/>
  <c r="G16" i="5"/>
  <c r="G15" i="5"/>
  <c r="G311" i="6"/>
  <c r="C65" i="8"/>
  <c r="C15" i="8"/>
  <c r="H9" i="8"/>
  <c r="E34" i="8"/>
  <c r="H59" i="8"/>
  <c r="H62" i="8"/>
  <c r="E37" i="8"/>
  <c r="L65" i="8"/>
  <c r="G40" i="8"/>
  <c r="L64" i="8"/>
  <c r="D5" i="5"/>
  <c r="D9" i="5"/>
  <c r="D13" i="5"/>
  <c r="D7" i="5"/>
  <c r="D10" i="5"/>
  <c r="D14" i="5"/>
  <c r="D18" i="5"/>
  <c r="D8" i="5"/>
  <c r="D11" i="5"/>
  <c r="D17" i="5"/>
  <c r="D19" i="5"/>
  <c r="D21" i="5"/>
  <c r="D16" i="5"/>
  <c r="D20" i="5"/>
  <c r="D12" i="5"/>
  <c r="D4" i="5"/>
  <c r="D15" i="5"/>
  <c r="D22" i="5"/>
  <c r="G314" i="6"/>
  <c r="L61" i="8"/>
  <c r="M76" i="8"/>
  <c r="H51" i="8"/>
  <c r="M26" i="8"/>
  <c r="O4" i="5"/>
  <c r="O8" i="5"/>
  <c r="O12" i="5"/>
  <c r="O5" i="5"/>
  <c r="O9" i="5"/>
  <c r="O13" i="5"/>
  <c r="O3" i="5"/>
  <c r="O17" i="5"/>
  <c r="O7" i="5"/>
  <c r="O10" i="5"/>
  <c r="O14" i="5"/>
  <c r="O18" i="5"/>
  <c r="O19" i="5"/>
  <c r="O20" i="5"/>
  <c r="O11" i="5"/>
  <c r="O16" i="5"/>
  <c r="O22" i="5"/>
  <c r="G318" i="6"/>
  <c r="G302" i="6"/>
  <c r="O15" i="5"/>
  <c r="O21" i="5"/>
  <c r="G310" i="6"/>
  <c r="G307" i="6"/>
  <c r="G299" i="6"/>
  <c r="D3" i="5"/>
  <c r="G305" i="6"/>
  <c r="L11" i="8"/>
  <c r="C18" i="9"/>
  <c r="C19" i="8"/>
  <c r="C69" i="8"/>
  <c r="H21" i="8"/>
  <c r="H71" i="8"/>
  <c r="E46" i="8"/>
  <c r="H13" i="8"/>
  <c r="H63" i="8"/>
  <c r="E38" i="8"/>
  <c r="G296" i="6"/>
  <c r="G303" i="6"/>
  <c r="G300" i="6"/>
  <c r="G313" i="6"/>
  <c r="L5" i="5"/>
  <c r="L9" i="5"/>
  <c r="L13" i="5"/>
  <c r="L3" i="5"/>
  <c r="L12" i="5"/>
  <c r="L8" i="5"/>
  <c r="L14" i="5"/>
  <c r="L4" i="5"/>
  <c r="L18" i="5"/>
  <c r="L21" i="5"/>
  <c r="L22" i="5"/>
  <c r="L10" i="5"/>
  <c r="L19" i="5"/>
  <c r="L17" i="5"/>
  <c r="L11" i="5"/>
  <c r="L16" i="5"/>
  <c r="L7" i="5"/>
  <c r="L20" i="5"/>
  <c r="L15" i="5"/>
  <c r="N7" i="8"/>
  <c r="I32" i="8"/>
  <c r="N57" i="8"/>
  <c r="D25" i="8"/>
  <c r="D75" i="8"/>
  <c r="G71" i="8"/>
  <c r="G21" i="8"/>
  <c r="G18" i="8"/>
  <c r="G68" i="8"/>
  <c r="N75" i="8"/>
  <c r="I50" i="8"/>
  <c r="N25" i="8"/>
  <c r="N74" i="8"/>
  <c r="I49" i="8"/>
  <c r="N24" i="8"/>
  <c r="N17" i="8"/>
  <c r="N67" i="8"/>
  <c r="I42" i="8"/>
  <c r="D73" i="8"/>
  <c r="D23" i="8"/>
  <c r="D61" i="8"/>
  <c r="D11" i="8"/>
  <c r="G19" i="8"/>
  <c r="G69" i="8"/>
  <c r="G16" i="8"/>
  <c r="G66" i="8"/>
  <c r="G57" i="8"/>
  <c r="G7" i="8"/>
  <c r="I44" i="8"/>
  <c r="N69" i="8"/>
  <c r="N19" i="8"/>
  <c r="I48" i="8"/>
  <c r="N73" i="8"/>
  <c r="N23" i="8"/>
  <c r="N13" i="8"/>
  <c r="N63" i="8"/>
  <c r="I38" i="8"/>
  <c r="D76" i="8"/>
  <c r="D26" i="8"/>
  <c r="D71" i="8"/>
  <c r="D21" i="8"/>
  <c r="D17" i="8"/>
  <c r="D67" i="8"/>
  <c r="G70" i="8"/>
  <c r="G20" i="8"/>
  <c r="G65" i="8"/>
  <c r="G15" i="8"/>
  <c r="N59" i="8"/>
  <c r="N9" i="8"/>
  <c r="I34" i="8"/>
  <c r="D15" i="8"/>
  <c r="D65" i="8"/>
  <c r="G12" i="8"/>
  <c r="G62" i="8"/>
  <c r="N18" i="8"/>
  <c r="N68" i="8"/>
  <c r="I43" i="8"/>
  <c r="D58" i="8"/>
  <c r="D8" i="8"/>
  <c r="D62" i="8"/>
  <c r="D12" i="8"/>
  <c r="D59" i="8"/>
  <c r="D9" i="8"/>
  <c r="G11" i="8"/>
  <c r="G61" i="8"/>
  <c r="G8" i="8"/>
  <c r="G58" i="8"/>
  <c r="G63" i="8"/>
  <c r="G13" i="8"/>
  <c r="D7" i="8"/>
  <c r="D57" i="8"/>
  <c r="N26" i="8"/>
  <c r="N76" i="8"/>
  <c r="I51" i="8"/>
  <c r="I39" i="8"/>
  <c r="N14" i="8"/>
  <c r="N64" i="8"/>
  <c r="N66" i="8"/>
  <c r="I41" i="8"/>
  <c r="N16" i="8"/>
  <c r="D66" i="8"/>
  <c r="D16" i="8"/>
  <c r="D22" i="8"/>
  <c r="D72" i="8"/>
  <c r="G23" i="8"/>
  <c r="G73" i="8"/>
  <c r="G25" i="8"/>
  <c r="G75" i="8"/>
  <c r="G59" i="8"/>
  <c r="G9" i="8"/>
  <c r="E7" i="5"/>
  <c r="E11" i="5"/>
  <c r="E4" i="5"/>
  <c r="E8" i="5"/>
  <c r="E12" i="5"/>
  <c r="E3" i="5"/>
  <c r="E16" i="5"/>
  <c r="E5" i="5"/>
  <c r="E15" i="5"/>
  <c r="E19" i="5"/>
  <c r="E20" i="5"/>
  <c r="E14" i="5"/>
  <c r="E10" i="5"/>
  <c r="E13" i="5"/>
  <c r="E18" i="5"/>
  <c r="E9" i="5"/>
  <c r="E22" i="5"/>
  <c r="E17" i="5"/>
  <c r="E21" i="5"/>
  <c r="F10" i="5"/>
  <c r="F7" i="5"/>
  <c r="F11" i="5"/>
  <c r="F12" i="5"/>
  <c r="F15" i="5"/>
  <c r="F19" i="5"/>
  <c r="F8" i="5"/>
  <c r="F3" i="5"/>
  <c r="F4" i="5"/>
  <c r="F22" i="5"/>
  <c r="F5" i="5"/>
  <c r="F9" i="5"/>
  <c r="F16" i="5"/>
  <c r="F20" i="5"/>
  <c r="F14" i="5"/>
  <c r="F17" i="5"/>
  <c r="F13" i="5"/>
  <c r="F21" i="5"/>
  <c r="F18" i="5"/>
  <c r="D13" i="8"/>
  <c r="D63" i="8"/>
  <c r="G67" i="8"/>
  <c r="G17" i="8"/>
  <c r="I37" i="8"/>
  <c r="N62" i="8"/>
  <c r="N12" i="8"/>
  <c r="I47" i="8"/>
  <c r="N72" i="8"/>
  <c r="N22" i="8"/>
  <c r="D19" i="8"/>
  <c r="D69" i="8"/>
  <c r="G24" i="8"/>
  <c r="G74" i="8"/>
  <c r="G319" i="6"/>
  <c r="N20" i="8"/>
  <c r="N70" i="8"/>
  <c r="I45" i="8"/>
  <c r="N11" i="8"/>
  <c r="I36" i="8"/>
  <c r="N61" i="8"/>
  <c r="D24" i="8"/>
  <c r="D74" i="8"/>
  <c r="D68" i="8"/>
  <c r="D18" i="8"/>
  <c r="N65" i="8"/>
  <c r="I40" i="8"/>
  <c r="N15" i="8"/>
  <c r="I46" i="8"/>
  <c r="N71" i="8"/>
  <c r="N21" i="8"/>
  <c r="N58" i="8"/>
  <c r="I33" i="8"/>
  <c r="N8" i="8"/>
  <c r="D20" i="8"/>
  <c r="D70" i="8"/>
  <c r="G76" i="8"/>
  <c r="G26" i="8"/>
  <c r="G22" i="8"/>
  <c r="G72" i="8"/>
  <c r="K14" i="8"/>
  <c r="P14" i="8"/>
  <c r="Q60" i="8"/>
  <c r="F67" i="8"/>
  <c r="D42" i="8"/>
  <c r="F17" i="8"/>
  <c r="E17" i="8"/>
  <c r="K17" i="8"/>
  <c r="P17" i="8"/>
  <c r="D33" i="8"/>
  <c r="F58" i="8"/>
  <c r="F8" i="8"/>
  <c r="C47" i="8"/>
  <c r="E72" i="8"/>
  <c r="F72" i="8"/>
  <c r="K72" i="8"/>
  <c r="P72" i="8"/>
  <c r="E22" i="8"/>
  <c r="O6" i="8"/>
  <c r="E26" i="8"/>
  <c r="F26" i="8"/>
  <c r="K26" i="8"/>
  <c r="O26" i="8"/>
  <c r="K18" i="8"/>
  <c r="F43" i="8"/>
  <c r="K68" i="8"/>
  <c r="E68" i="8"/>
  <c r="F68" i="8"/>
  <c r="P68" i="8"/>
  <c r="F21" i="8"/>
  <c r="F71" i="8"/>
  <c r="E71" i="8"/>
  <c r="K71" i="8"/>
  <c r="P71" i="8"/>
  <c r="D46" i="8"/>
  <c r="F7" i="8"/>
  <c r="F57" i="8"/>
  <c r="D32" i="8"/>
  <c r="E67" i="8"/>
  <c r="C42" i="8"/>
  <c r="F42" i="8"/>
  <c r="J42" i="8"/>
  <c r="O17" i="8"/>
  <c r="E70" i="8"/>
  <c r="C45" i="8"/>
  <c r="E20" i="8"/>
  <c r="F20" i="8"/>
  <c r="K20" i="8"/>
  <c r="P20" i="8"/>
  <c r="F22" i="8"/>
  <c r="K22" i="8"/>
  <c r="P22" i="8"/>
  <c r="E8" i="8"/>
  <c r="K8" i="8"/>
  <c r="P8" i="8"/>
  <c r="K21" i="8"/>
  <c r="F46" i="8"/>
  <c r="K62" i="8"/>
  <c r="F37" i="8"/>
  <c r="K12" i="8"/>
  <c r="F70" i="8"/>
  <c r="K70" i="8"/>
  <c r="P70" i="8"/>
  <c r="Q70" i="8"/>
  <c r="F18" i="8"/>
  <c r="D43" i="8"/>
  <c r="F12" i="8"/>
  <c r="F62" i="8"/>
  <c r="E62" i="8"/>
  <c r="Q62" i="8"/>
  <c r="D37" i="8"/>
  <c r="C32" i="8"/>
  <c r="F32" i="8"/>
  <c r="J32" i="8"/>
  <c r="E57" i="8"/>
  <c r="E7" i="8"/>
  <c r="K7" i="8"/>
  <c r="O7" i="8"/>
  <c r="E16" i="8"/>
  <c r="F16" i="8"/>
  <c r="K16" i="8"/>
  <c r="O16" i="8"/>
  <c r="K73" i="8"/>
  <c r="F48" i="8"/>
  <c r="K23" i="8"/>
  <c r="K66" i="8"/>
  <c r="F41" i="8"/>
  <c r="E75" i="8"/>
  <c r="F75" i="8"/>
  <c r="K75" i="8"/>
  <c r="Q75" i="8"/>
  <c r="C50" i="8"/>
  <c r="E25" i="8"/>
  <c r="F25" i="8"/>
  <c r="K25" i="8"/>
  <c r="O25" i="8"/>
  <c r="K69" i="8"/>
  <c r="F44" i="8"/>
  <c r="K19" i="8"/>
  <c r="K64" i="8"/>
  <c r="Q64" i="8"/>
  <c r="F39" i="8"/>
  <c r="K57" i="8"/>
  <c r="D45" i="8"/>
  <c r="D44" i="8"/>
  <c r="F69" i="8"/>
  <c r="F19" i="8"/>
  <c r="E21" i="8"/>
  <c r="C46" i="8"/>
  <c r="E24" i="8"/>
  <c r="F24" i="8"/>
  <c r="K24" i="8"/>
  <c r="P24" i="8"/>
  <c r="E74" i="8"/>
  <c r="C49" i="8"/>
  <c r="E12" i="8"/>
  <c r="O12" i="8"/>
  <c r="C37" i="8"/>
  <c r="K67" i="8"/>
  <c r="Q67" i="8"/>
  <c r="P67" i="8"/>
  <c r="F49" i="8"/>
  <c r="K74" i="8"/>
  <c r="K76" i="8"/>
  <c r="E76" i="8"/>
  <c r="F76" i="8"/>
  <c r="Q76" i="8"/>
  <c r="F51" i="8"/>
  <c r="E18" i="8"/>
  <c r="O18" i="8"/>
  <c r="F13" i="8"/>
  <c r="F63" i="8"/>
  <c r="D38" i="8"/>
  <c r="F66" i="8"/>
  <c r="D41" i="8"/>
  <c r="P76" i="8"/>
  <c r="C51" i="8"/>
  <c r="P26" i="8"/>
  <c r="C48" i="8"/>
  <c r="D48" i="8"/>
  <c r="J48" i="8"/>
  <c r="E73" i="8"/>
  <c r="F73" i="8"/>
  <c r="P73" i="8"/>
  <c r="E23" i="8"/>
  <c r="F23" i="8"/>
  <c r="O23" i="8"/>
  <c r="O8" i="8"/>
  <c r="E58" i="8"/>
  <c r="K58" i="8"/>
  <c r="Q58" i="8"/>
  <c r="C33" i="8"/>
  <c r="F33" i="8"/>
  <c r="J33" i="8"/>
  <c r="Q57" i="8"/>
  <c r="P57" i="8"/>
  <c r="E9" i="8"/>
  <c r="F9" i="8"/>
  <c r="K9" i="8"/>
  <c r="O9" i="8"/>
  <c r="F36" i="8"/>
  <c r="K11" i="8"/>
  <c r="K61" i="8"/>
  <c r="F50" i="8"/>
  <c r="F74" i="8"/>
  <c r="P74" i="8"/>
  <c r="D49" i="8"/>
  <c r="P18" i="8"/>
  <c r="Q68" i="8"/>
  <c r="C43" i="8"/>
  <c r="J43" i="8"/>
  <c r="D47" i="8"/>
  <c r="O22" i="8"/>
  <c r="E19" i="8"/>
  <c r="O19" i="8"/>
  <c r="E69" i="8"/>
  <c r="C44" i="8"/>
  <c r="P7" i="8"/>
  <c r="P23" i="8"/>
  <c r="E66" i="8"/>
  <c r="Q66" i="8"/>
  <c r="P16" i="8"/>
  <c r="C41" i="8"/>
  <c r="F59" i="8"/>
  <c r="D34" i="8"/>
  <c r="F65" i="8"/>
  <c r="F15" i="8"/>
  <c r="E15" i="8"/>
  <c r="K15" i="8"/>
  <c r="P15" i="8"/>
  <c r="D40" i="8"/>
  <c r="E65" i="8"/>
  <c r="C40" i="8"/>
  <c r="O15" i="8"/>
  <c r="E59" i="8"/>
  <c r="K59" i="8"/>
  <c r="P59" i="8"/>
  <c r="P21" i="8"/>
  <c r="O21" i="8"/>
  <c r="F45" i="8"/>
  <c r="F47" i="8"/>
  <c r="F38" i="8"/>
  <c r="K63" i="8"/>
  <c r="K13" i="8"/>
  <c r="Q74" i="8"/>
  <c r="P75" i="8"/>
  <c r="D50" i="8"/>
  <c r="D51" i="8"/>
  <c r="F11" i="8"/>
  <c r="D36" i="8"/>
  <c r="F61" i="8"/>
  <c r="C38" i="8"/>
  <c r="J38" i="8"/>
  <c r="E63" i="8"/>
  <c r="Q63" i="8"/>
  <c r="E13" i="8"/>
  <c r="Q59" i="8"/>
  <c r="C34" i="8"/>
  <c r="F34" i="8"/>
  <c r="J34" i="8"/>
  <c r="E61" i="8"/>
  <c r="C36" i="8"/>
  <c r="E11" i="8"/>
  <c r="O11" i="8"/>
  <c r="Q71" i="8"/>
  <c r="F40" i="8"/>
  <c r="K65" i="8"/>
  <c r="P9" i="8"/>
  <c r="AJ18" i="8"/>
  <c r="AK18" i="8"/>
  <c r="AN18" i="8"/>
  <c r="AO18" i="8"/>
  <c r="AP18" i="8"/>
  <c r="AL18" i="8"/>
  <c r="AM18" i="8"/>
  <c r="AH18" i="8"/>
  <c r="AI18" i="8"/>
  <c r="AG18" i="8"/>
  <c r="W72" i="8"/>
  <c r="X72" i="8"/>
  <c r="Y72" i="8"/>
  <c r="AB72" i="8"/>
  <c r="AC72" i="8"/>
  <c r="T72" i="8"/>
  <c r="V72" i="8"/>
  <c r="U72" i="8"/>
  <c r="Z72" i="8"/>
  <c r="AA72" i="8"/>
  <c r="Z17" i="8"/>
  <c r="T17" i="8"/>
  <c r="AC17" i="8"/>
  <c r="U17" i="8"/>
  <c r="V17" i="8"/>
  <c r="AB17" i="8"/>
  <c r="Y17" i="8"/>
  <c r="X17" i="8"/>
  <c r="W17" i="8"/>
  <c r="AA17" i="8"/>
  <c r="AJ9" i="8"/>
  <c r="AK9" i="8"/>
  <c r="AL9" i="8"/>
  <c r="AG9" i="8"/>
  <c r="AH9" i="8"/>
  <c r="AI9" i="8"/>
  <c r="AN9" i="8"/>
  <c r="AO9" i="8"/>
  <c r="AP9" i="8"/>
  <c r="AM9" i="8"/>
  <c r="AK63" i="8"/>
  <c r="AH63" i="8"/>
  <c r="AI63" i="8"/>
  <c r="AJ63" i="8"/>
  <c r="AL63" i="8"/>
  <c r="AM63" i="8"/>
  <c r="AN63" i="8"/>
  <c r="AO63" i="8"/>
  <c r="AG63" i="8"/>
  <c r="AP63" i="8"/>
  <c r="AN15" i="8"/>
  <c r="AG15" i="8"/>
  <c r="AO15" i="8"/>
  <c r="AH15" i="8"/>
  <c r="AP15" i="8"/>
  <c r="AM15" i="8"/>
  <c r="AK15" i="8"/>
  <c r="AL15" i="8"/>
  <c r="AJ15" i="8"/>
  <c r="AI15" i="8"/>
  <c r="AH23" i="8"/>
  <c r="AP23" i="8"/>
  <c r="AM23" i="8"/>
  <c r="AN23" i="8"/>
  <c r="AL23" i="8"/>
  <c r="AO23" i="8"/>
  <c r="AG23" i="8"/>
  <c r="AI23" i="8"/>
  <c r="AK23" i="8"/>
  <c r="AJ23" i="8"/>
  <c r="X73" i="8"/>
  <c r="Y73" i="8"/>
  <c r="Z73" i="8"/>
  <c r="V73" i="8"/>
  <c r="AB73" i="8"/>
  <c r="W73" i="8"/>
  <c r="AA73" i="8"/>
  <c r="AC73" i="8"/>
  <c r="T73" i="8"/>
  <c r="U73" i="8"/>
  <c r="AJ76" i="8"/>
  <c r="AK76" i="8"/>
  <c r="AL76" i="8"/>
  <c r="AG76" i="8"/>
  <c r="AI76" i="8"/>
  <c r="AH76" i="8"/>
  <c r="AO76" i="8"/>
  <c r="AP76" i="8"/>
  <c r="AM76" i="8"/>
  <c r="AN76" i="8"/>
  <c r="V6" i="8"/>
  <c r="X6" i="8"/>
  <c r="T6" i="8"/>
  <c r="AC6" i="8"/>
  <c r="AA6" i="8"/>
  <c r="U6" i="8"/>
  <c r="Y6" i="8"/>
  <c r="W6" i="8"/>
  <c r="Z6" i="8"/>
  <c r="AB6" i="8"/>
  <c r="U11" i="8"/>
  <c r="Y11" i="8"/>
  <c r="V11" i="8"/>
  <c r="AC11" i="8"/>
  <c r="T11" i="8"/>
  <c r="Z11" i="8"/>
  <c r="AA11" i="8"/>
  <c r="X11" i="8"/>
  <c r="W11" i="8"/>
  <c r="AB11" i="8"/>
  <c r="AC12" i="8"/>
  <c r="W12" i="8"/>
  <c r="AB12" i="8"/>
  <c r="X12" i="8"/>
  <c r="V12" i="8"/>
  <c r="Y12" i="8"/>
  <c r="U12" i="8"/>
  <c r="Z12" i="8"/>
  <c r="AA12" i="8"/>
  <c r="T12" i="8"/>
  <c r="AJ75" i="8"/>
  <c r="AK75" i="8"/>
  <c r="AP75" i="8"/>
  <c r="AG75" i="8"/>
  <c r="AH75" i="8"/>
  <c r="AI75" i="8"/>
  <c r="AL75" i="8"/>
  <c r="AN75" i="8"/>
  <c r="AM75" i="8"/>
  <c r="AO75" i="8"/>
  <c r="T7" i="8"/>
  <c r="AB7" i="8"/>
  <c r="X7" i="8"/>
  <c r="V7" i="8"/>
  <c r="W7" i="8"/>
  <c r="U7" i="8"/>
  <c r="Z7" i="8"/>
  <c r="Y7" i="8"/>
  <c r="AC7" i="8"/>
  <c r="AA7" i="8"/>
  <c r="AA68" i="8"/>
  <c r="T68" i="8"/>
  <c r="AB68" i="8"/>
  <c r="U68" i="8"/>
  <c r="AC68" i="8"/>
  <c r="V68" i="8"/>
  <c r="Z68" i="8"/>
  <c r="W68" i="8"/>
  <c r="X68" i="8"/>
  <c r="Y68" i="8"/>
  <c r="Z75" i="8"/>
  <c r="AA75" i="8"/>
  <c r="T75" i="8"/>
  <c r="AB75" i="8"/>
  <c r="V75" i="8"/>
  <c r="U75" i="8"/>
  <c r="X75" i="8"/>
  <c r="Y75" i="8"/>
  <c r="AC75" i="8"/>
  <c r="W75" i="8"/>
  <c r="AH26" i="8"/>
  <c r="AP26" i="8"/>
  <c r="AI26" i="8"/>
  <c r="AM26" i="8"/>
  <c r="AN26" i="8"/>
  <c r="AO26" i="8"/>
  <c r="AG26" i="8"/>
  <c r="AJ26" i="8"/>
  <c r="AK26" i="8"/>
  <c r="AL26" i="8"/>
  <c r="AI64" i="8"/>
  <c r="AJ64" i="8"/>
  <c r="AK64" i="8"/>
  <c r="AL64" i="8"/>
  <c r="AM64" i="8"/>
  <c r="AN64" i="8"/>
  <c r="AO64" i="8"/>
  <c r="AG64" i="8"/>
  <c r="AP64" i="8"/>
  <c r="AH64" i="8"/>
  <c r="AN20" i="8"/>
  <c r="AG20" i="8"/>
  <c r="AO20" i="8"/>
  <c r="AK20" i="8"/>
  <c r="AL20" i="8"/>
  <c r="AH20" i="8"/>
  <c r="AI20" i="8"/>
  <c r="AP20" i="8"/>
  <c r="AJ20" i="8"/>
  <c r="AM20" i="8"/>
  <c r="AH68" i="8"/>
  <c r="AP68" i="8"/>
  <c r="AI68" i="8"/>
  <c r="AJ68" i="8"/>
  <c r="AG68" i="8"/>
  <c r="AK68" i="8"/>
  <c r="AL68" i="8"/>
  <c r="AM68" i="8"/>
  <c r="AN68" i="8"/>
  <c r="AO68" i="8"/>
  <c r="AM62" i="8"/>
  <c r="AH62" i="8"/>
  <c r="AI62" i="8"/>
  <c r="AJ62" i="8"/>
  <c r="AG62" i="8"/>
  <c r="AK62" i="8"/>
  <c r="AL62" i="8"/>
  <c r="AN62" i="8"/>
  <c r="AO62" i="8"/>
  <c r="AP62" i="8"/>
  <c r="AA76" i="8"/>
  <c r="T76" i="8"/>
  <c r="AB76" i="8"/>
  <c r="U76" i="8"/>
  <c r="AC76" i="8"/>
  <c r="Z76" i="8"/>
  <c r="X76" i="8"/>
  <c r="Y76" i="8"/>
  <c r="V76" i="8"/>
  <c r="W76" i="8"/>
  <c r="AL58" i="8"/>
  <c r="AM58" i="8"/>
  <c r="AN58" i="8"/>
  <c r="AO58" i="8"/>
  <c r="AP58" i="8"/>
  <c r="AJ58" i="8"/>
  <c r="AK58" i="8"/>
  <c r="AI58" i="8"/>
  <c r="AG58" i="8"/>
  <c r="AH58" i="8"/>
  <c r="Y74" i="8"/>
  <c r="Z74" i="8"/>
  <c r="AA74" i="8"/>
  <c r="T74" i="8"/>
  <c r="U74" i="8"/>
  <c r="W74" i="8"/>
  <c r="V74" i="8"/>
  <c r="X74" i="8"/>
  <c r="AB74" i="8"/>
  <c r="AC74" i="8"/>
  <c r="T8" i="8"/>
  <c r="Y8" i="8"/>
  <c r="AB8" i="8"/>
  <c r="U8" i="8"/>
  <c r="W8" i="8"/>
  <c r="X8" i="8"/>
  <c r="AA8" i="8"/>
  <c r="AC8" i="8"/>
  <c r="Z8" i="8"/>
  <c r="V8" i="8"/>
  <c r="AL24" i="8"/>
  <c r="AM24" i="8"/>
  <c r="AJ24" i="8"/>
  <c r="AK24" i="8"/>
  <c r="AN24" i="8"/>
  <c r="AG24" i="8"/>
  <c r="AH24" i="8"/>
  <c r="AI24" i="8"/>
  <c r="AO24" i="8"/>
  <c r="AP24" i="8"/>
  <c r="AJ59" i="8"/>
  <c r="AK59" i="8"/>
  <c r="AG59" i="8"/>
  <c r="AH59" i="8"/>
  <c r="AI59" i="8"/>
  <c r="AO59" i="8"/>
  <c r="AP59" i="8"/>
  <c r="AM59" i="8"/>
  <c r="AL59" i="8"/>
  <c r="AN59" i="8"/>
  <c r="AL16" i="8"/>
  <c r="AM16" i="8"/>
  <c r="AN16" i="8"/>
  <c r="AH16" i="8"/>
  <c r="AI16" i="8"/>
  <c r="AG16" i="8"/>
  <c r="AJ16" i="8"/>
  <c r="AK16" i="8"/>
  <c r="AO16" i="8"/>
  <c r="AP16" i="8"/>
  <c r="Y19" i="8"/>
  <c r="Z19" i="8"/>
  <c r="T19" i="8"/>
  <c r="AA19" i="8"/>
  <c r="AB19" i="8"/>
  <c r="W19" i="8"/>
  <c r="U19" i="8"/>
  <c r="V19" i="8"/>
  <c r="AC19" i="8"/>
  <c r="X19" i="8"/>
  <c r="AL66" i="8"/>
  <c r="AM66" i="8"/>
  <c r="AN66" i="8"/>
  <c r="AJ66" i="8"/>
  <c r="AK66" i="8"/>
  <c r="AO66" i="8"/>
  <c r="AI66" i="8"/>
  <c r="AG66" i="8"/>
  <c r="AH66" i="8"/>
  <c r="AP66" i="8"/>
  <c r="AC22" i="8"/>
  <c r="AB22" i="8"/>
  <c r="W22" i="8"/>
  <c r="V22" i="8"/>
  <c r="AA22" i="8"/>
  <c r="Z22" i="8"/>
  <c r="T22" i="8"/>
  <c r="Y22" i="8"/>
  <c r="U22" i="8"/>
  <c r="X22" i="8"/>
  <c r="Z23" i="8"/>
  <c r="X23" i="8"/>
  <c r="AB23" i="8"/>
  <c r="V23" i="8"/>
  <c r="AC23" i="8"/>
  <c r="Y23" i="8"/>
  <c r="W23" i="8"/>
  <c r="AA23" i="8"/>
  <c r="U23" i="8"/>
  <c r="T23" i="8"/>
  <c r="AC25" i="8"/>
  <c r="U25" i="8"/>
  <c r="T25" i="8"/>
  <c r="AA25" i="8"/>
  <c r="X25" i="8"/>
  <c r="Z25" i="8"/>
  <c r="V25" i="8"/>
  <c r="AB25" i="8"/>
  <c r="W25" i="8"/>
  <c r="Y25" i="8"/>
  <c r="V71" i="8"/>
  <c r="W71" i="8"/>
  <c r="X71" i="8"/>
  <c r="T71" i="8"/>
  <c r="U71" i="8"/>
  <c r="Z71" i="8"/>
  <c r="Y71" i="8"/>
  <c r="AC71" i="8"/>
  <c r="AA71" i="8"/>
  <c r="AB71" i="8"/>
  <c r="AK17" i="8"/>
  <c r="AL17" i="8"/>
  <c r="AI17" i="8"/>
  <c r="AJ17" i="8"/>
  <c r="AH17" i="8"/>
  <c r="AM17" i="8"/>
  <c r="AN17" i="8"/>
  <c r="AG17" i="8"/>
  <c r="AO17" i="8"/>
  <c r="AP17" i="8"/>
  <c r="X43" i="8"/>
  <c r="Y43" i="8"/>
  <c r="Z43" i="8"/>
  <c r="AA43" i="8"/>
  <c r="AB43" i="8"/>
  <c r="AC43" i="8"/>
  <c r="U43" i="8"/>
  <c r="V43" i="8"/>
  <c r="W43" i="8"/>
  <c r="T43" i="8"/>
  <c r="Y16" i="8"/>
  <c r="AB16" i="8"/>
  <c r="AC16" i="8"/>
  <c r="V16" i="8"/>
  <c r="T16" i="8"/>
  <c r="AA16" i="8"/>
  <c r="X16" i="8"/>
  <c r="U16" i="8"/>
  <c r="W16" i="8"/>
  <c r="Z16" i="8"/>
  <c r="AL70" i="8"/>
  <c r="AM70" i="8"/>
  <c r="AN70" i="8"/>
  <c r="AO70" i="8"/>
  <c r="AP70" i="8"/>
  <c r="AH70" i="8"/>
  <c r="AG70" i="8"/>
  <c r="AJ70" i="8"/>
  <c r="AI70" i="8"/>
  <c r="AK70" i="8"/>
  <c r="P19" i="8"/>
  <c r="AL8" i="8"/>
  <c r="AM8" i="8"/>
  <c r="AN8" i="8"/>
  <c r="AG8" i="8"/>
  <c r="AH8" i="8"/>
  <c r="AI8" i="8"/>
  <c r="AJ8" i="8"/>
  <c r="AK8" i="8"/>
  <c r="AO8" i="8"/>
  <c r="AP8" i="8"/>
  <c r="AA42" i="8"/>
  <c r="T42" i="8"/>
  <c r="AB42" i="8"/>
  <c r="U42" i="8"/>
  <c r="AC42" i="8"/>
  <c r="V42" i="8"/>
  <c r="Y42" i="8"/>
  <c r="W42" i="8"/>
  <c r="X42" i="8"/>
  <c r="Z42" i="8"/>
  <c r="AH60" i="8"/>
  <c r="AP60" i="8"/>
  <c r="AI60" i="8"/>
  <c r="AM60" i="8"/>
  <c r="AN60" i="8"/>
  <c r="AO60" i="8"/>
  <c r="AK60" i="8"/>
  <c r="AL60" i="8"/>
  <c r="AG60" i="8"/>
  <c r="AJ60" i="8"/>
  <c r="J36" i="8"/>
  <c r="W15" i="8"/>
  <c r="AC15" i="8"/>
  <c r="Y15" i="8"/>
  <c r="AB15" i="8"/>
  <c r="U15" i="8"/>
  <c r="V15" i="8"/>
  <c r="AA15" i="8"/>
  <c r="Z15" i="8"/>
  <c r="X15" i="8"/>
  <c r="T15" i="8"/>
  <c r="Q73" i="8"/>
  <c r="J49" i="8"/>
  <c r="J50" i="8"/>
  <c r="P25" i="8"/>
  <c r="U70" i="8"/>
  <c r="AC70" i="8"/>
  <c r="V70" i="8"/>
  <c r="W70" i="8"/>
  <c r="Y70" i="8"/>
  <c r="Z70" i="8"/>
  <c r="AA70" i="8"/>
  <c r="AB70" i="8"/>
  <c r="T70" i="8"/>
  <c r="X70" i="8"/>
  <c r="AA26" i="8"/>
  <c r="AC26" i="8"/>
  <c r="U26" i="8"/>
  <c r="Z26" i="8"/>
  <c r="AB26" i="8"/>
  <c r="X26" i="8"/>
  <c r="T26" i="8"/>
  <c r="Y26" i="8"/>
  <c r="W26" i="8"/>
  <c r="V26" i="8"/>
  <c r="Q61" i="8"/>
  <c r="P61" i="8"/>
  <c r="Z59" i="8"/>
  <c r="AA59" i="8"/>
  <c r="T59" i="8"/>
  <c r="AB59" i="8"/>
  <c r="U59" i="8"/>
  <c r="V59" i="8"/>
  <c r="W59" i="8"/>
  <c r="X59" i="8"/>
  <c r="Y59" i="8"/>
  <c r="AC59" i="8"/>
  <c r="AA34" i="8"/>
  <c r="T34" i="8"/>
  <c r="AB34" i="8"/>
  <c r="U34" i="8"/>
  <c r="AC34" i="8"/>
  <c r="V34" i="8"/>
  <c r="X34" i="8"/>
  <c r="W34" i="8"/>
  <c r="Y34" i="8"/>
  <c r="Z34" i="8"/>
  <c r="J40" i="8"/>
  <c r="Z67" i="8"/>
  <c r="AA67" i="8"/>
  <c r="T67" i="8"/>
  <c r="AB67" i="8"/>
  <c r="U67" i="8"/>
  <c r="V67" i="8"/>
  <c r="W67" i="8"/>
  <c r="X67" i="8"/>
  <c r="AC67" i="8"/>
  <c r="Y67" i="8"/>
  <c r="AJ22" i="8"/>
  <c r="AM22" i="8"/>
  <c r="AN22" i="8"/>
  <c r="AL22" i="8"/>
  <c r="AO22" i="8"/>
  <c r="AP22" i="8"/>
  <c r="AG22" i="8"/>
  <c r="AH22" i="8"/>
  <c r="AI22" i="8"/>
  <c r="AK22" i="8"/>
  <c r="P62" i="8"/>
  <c r="P65" i="8"/>
  <c r="Q65" i="8"/>
  <c r="Y48" i="8"/>
  <c r="Z48" i="8"/>
  <c r="AA48" i="8"/>
  <c r="T48" i="8"/>
  <c r="U48" i="8"/>
  <c r="V48" i="8"/>
  <c r="X48" i="8"/>
  <c r="AB48" i="8"/>
  <c r="AC48" i="8"/>
  <c r="W48" i="8"/>
  <c r="J46" i="8"/>
  <c r="J47" i="8"/>
  <c r="AC21" i="8"/>
  <c r="Y21" i="8"/>
  <c r="AA21" i="8"/>
  <c r="Z21" i="8"/>
  <c r="X21" i="8"/>
  <c r="AB21" i="8"/>
  <c r="V21" i="8"/>
  <c r="W21" i="8"/>
  <c r="U21" i="8"/>
  <c r="T21" i="8"/>
  <c r="X57" i="8"/>
  <c r="Y57" i="8"/>
  <c r="Z57" i="8"/>
  <c r="AA57" i="8"/>
  <c r="AB57" i="8"/>
  <c r="AC57" i="8"/>
  <c r="T57" i="8"/>
  <c r="U57" i="8"/>
  <c r="V57" i="8"/>
  <c r="W57" i="8"/>
  <c r="P63" i="8"/>
  <c r="P58" i="8"/>
  <c r="J45" i="8"/>
  <c r="Q72" i="8"/>
  <c r="AC9" i="8"/>
  <c r="W9" i="8"/>
  <c r="T9" i="8"/>
  <c r="U9" i="8"/>
  <c r="AA9" i="8"/>
  <c r="X9" i="8"/>
  <c r="V9" i="8"/>
  <c r="AB9" i="8"/>
  <c r="Z9" i="8"/>
  <c r="Y9" i="8"/>
  <c r="P56" i="8"/>
  <c r="AJ71" i="8"/>
  <c r="AK71" i="8"/>
  <c r="AG71" i="8"/>
  <c r="AH71" i="8"/>
  <c r="AI71" i="8"/>
  <c r="AL71" i="8"/>
  <c r="AO71" i="8"/>
  <c r="AP71" i="8"/>
  <c r="AM71" i="8"/>
  <c r="AN71" i="8"/>
  <c r="AJ67" i="8"/>
  <c r="AK67" i="8"/>
  <c r="AL67" i="8"/>
  <c r="AG67" i="8"/>
  <c r="AH67" i="8"/>
  <c r="AI67" i="8"/>
  <c r="AN67" i="8"/>
  <c r="AO67" i="8"/>
  <c r="AP67" i="8"/>
  <c r="AM67" i="8"/>
  <c r="P12" i="8"/>
  <c r="P13" i="8"/>
  <c r="O13" i="8"/>
  <c r="AL21" i="8"/>
  <c r="AM21" i="8"/>
  <c r="AI21" i="8"/>
  <c r="AJ21" i="8"/>
  <c r="AH21" i="8"/>
  <c r="AK21" i="8"/>
  <c r="AN21" i="8"/>
  <c r="AP21" i="8"/>
  <c r="AG21" i="8"/>
  <c r="AO21" i="8"/>
  <c r="P10" i="8"/>
  <c r="J41" i="8"/>
  <c r="J44" i="8"/>
  <c r="P66" i="8"/>
  <c r="O20" i="8"/>
  <c r="AN57" i="8"/>
  <c r="AG57" i="8"/>
  <c r="AO57" i="8"/>
  <c r="AH57" i="8"/>
  <c r="AI57" i="8"/>
  <c r="AJ57" i="8"/>
  <c r="AK57" i="8"/>
  <c r="AL57" i="8"/>
  <c r="AM57" i="8"/>
  <c r="AP57" i="8"/>
  <c r="J51" i="8"/>
  <c r="J37" i="8"/>
  <c r="O24" i="8"/>
  <c r="P11" i="8"/>
  <c r="W38" i="8"/>
  <c r="X38" i="8"/>
  <c r="Y38" i="8"/>
  <c r="T38" i="8"/>
  <c r="U38" i="8"/>
  <c r="Z38" i="8"/>
  <c r="V38" i="8"/>
  <c r="AA38" i="8"/>
  <c r="AB38" i="8"/>
  <c r="AC38" i="8"/>
  <c r="AL74" i="8"/>
  <c r="AM74" i="8"/>
  <c r="AK74" i="8"/>
  <c r="AN74" i="8"/>
  <c r="AO74" i="8"/>
  <c r="AP74" i="8"/>
  <c r="AJ74" i="8"/>
  <c r="AG74" i="8"/>
  <c r="AH74" i="8"/>
  <c r="AI74" i="8"/>
  <c r="Y32" i="8"/>
  <c r="Z32" i="8"/>
  <c r="AA32" i="8"/>
  <c r="T32" i="8"/>
  <c r="U32" i="8"/>
  <c r="W32" i="8"/>
  <c r="V32" i="8"/>
  <c r="X32" i="8"/>
  <c r="AB32" i="8"/>
  <c r="AC32" i="8"/>
  <c r="AH14" i="8"/>
  <c r="AP14" i="8"/>
  <c r="AI14" i="8"/>
  <c r="AJ14" i="8"/>
  <c r="AK14" i="8"/>
  <c r="AL14" i="8"/>
  <c r="AM14" i="8"/>
  <c r="AG14" i="8"/>
  <c r="AN14" i="8"/>
  <c r="AO14" i="8"/>
  <c r="AI7" i="8"/>
  <c r="AJ7" i="8"/>
  <c r="AK7" i="8"/>
  <c r="AO7" i="8"/>
  <c r="AP7" i="8"/>
  <c r="AG7" i="8"/>
  <c r="AH7" i="8"/>
  <c r="AN7" i="8"/>
  <c r="AL7" i="8"/>
  <c r="AM7" i="8"/>
  <c r="Q69" i="8"/>
  <c r="P69" i="8"/>
  <c r="V33" i="8"/>
  <c r="W33" i="8"/>
  <c r="X33" i="8"/>
  <c r="Z33" i="8"/>
  <c r="AA33" i="8"/>
  <c r="AB33" i="8"/>
  <c r="AC33" i="8"/>
  <c r="T33" i="8"/>
  <c r="U33" i="8"/>
  <c r="Y33" i="8"/>
  <c r="W18" i="8"/>
  <c r="Y18" i="8"/>
  <c r="AC18" i="8"/>
  <c r="U18" i="8"/>
  <c r="Z18" i="8"/>
  <c r="X18" i="8"/>
  <c r="AA18" i="8"/>
  <c r="V18" i="8"/>
  <c r="AB18" i="8"/>
  <c r="T18" i="8"/>
  <c r="AD43" i="8"/>
  <c r="AD23" i="8"/>
  <c r="AQ24" i="8"/>
  <c r="AQ75" i="8"/>
  <c r="AQ76" i="8"/>
  <c r="W46" i="8"/>
  <c r="X46" i="8"/>
  <c r="Y46" i="8"/>
  <c r="AC46" i="8"/>
  <c r="T46" i="8"/>
  <c r="U46" i="8"/>
  <c r="AA46" i="8"/>
  <c r="V46" i="8"/>
  <c r="Z46" i="8"/>
  <c r="AB46" i="8"/>
  <c r="AQ15" i="8"/>
  <c r="AQ67" i="8"/>
  <c r="AD15" i="8"/>
  <c r="AD71" i="8"/>
  <c r="AQ20" i="8"/>
  <c r="AQ9" i="8"/>
  <c r="AD32" i="8"/>
  <c r="AN11" i="8"/>
  <c r="AG11" i="8"/>
  <c r="AO11" i="8"/>
  <c r="AH11" i="8"/>
  <c r="AP11" i="8"/>
  <c r="AL11" i="8"/>
  <c r="AM11" i="8"/>
  <c r="AI11" i="8"/>
  <c r="AJ11" i="8"/>
  <c r="AK11" i="8"/>
  <c r="U44" i="8"/>
  <c r="AC44" i="8"/>
  <c r="V44" i="8"/>
  <c r="W44" i="8"/>
  <c r="T44" i="8"/>
  <c r="X44" i="8"/>
  <c r="Z44" i="8"/>
  <c r="AA44" i="8"/>
  <c r="AB44" i="8"/>
  <c r="Y44" i="8"/>
  <c r="AD21" i="8"/>
  <c r="AG65" i="8"/>
  <c r="AO65" i="8"/>
  <c r="AK65" i="8"/>
  <c r="AL65" i="8"/>
  <c r="AM65" i="8"/>
  <c r="AJ65" i="8"/>
  <c r="AN65" i="8"/>
  <c r="AP65" i="8"/>
  <c r="AH65" i="8"/>
  <c r="AI65" i="8"/>
  <c r="AD34" i="8"/>
  <c r="AH19" i="8"/>
  <c r="AP19" i="8"/>
  <c r="AI19" i="8"/>
  <c r="AL19" i="8"/>
  <c r="AM19" i="8"/>
  <c r="AG19" i="8"/>
  <c r="AJ19" i="8"/>
  <c r="AK19" i="8"/>
  <c r="AO19" i="8"/>
  <c r="AN19" i="8"/>
  <c r="AD16" i="8"/>
  <c r="AQ58" i="8"/>
  <c r="AQ62" i="8"/>
  <c r="AD11" i="8"/>
  <c r="AQ63" i="8"/>
  <c r="AJ13" i="8"/>
  <c r="AK13" i="8"/>
  <c r="AL13" i="8"/>
  <c r="AH13" i="8"/>
  <c r="AI13" i="8"/>
  <c r="AM13" i="8"/>
  <c r="AP13" i="8"/>
  <c r="AG13" i="8"/>
  <c r="AN13" i="8"/>
  <c r="AO13" i="8"/>
  <c r="AQ22" i="8"/>
  <c r="AD7" i="8"/>
  <c r="Y66" i="8"/>
  <c r="Z66" i="8"/>
  <c r="AA66" i="8"/>
  <c r="U66" i="8"/>
  <c r="X66" i="8"/>
  <c r="V66" i="8"/>
  <c r="W66" i="8"/>
  <c r="T66" i="8"/>
  <c r="AB66" i="8"/>
  <c r="AC66" i="8"/>
  <c r="V41" i="8"/>
  <c r="W41" i="8"/>
  <c r="X41" i="8"/>
  <c r="AA41" i="8"/>
  <c r="AB41" i="8"/>
  <c r="AC41" i="8"/>
  <c r="Z41" i="8"/>
  <c r="T41" i="8"/>
  <c r="U41" i="8"/>
  <c r="Y41" i="8"/>
  <c r="AQ71" i="8"/>
  <c r="AD57" i="8"/>
  <c r="X65" i="8"/>
  <c r="Y65" i="8"/>
  <c r="Z65" i="8"/>
  <c r="W65" i="8"/>
  <c r="AA65" i="8"/>
  <c r="AC65" i="8"/>
  <c r="AB65" i="8"/>
  <c r="U65" i="8"/>
  <c r="V65" i="8"/>
  <c r="T65" i="8"/>
  <c r="U36" i="8"/>
  <c r="AC36" i="8"/>
  <c r="V36" i="8"/>
  <c r="W36" i="8"/>
  <c r="Y36" i="8"/>
  <c r="T36" i="8"/>
  <c r="X36" i="8"/>
  <c r="Z36" i="8"/>
  <c r="AA36" i="8"/>
  <c r="AB36" i="8"/>
  <c r="AD68" i="8"/>
  <c r="AD12" i="8"/>
  <c r="AQ7" i="8"/>
  <c r="AQ14" i="8"/>
  <c r="Z37" i="8"/>
  <c r="AA37" i="8"/>
  <c r="T37" i="8"/>
  <c r="AB37" i="8"/>
  <c r="Y37" i="8"/>
  <c r="AC37" i="8"/>
  <c r="W37" i="8"/>
  <c r="X37" i="8"/>
  <c r="U37" i="8"/>
  <c r="V37" i="8"/>
  <c r="AH10" i="8"/>
  <c r="AP10" i="8"/>
  <c r="AI10" i="8"/>
  <c r="AJ10" i="8"/>
  <c r="AG10" i="8"/>
  <c r="AK10" i="8"/>
  <c r="AL10" i="8"/>
  <c r="AN10" i="8"/>
  <c r="AO10" i="8"/>
  <c r="AM10" i="8"/>
  <c r="Z45" i="8"/>
  <c r="AA45" i="8"/>
  <c r="T45" i="8"/>
  <c r="AB45" i="8"/>
  <c r="X45" i="8"/>
  <c r="Y45" i="8"/>
  <c r="AC45" i="8"/>
  <c r="U45" i="8"/>
  <c r="V45" i="8"/>
  <c r="W45" i="8"/>
  <c r="T47" i="8"/>
  <c r="AB47" i="8"/>
  <c r="U47" i="8"/>
  <c r="AC47" i="8"/>
  <c r="V47" i="8"/>
  <c r="X47" i="8"/>
  <c r="AA47" i="8"/>
  <c r="Y47" i="8"/>
  <c r="Z47" i="8"/>
  <c r="W47" i="8"/>
  <c r="U62" i="8"/>
  <c r="AC62" i="8"/>
  <c r="V62" i="8"/>
  <c r="W62" i="8"/>
  <c r="Z62" i="8"/>
  <c r="AA62" i="8"/>
  <c r="AB62" i="8"/>
  <c r="X62" i="8"/>
  <c r="T62" i="8"/>
  <c r="Y62" i="8"/>
  <c r="AD26" i="8"/>
  <c r="AD70" i="8"/>
  <c r="AD25" i="8"/>
  <c r="AD22" i="8"/>
  <c r="AD19" i="8"/>
  <c r="AQ68" i="8"/>
  <c r="AD73" i="8"/>
  <c r="Y13" i="8"/>
  <c r="U13" i="8"/>
  <c r="Z13" i="8"/>
  <c r="W13" i="8"/>
  <c r="V13" i="8"/>
  <c r="T13" i="8"/>
  <c r="AA13" i="8"/>
  <c r="AC13" i="8"/>
  <c r="AB13" i="8"/>
  <c r="X13" i="8"/>
  <c r="AG61" i="8"/>
  <c r="AO61" i="8"/>
  <c r="AP61" i="8"/>
  <c r="AH61" i="8"/>
  <c r="AI61" i="8"/>
  <c r="AJ61" i="8"/>
  <c r="AL61" i="8"/>
  <c r="AM61" i="8"/>
  <c r="AN61" i="8"/>
  <c r="AK61" i="8"/>
  <c r="AN73" i="8"/>
  <c r="AG73" i="8"/>
  <c r="AO73" i="8"/>
  <c r="AI73" i="8"/>
  <c r="AJ73" i="8"/>
  <c r="AK73" i="8"/>
  <c r="AM73" i="8"/>
  <c r="AP73" i="8"/>
  <c r="AH73" i="8"/>
  <c r="AL73" i="8"/>
  <c r="AQ23" i="8"/>
  <c r="AD18" i="8"/>
  <c r="AD59" i="8"/>
  <c r="AQ17" i="8"/>
  <c r="AQ16" i="8"/>
  <c r="AD76" i="8"/>
  <c r="AD33" i="8"/>
  <c r="T69" i="8"/>
  <c r="AB69" i="8"/>
  <c r="U69" i="8"/>
  <c r="AC69" i="8"/>
  <c r="V69" i="8"/>
  <c r="Z69" i="8"/>
  <c r="AA69" i="8"/>
  <c r="Y69" i="8"/>
  <c r="W69" i="8"/>
  <c r="X69" i="8"/>
  <c r="X51" i="8"/>
  <c r="Y51" i="8"/>
  <c r="Z51" i="8"/>
  <c r="V51" i="8"/>
  <c r="AB51" i="8"/>
  <c r="W51" i="8"/>
  <c r="AA51" i="8"/>
  <c r="T51" i="8"/>
  <c r="U51" i="8"/>
  <c r="AC51" i="8"/>
  <c r="AJ25" i="8"/>
  <c r="AK25" i="8"/>
  <c r="AP25" i="8"/>
  <c r="AG25" i="8"/>
  <c r="AH25" i="8"/>
  <c r="AI25" i="8"/>
  <c r="AL25" i="8"/>
  <c r="AM25" i="8"/>
  <c r="AN25" i="8"/>
  <c r="AO25" i="8"/>
  <c r="AQ60" i="8"/>
  <c r="AQ66" i="8"/>
  <c r="AD74" i="8"/>
  <c r="AQ64" i="8"/>
  <c r="AD17" i="8"/>
  <c r="AD72" i="8"/>
  <c r="AQ18" i="8"/>
  <c r="V63" i="8"/>
  <c r="W63" i="8"/>
  <c r="X63" i="8"/>
  <c r="U63" i="8"/>
  <c r="AA63" i="8"/>
  <c r="Y63" i="8"/>
  <c r="Z63" i="8"/>
  <c r="AB63" i="8"/>
  <c r="T63" i="8"/>
  <c r="AC63" i="8"/>
  <c r="V49" i="8"/>
  <c r="W49" i="8"/>
  <c r="X49" i="8"/>
  <c r="U49" i="8"/>
  <c r="AA49" i="8"/>
  <c r="Y49" i="8"/>
  <c r="Z49" i="8"/>
  <c r="AB49" i="8"/>
  <c r="AC49" i="8"/>
  <c r="T49" i="8"/>
  <c r="AQ74" i="8"/>
  <c r="Y20" i="8"/>
  <c r="V20" i="8"/>
  <c r="AB20" i="8"/>
  <c r="Z20" i="8"/>
  <c r="W20" i="8"/>
  <c r="AC20" i="8"/>
  <c r="X20" i="8"/>
  <c r="AA20" i="8"/>
  <c r="U20" i="8"/>
  <c r="T20" i="8"/>
  <c r="AQ59" i="8"/>
  <c r="AQ26" i="8"/>
  <c r="AL12" i="8"/>
  <c r="AM12" i="8"/>
  <c r="AN12" i="8"/>
  <c r="AG12" i="8"/>
  <c r="AH12" i="8"/>
  <c r="AI12" i="8"/>
  <c r="AO12" i="8"/>
  <c r="AP12" i="8"/>
  <c r="AJ12" i="8"/>
  <c r="AK12" i="8"/>
  <c r="Y40" i="8"/>
  <c r="Z40" i="8"/>
  <c r="AA40" i="8"/>
  <c r="U40" i="8"/>
  <c r="X40" i="8"/>
  <c r="V40" i="8"/>
  <c r="W40" i="8"/>
  <c r="T40" i="8"/>
  <c r="AB40" i="8"/>
  <c r="AC40" i="8"/>
  <c r="U24" i="8"/>
  <c r="V24" i="8"/>
  <c r="AC24" i="8"/>
  <c r="X24" i="8"/>
  <c r="Z24" i="8"/>
  <c r="W24" i="8"/>
  <c r="T24" i="8"/>
  <c r="AB24" i="8"/>
  <c r="AA24" i="8"/>
  <c r="Y24" i="8"/>
  <c r="AH72" i="8"/>
  <c r="AP72" i="8"/>
  <c r="AI72" i="8"/>
  <c r="AM72" i="8"/>
  <c r="AN72" i="8"/>
  <c r="AO72" i="8"/>
  <c r="AG72" i="8"/>
  <c r="AL72" i="8"/>
  <c r="AJ72" i="8"/>
  <c r="AK72" i="8"/>
  <c r="AN69" i="8"/>
  <c r="AG69" i="8"/>
  <c r="AO69" i="8"/>
  <c r="AH69" i="8"/>
  <c r="AP69" i="8"/>
  <c r="AI69" i="8"/>
  <c r="AM69" i="8"/>
  <c r="AJ69" i="8"/>
  <c r="AK69" i="8"/>
  <c r="AL69" i="8"/>
  <c r="AD38" i="8"/>
  <c r="AQ57" i="8"/>
  <c r="AQ21" i="8"/>
  <c r="T56" i="8"/>
  <c r="AB56" i="8"/>
  <c r="U56" i="8"/>
  <c r="AC56" i="8"/>
  <c r="V56" i="8"/>
  <c r="Y56" i="8"/>
  <c r="Z56" i="8"/>
  <c r="AA56" i="8"/>
  <c r="W56" i="8"/>
  <c r="X56" i="8"/>
  <c r="AD9" i="8"/>
  <c r="Y58" i="8"/>
  <c r="Z58" i="8"/>
  <c r="AA58" i="8"/>
  <c r="V58" i="8"/>
  <c r="AB58" i="8"/>
  <c r="W58" i="8"/>
  <c r="X58" i="8"/>
  <c r="U58" i="8"/>
  <c r="T58" i="8"/>
  <c r="AC58" i="8"/>
  <c r="AD48" i="8"/>
  <c r="AD67" i="8"/>
  <c r="T61" i="8"/>
  <c r="AB61" i="8"/>
  <c r="U61" i="8"/>
  <c r="AC61" i="8"/>
  <c r="V61" i="8"/>
  <c r="AA61" i="8"/>
  <c r="W61" i="8"/>
  <c r="Y61" i="8"/>
  <c r="Z61" i="8"/>
  <c r="X61" i="8"/>
  <c r="AA50" i="8"/>
  <c r="T50" i="8"/>
  <c r="AB50" i="8"/>
  <c r="U50" i="8"/>
  <c r="AC50" i="8"/>
  <c r="V50" i="8"/>
  <c r="Z50" i="8"/>
  <c r="W50" i="8"/>
  <c r="X50" i="8"/>
  <c r="Y50" i="8"/>
  <c r="AD42" i="8"/>
  <c r="AQ8" i="8"/>
  <c r="AQ70" i="8"/>
  <c r="AD8" i="8"/>
  <c r="AD75" i="8"/>
  <c r="AD6" i="8"/>
  <c r="AQ25" i="8"/>
  <c r="AD61" i="8"/>
  <c r="AD62" i="8"/>
  <c r="AD69" i="8"/>
  <c r="AQ73" i="8"/>
  <c r="AD13" i="8"/>
  <c r="AQ11" i="8"/>
  <c r="AQ12" i="8"/>
  <c r="AD47" i="8"/>
  <c r="AD45" i="8"/>
  <c r="AQ10" i="8"/>
  <c r="AD36" i="8"/>
  <c r="AD46" i="8"/>
  <c r="AD56" i="8"/>
  <c r="AD20" i="8"/>
  <c r="AD51" i="8"/>
  <c r="AD65" i="8"/>
  <c r="AD66" i="8"/>
  <c r="AQ72" i="8"/>
  <c r="AQ69" i="8"/>
  <c r="AD24" i="8"/>
  <c r="AD49" i="8"/>
  <c r="AD58" i="8"/>
  <c r="AD40" i="8"/>
  <c r="AQ61" i="8"/>
  <c r="AQ13" i="8"/>
  <c r="AD44" i="8"/>
  <c r="AD50" i="8"/>
  <c r="AQ19" i="8"/>
  <c r="AQ65" i="8"/>
  <c r="AD63" i="8"/>
  <c r="AD37" i="8"/>
  <c r="AD41" i="8"/>
</calcChain>
</file>

<file path=xl/comments1.xml><?xml version="1.0" encoding="utf-8"?>
<comments xmlns="http://schemas.openxmlformats.org/spreadsheetml/2006/main">
  <authors>
    <author>Kyle Richardson</author>
  </authors>
  <commentList>
    <comment ref="E2" authorId="0" shapeId="0">
      <text>
        <r>
          <rPr>
            <b/>
            <sz val="9"/>
            <color indexed="81"/>
            <rFont val="Calibri"/>
            <family val="2"/>
          </rPr>
          <t>Kyle Richardson:</t>
        </r>
        <r>
          <rPr>
            <sz val="9"/>
            <color indexed="81"/>
            <rFont val="Calibri"/>
            <family val="2"/>
          </rPr>
          <t xml:space="preserve">
Used average of all Lab services</t>
        </r>
      </text>
    </comment>
    <comment ref="G2" authorId="0" shapeId="0">
      <text>
        <r>
          <rPr>
            <b/>
            <sz val="9"/>
            <color indexed="81"/>
            <rFont val="Calibri"/>
            <family val="2"/>
          </rPr>
          <t>Kyle Richardson:</t>
        </r>
        <r>
          <rPr>
            <sz val="9"/>
            <color indexed="81"/>
            <rFont val="Calibri"/>
            <family val="2"/>
          </rPr>
          <t xml:space="preserve">
Used the Flea Product cost under Prescription Medications</t>
        </r>
      </text>
    </comment>
    <comment ref="J2" authorId="0" shapeId="0">
      <text>
        <r>
          <rPr>
            <b/>
            <sz val="9"/>
            <color indexed="81"/>
            <rFont val="Calibri"/>
            <family val="2"/>
          </rPr>
          <t>Kyle Richardson:</t>
        </r>
        <r>
          <rPr>
            <sz val="9"/>
            <color indexed="81"/>
            <rFont val="Calibri"/>
            <family val="2"/>
          </rPr>
          <t xml:space="preserve">
Average of spay and neutering a cat. From nonelective procedures in all costs workbook</t>
        </r>
      </text>
    </comment>
    <comment ref="L2" authorId="0" shapeId="0">
      <text>
        <r>
          <rPr>
            <b/>
            <sz val="9"/>
            <color indexed="81"/>
            <rFont val="Calibri"/>
            <family val="2"/>
          </rPr>
          <t>Kyle Richardson:</t>
        </r>
        <r>
          <rPr>
            <sz val="9"/>
            <color indexed="81"/>
            <rFont val="Calibri"/>
            <family val="2"/>
          </rPr>
          <t xml:space="preserve">
Follows Digital Imaging Case 1</t>
        </r>
      </text>
    </comment>
    <comment ref="M2" authorId="0" shapeId="0">
      <text>
        <r>
          <rPr>
            <b/>
            <sz val="9"/>
            <color indexed="81"/>
            <rFont val="Calibri"/>
            <family val="2"/>
          </rPr>
          <t>Kyle Richardson:</t>
        </r>
        <r>
          <rPr>
            <sz val="9"/>
            <color indexed="81"/>
            <rFont val="Calibri"/>
            <family val="2"/>
          </rPr>
          <t xml:space="preserve">
Used Total under euthanasia cost</t>
        </r>
      </text>
    </comment>
    <comment ref="N2" authorId="0" shapeId="0">
      <text>
        <r>
          <rPr>
            <b/>
            <sz val="9"/>
            <color indexed="81"/>
            <rFont val="Calibri"/>
            <family val="2"/>
          </rPr>
          <t>Kyle Richardson:</t>
        </r>
        <r>
          <rPr>
            <sz val="9"/>
            <color indexed="81"/>
            <rFont val="Calibri"/>
            <family val="2"/>
          </rPr>
          <t xml:space="preserve">
Used average of all hospital services</t>
        </r>
      </text>
    </comment>
    <comment ref="O2" authorId="0" shapeId="0">
      <text>
        <r>
          <rPr>
            <b/>
            <sz val="9"/>
            <color indexed="81"/>
            <rFont val="Calibri"/>
            <family val="2"/>
          </rPr>
          <t>Kyle Richardson:</t>
        </r>
        <r>
          <rPr>
            <sz val="9"/>
            <color indexed="81"/>
            <rFont val="Calibri"/>
            <family val="2"/>
          </rPr>
          <t xml:space="preserve">
Used average of the sums of all the costs for the 2 surgical cases</t>
        </r>
      </text>
    </comment>
  </commentList>
</comments>
</file>

<file path=xl/comments2.xml><?xml version="1.0" encoding="utf-8"?>
<comments xmlns="http://schemas.openxmlformats.org/spreadsheetml/2006/main">
  <authors>
    <author>Kyle Richardson</author>
  </authors>
  <commentList>
    <comment ref="D2" authorId="0" shapeId="0">
      <text>
        <r>
          <rPr>
            <b/>
            <sz val="9"/>
            <color indexed="81"/>
            <rFont val="Calibri"/>
            <family val="2"/>
          </rPr>
          <t>Kyle Richardson:</t>
        </r>
        <r>
          <rPr>
            <sz val="9"/>
            <color indexed="81"/>
            <rFont val="Calibri"/>
            <family val="2"/>
          </rPr>
          <t xml:space="preserve">
(Down 13.5% in the past 5 years)</t>
        </r>
      </text>
    </comment>
    <comment ref="C9" authorId="0" shapeId="0">
      <text>
        <r>
          <rPr>
            <b/>
            <sz val="9"/>
            <color indexed="81"/>
            <rFont val="Calibri"/>
            <family val="2"/>
          </rPr>
          <t>Kyle Richardson:</t>
        </r>
        <r>
          <rPr>
            <sz val="9"/>
            <color indexed="81"/>
            <rFont val="Calibri"/>
            <family val="2"/>
          </rPr>
          <t xml:space="preserve">
(5.9% Decrease since 2006)</t>
        </r>
      </text>
    </comment>
    <comment ref="C10" authorId="0" shapeId="0">
      <text>
        <r>
          <rPr>
            <b/>
            <sz val="9"/>
            <color indexed="81"/>
            <rFont val="Calibri"/>
            <family val="2"/>
          </rPr>
          <t>Kyle Richardson: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B14" authorId="0" shapeId="0">
      <text>
        <r>
          <rPr>
            <b/>
            <sz val="9"/>
            <color indexed="81"/>
            <rFont val="Calibri"/>
            <family val="2"/>
          </rPr>
          <t>Kyle Richardson:</t>
        </r>
        <r>
          <rPr>
            <sz val="9"/>
            <color indexed="81"/>
            <rFont val="Calibri"/>
            <family val="2"/>
          </rPr>
          <t xml:space="preserve">
This will be good for background</t>
        </r>
      </text>
    </comment>
    <comment ref="B24" authorId="0" shapeId="0">
      <text>
        <r>
          <rPr>
            <b/>
            <sz val="9"/>
            <color indexed="81"/>
            <rFont val="Calibri"/>
            <family val="2"/>
          </rPr>
          <t>Kyle Richardson:</t>
        </r>
        <r>
          <rPr>
            <sz val="9"/>
            <color indexed="81"/>
            <rFont val="Calibri"/>
            <family val="2"/>
          </rPr>
          <t xml:space="preserve">
Mean Number 5 Cats</t>
        </r>
      </text>
    </comment>
  </commentList>
</comments>
</file>

<file path=xl/sharedStrings.xml><?xml version="1.0" encoding="utf-8"?>
<sst xmlns="http://schemas.openxmlformats.org/spreadsheetml/2006/main" count="1231" uniqueCount="641">
  <si>
    <t>Breed</t>
  </si>
  <si>
    <t>Abyssinian</t>
  </si>
  <si>
    <t>American Bobtail</t>
  </si>
  <si>
    <t>American Curl</t>
  </si>
  <si>
    <t>American Shorthair</t>
  </si>
  <si>
    <t>American Wirehair</t>
  </si>
  <si>
    <t>Balinese</t>
  </si>
  <si>
    <t>Birman</t>
  </si>
  <si>
    <t>Bombay</t>
  </si>
  <si>
    <t>British Shorthair</t>
  </si>
  <si>
    <t>Burmese</t>
  </si>
  <si>
    <t>Chartreux</t>
  </si>
  <si>
    <t>Colorpoint Shorthair</t>
  </si>
  <si>
    <t>Cornish Rex</t>
  </si>
  <si>
    <t>Devon Rex</t>
  </si>
  <si>
    <t>Egyptian Mau</t>
  </si>
  <si>
    <t>European Burmese</t>
  </si>
  <si>
    <t>Havana Brown</t>
  </si>
  <si>
    <t>Japanese Bobtail</t>
  </si>
  <si>
    <t>Korat</t>
  </si>
  <si>
    <t>Maine Coon</t>
  </si>
  <si>
    <t>Manx</t>
  </si>
  <si>
    <t>Norwegian Forest Cat</t>
  </si>
  <si>
    <t>Ocicat</t>
  </si>
  <si>
    <t>Oriental</t>
  </si>
  <si>
    <t>Persian</t>
  </si>
  <si>
    <t>Ragdoll</t>
  </si>
  <si>
    <t>Russian Blue</t>
  </si>
  <si>
    <t>Scottish Fold</t>
  </si>
  <si>
    <t>Selkirk Rex</t>
  </si>
  <si>
    <t>Siamese</t>
  </si>
  <si>
    <t>Siberian</t>
  </si>
  <si>
    <t>Singapura</t>
  </si>
  <si>
    <t>Somali</t>
  </si>
  <si>
    <t>Sphynx</t>
  </si>
  <si>
    <t>Tonkinese</t>
  </si>
  <si>
    <t>Turkish Angora</t>
  </si>
  <si>
    <t>Turkish Van</t>
  </si>
  <si>
    <t>Age</t>
  </si>
  <si>
    <t>Gender</t>
  </si>
  <si>
    <t>Type</t>
  </si>
  <si>
    <t>Outdoor</t>
  </si>
  <si>
    <t>Vet Visits (Among Cat-Owning Households) (2011)</t>
  </si>
  <si>
    <t>At least one visit to the Vet in 2011</t>
  </si>
  <si>
    <t>0 Visits</t>
  </si>
  <si>
    <t>Number of Visits</t>
  </si>
  <si>
    <t>%</t>
  </si>
  <si>
    <t>1 Visit</t>
  </si>
  <si>
    <t>2 Visits</t>
  </si>
  <si>
    <t>3 Visits</t>
  </si>
  <si>
    <t>4 or more Visits</t>
  </si>
  <si>
    <t>4 or more</t>
  </si>
  <si>
    <t>Average Number of Vet Visits among cat-owning households</t>
  </si>
  <si>
    <t>Mean per Household #</t>
  </si>
  <si>
    <t>Cats saw the veterinarian an average of</t>
  </si>
  <si>
    <t>Mean per Cat</t>
  </si>
  <si>
    <t>Of all pets, Cats were ___ of total vet visits</t>
  </si>
  <si>
    <t>Among Cat-Owning Households (millions)</t>
  </si>
  <si>
    <t>Mean Number of Vet Visits for Cat-Owning Households by Bond (2011)</t>
  </si>
  <si>
    <t>Total</t>
  </si>
  <si>
    <t>Family Member</t>
  </si>
  <si>
    <t>Pet/Companion</t>
  </si>
  <si>
    <t>Property</t>
  </si>
  <si>
    <t>Mean Number of Visits for Single and Multiple Cats by Bonds (2011)</t>
  </si>
  <si>
    <t>Type of Household</t>
  </si>
  <si>
    <t>1 Cat</t>
  </si>
  <si>
    <t>2 Cats</t>
  </si>
  <si>
    <t>3 or More Cats</t>
  </si>
  <si>
    <t>Cat Owning Households by Veterinary Expenditure</t>
  </si>
  <si>
    <t>Expenditures</t>
  </si>
  <si>
    <t>$0 to $50</t>
  </si>
  <si>
    <t>$50 to $90</t>
  </si>
  <si>
    <t>$100 to $199</t>
  </si>
  <si>
    <t>$200 to $499</t>
  </si>
  <si>
    <t>$500 to $999</t>
  </si>
  <si>
    <t>$1,000 or More</t>
  </si>
  <si>
    <t>Mean Per Household ($)</t>
  </si>
  <si>
    <t>Mean Per Visit ($)</t>
  </si>
  <si>
    <t>Mean Per Cat ($)</t>
  </si>
  <si>
    <t>Total Expenditures (Billions)</t>
  </si>
  <si>
    <t>Top three services and products of 2011 purchased at the most recent veterinary visit by cat-owning households</t>
  </si>
  <si>
    <t>Physical Exams</t>
  </si>
  <si>
    <t>Vaccinations</t>
  </si>
  <si>
    <t>Laboratory Tests</t>
  </si>
  <si>
    <t>Veterinary Service/Products Procided for Cat(s) in Total (2011)</t>
  </si>
  <si>
    <t>Frequency of Taking Cats to Vet for Routine Checkups/Preventive Care (2011)</t>
  </si>
  <si>
    <t>Physical Examinations</t>
  </si>
  <si>
    <t>Every 6 Months</t>
  </si>
  <si>
    <t>At least Once a Year</t>
  </si>
  <si>
    <t>At Least Every 2 Years</t>
  </si>
  <si>
    <t>Drugs or Medication</t>
  </si>
  <si>
    <t>At Least Every 3-4 Years</t>
  </si>
  <si>
    <t>Flea or Tick Products</t>
  </si>
  <si>
    <t>I only take my cat when sick</t>
  </si>
  <si>
    <t>Emergency Care</t>
  </si>
  <si>
    <t>Never</t>
  </si>
  <si>
    <t>Spray/Neuter</t>
  </si>
  <si>
    <t>Deworming</t>
  </si>
  <si>
    <t>Food</t>
  </si>
  <si>
    <t>Dental Cleaning/Care</t>
  </si>
  <si>
    <t>X-Rays</t>
  </si>
  <si>
    <t>Euthanasia</t>
  </si>
  <si>
    <t>Hospitalization</t>
  </si>
  <si>
    <t>Other Surgery</t>
  </si>
  <si>
    <t>Grooming</t>
  </si>
  <si>
    <t>Boarding</t>
  </si>
  <si>
    <t>Microchip/Tattoo</t>
  </si>
  <si>
    <t>Behavior Consultation</t>
  </si>
  <si>
    <t>Alternative Therapies</t>
  </si>
  <si>
    <t>Chapter 2: Examination and Wellness Services</t>
  </si>
  <si>
    <t>2010 Cost</t>
  </si>
  <si>
    <t>2013 Cost</t>
  </si>
  <si>
    <t>Examinations and Consultations</t>
  </si>
  <si>
    <t>Examination:</t>
  </si>
  <si>
    <t>Sick Pet</t>
  </si>
  <si>
    <t>Single Health Problem, Recheck fee not included</t>
  </si>
  <si>
    <t>Recheck of Previous Problem</t>
  </si>
  <si>
    <t>Health Certifications Exam, Certificate Preparation Fee Not Included</t>
  </si>
  <si>
    <t>Certificate Preparation Fee</t>
  </si>
  <si>
    <t>Inpatient</t>
  </si>
  <si>
    <t>Second Opinion at Owner's Request</t>
  </si>
  <si>
    <t>Referral from Another Veterinarian</t>
  </si>
  <si>
    <t>Emergency During Routine Office Hours</t>
  </si>
  <si>
    <t>Emergency after Hours (6:00pm - 12:00am)</t>
  </si>
  <si>
    <t>Emergency after Hours (12:00am - 7:00am)</t>
  </si>
  <si>
    <t>Pediatric Feline</t>
  </si>
  <si>
    <t>Adult Feline</t>
  </si>
  <si>
    <t>Accupuncture Consultation, Initial Treatment</t>
  </si>
  <si>
    <t>Accupuncture Follow-up, Continued Treatment (1 Visit)</t>
  </si>
  <si>
    <t>Office Consultation:</t>
  </si>
  <si>
    <t>Pet Not Present</t>
  </si>
  <si>
    <t>Wellness and Preventive Care Services</t>
  </si>
  <si>
    <t>Pediatric Feline Wellness Visit:</t>
  </si>
  <si>
    <t>Prophyiactic Deworming Treatment</t>
  </si>
  <si>
    <t>Bartoneila Test</t>
  </si>
  <si>
    <t>Adult Fenine Wellness Visit:</t>
  </si>
  <si>
    <t>Senior Feline Wellness Visit:</t>
  </si>
  <si>
    <t>Chapter 3: Vaccination Services and Protocols</t>
  </si>
  <si>
    <t>Vaccination Services and Protocols</t>
  </si>
  <si>
    <t>1-Year Rabies Vaccine:</t>
  </si>
  <si>
    <t>3-Year Rabies Vaccine:</t>
  </si>
  <si>
    <t>Immunity Titers Check</t>
  </si>
  <si>
    <t>Chlamydia Vaccine:</t>
  </si>
  <si>
    <t>FVRCP Vaccine:</t>
  </si>
  <si>
    <t>Feline</t>
  </si>
  <si>
    <t>FeLV Vaccine:</t>
  </si>
  <si>
    <t>Chapter 4: Discounts On Services</t>
  </si>
  <si>
    <t>Discounts on Services</t>
  </si>
  <si>
    <t>Flat Discount:</t>
  </si>
  <si>
    <t>3 or More Pets</t>
  </si>
  <si>
    <t>Percentage Discount:</t>
  </si>
  <si>
    <t>Percentage Senior-Citizen Discount on Services</t>
  </si>
  <si>
    <t>Percentage Senior-Citizen Discount on Prescription Medications</t>
  </si>
  <si>
    <t>Percentage Senior-Citizen Discount on Over-the-Counter Products</t>
  </si>
  <si>
    <t>Chapter 6: Dental Services</t>
  </si>
  <si>
    <t>Dental Services</t>
  </si>
  <si>
    <t>Denatl Case:</t>
  </si>
  <si>
    <t>Preanesthetic Exam</t>
  </si>
  <si>
    <t>CBC with Differential</t>
  </si>
  <si>
    <t>Chemistry Panel with 8 Chemistries</t>
  </si>
  <si>
    <t>Dental Radiographs</t>
  </si>
  <si>
    <t>Anethesia, 30 Minutes</t>
  </si>
  <si>
    <t>IVC Placement</t>
  </si>
  <si>
    <t>IV Fluids, 1,000 ml Bag of Lactated Ringer's Solution</t>
  </si>
  <si>
    <t>Dental Scaling and Polishing</t>
  </si>
  <si>
    <t>Subgingival Curettage</t>
  </si>
  <si>
    <t>Flouride Application</t>
  </si>
  <si>
    <t>Electronic Monitoring</t>
  </si>
  <si>
    <t>Postprocedure Pain Medication</t>
  </si>
  <si>
    <t>Postprocedure Injectable Antibiotics</t>
  </si>
  <si>
    <t>Antibiotics, 1-Week Supply</t>
  </si>
  <si>
    <t>Extraction of Moderately Loose Premolar Tooth</t>
  </si>
  <si>
    <t>Extraction of Firmly Implanted Upper Fourth Premolar Tooth</t>
  </si>
  <si>
    <t>Endodontic Treatment of Upper Fourth Premolar Tooth</t>
  </si>
  <si>
    <t>Endodontic Treatment of Lower First Molar</t>
  </si>
  <si>
    <t>Postoperative Injectable Antibiotic</t>
  </si>
  <si>
    <t>Postoperative Antibiotics, 1-Week Supply</t>
  </si>
  <si>
    <t>Chapter 7: Laboratory Services</t>
  </si>
  <si>
    <t>General Laboratory Services</t>
  </si>
  <si>
    <t>Lab and Blood Collection:</t>
  </si>
  <si>
    <t>Laboratory Tests Completed In-House</t>
  </si>
  <si>
    <t>ACTH Stimulation</t>
  </si>
  <si>
    <t>Arterial/Venous Blood Gases</t>
  </si>
  <si>
    <t>Bacterial Culture and Sensitivity</t>
  </si>
  <si>
    <t>Bladder Stone Analysis</t>
  </si>
  <si>
    <t>Blood Parasite Testing:</t>
  </si>
  <si>
    <t>Ehrlichia</t>
  </si>
  <si>
    <t>Haemobartonella</t>
  </si>
  <si>
    <t>Babesia</t>
  </si>
  <si>
    <t>CBC, Automated</t>
  </si>
  <si>
    <t>CBC with 8-12 Chemistries</t>
  </si>
  <si>
    <t>CBC with 16-24 Chemistries and T4</t>
  </si>
  <si>
    <t>CBC with Manual Differential</t>
  </si>
  <si>
    <t>CBC with No Differential</t>
  </si>
  <si>
    <t>1 Chemistry</t>
  </si>
  <si>
    <t>2 Chemistries</t>
  </si>
  <si>
    <t>3 Chemistries</t>
  </si>
  <si>
    <t>4 Chemistries</t>
  </si>
  <si>
    <t>5-7 Chemistries</t>
  </si>
  <si>
    <t>8-12 Chemistries</t>
  </si>
  <si>
    <t>16-24 Chemistries</t>
  </si>
  <si>
    <t>Cytology:</t>
  </si>
  <si>
    <t>Ear Swab</t>
  </si>
  <si>
    <t>Fine-Needle Aspirate</t>
  </si>
  <si>
    <t>Skin Swab</t>
  </si>
  <si>
    <t>Vaginal</t>
  </si>
  <si>
    <t>Dexamethasone Suppression</t>
  </si>
  <si>
    <t>Electrolytes (Sodium, Chloride, and Potassium)</t>
  </si>
  <si>
    <t>Fecal Diff-Quik Stain (Clostridium)</t>
  </si>
  <si>
    <t>Fecal Examination:</t>
  </si>
  <si>
    <t>Direct Smear</t>
  </si>
  <si>
    <t>Flotation (Centrifugation; Zinc Sulfate)</t>
  </si>
  <si>
    <t>Flotation (Gravitational)</t>
  </si>
  <si>
    <t>Sedimentation (Baermann)</t>
  </si>
  <si>
    <t>Wet Mount for Giardia</t>
  </si>
  <si>
    <t>Fecal Gram's Stain</t>
  </si>
  <si>
    <t>Feline Leukemia (FeLV) Test</t>
  </si>
  <si>
    <t>FeLV and Feline Immunodeficiency Virus (FIV) Test</t>
  </si>
  <si>
    <t>FIV Test</t>
  </si>
  <si>
    <t>Fructosamine Test</t>
  </si>
  <si>
    <t>Fungal Culture</t>
  </si>
  <si>
    <t>Giardia Antigen Test</t>
  </si>
  <si>
    <t>Glucose Curve (6)</t>
  </si>
  <si>
    <t>Glucose Single</t>
  </si>
  <si>
    <t>Heartworm Test:</t>
  </si>
  <si>
    <t>Feline, Occult/Antibody</t>
  </si>
  <si>
    <t>Feline, Occult/Antigen</t>
  </si>
  <si>
    <t>Feline, Occult/Antibody and Occult/Antigen</t>
  </si>
  <si>
    <t>Histopathology—Multiple Tissues</t>
  </si>
  <si>
    <t>Histopathology—Single Tissue</t>
  </si>
  <si>
    <t>Lyme Disease Testing</t>
  </si>
  <si>
    <t>Pancreatic Evaluation:</t>
  </si>
  <si>
    <t>Pancreatic Lipase Immunoreactivity (PLI)</t>
  </si>
  <si>
    <t>Specific Canine Pancreatic Lipase (Spec cPL)</t>
  </si>
  <si>
    <t>Trypsin-Like Immunoreactivity (TLI)</t>
  </si>
  <si>
    <t>Parvovirus Test</t>
  </si>
  <si>
    <t>Reticulocyte Count</t>
  </si>
  <si>
    <t>Serum Testing for Allergen-Specific IgE</t>
  </si>
  <si>
    <t>T4</t>
  </si>
  <si>
    <t>T4, T3, Free T4, and Free T4ED</t>
  </si>
  <si>
    <t>TSH Level</t>
  </si>
  <si>
    <t>Urinalysis:</t>
  </si>
  <si>
    <t>Complete (Specific Gravity, Dipstick, Sediment)</t>
  </si>
  <si>
    <t>Dipstick</t>
  </si>
  <si>
    <t>Microalbuminaria</t>
  </si>
  <si>
    <t>Sediment</t>
  </si>
  <si>
    <t>Urine Protein:Creatinine (UP:C) Ratio</t>
  </si>
  <si>
    <t>Urine Specific Gravity</t>
  </si>
  <si>
    <t>Laboratory Tests Completed by Outside Laboratory</t>
  </si>
  <si>
    <t xml:space="preserve"> Fine-Needle Aspirate</t>
  </si>
  <si>
    <t>Histopathology:</t>
  </si>
  <si>
    <t>Multiple Tissues</t>
  </si>
  <si>
    <t>Single Tissue</t>
  </si>
  <si>
    <t>Pancreatic Evaluation</t>
  </si>
  <si>
    <t>PTH Assay</t>
  </si>
  <si>
    <t>Uric Acid</t>
  </si>
  <si>
    <t>Chapter 8: Diagnostic and Imaging Services</t>
  </si>
  <si>
    <t>Chapter 9: Prescription Medications</t>
  </si>
  <si>
    <t>Services</t>
  </si>
  <si>
    <t>Prescription Fee:</t>
  </si>
  <si>
    <t>Medications Dispensed from Your Hospital</t>
  </si>
  <si>
    <t>If Client Has Prescription Filled Elsewhere</t>
  </si>
  <si>
    <t>Percentage Markup:</t>
  </si>
  <si>
    <t>Prescription Medications</t>
  </si>
  <si>
    <t>Heartworm Preventives</t>
  </si>
  <si>
    <t>Therapeutic Diets</t>
  </si>
  <si>
    <t>Wellness Diets</t>
  </si>
  <si>
    <t>Flea and Tick Products</t>
  </si>
  <si>
    <t>Nonprescription Grooming Items (Shampoo, Ear Cleaner, etc.)</t>
  </si>
  <si>
    <t>Retail Products (Collars, Leashes, etc.)</t>
  </si>
  <si>
    <t>CHAPTER 10: FLUID THERAPY SERVICES</t>
  </si>
  <si>
    <t>Fluids Setup:</t>
  </si>
  <si>
    <t>Butterfly Catheter</t>
  </si>
  <si>
    <t>IV Indwelling Catheter</t>
  </si>
  <si>
    <t>Jugular Catheter</t>
  </si>
  <si>
    <t>Butterfly Catheter Placement</t>
  </si>
  <si>
    <t>IV Indwelling Catheter Placement</t>
  </si>
  <si>
    <t>Jugular Catheter Placement</t>
  </si>
  <si>
    <t>Initial Bag of Fluids, Lactated Ringer's Solution, 1,000 ml</t>
  </si>
  <si>
    <t>Fluid Infusion Pump Setup</t>
  </si>
  <si>
    <t>Fluid Infusion Pump Use, 8 Hours</t>
  </si>
  <si>
    <t>Fluid Warmer</t>
  </si>
  <si>
    <t>Fluid Therapy:</t>
  </si>
  <si>
    <t>Lactated Ringer's Solution, 1,000 ml</t>
  </si>
  <si>
    <t>Ringer's Solution, 1,000 ml</t>
  </si>
  <si>
    <t>Normosol-R, 1,000 ml</t>
  </si>
  <si>
    <t>0.9% NaCI, 1,000 ml</t>
  </si>
  <si>
    <t>D5W, 5% Dextrose, 1,000 ml</t>
  </si>
  <si>
    <t>Dextran, 1,000 ml</t>
  </si>
  <si>
    <t>Hetastarch, 1,000 ml</t>
  </si>
  <si>
    <t>CHAPTER 11:  HOSPITALIZATION SERVICES</t>
  </si>
  <si>
    <t>Hospitalization with IV: No Overnight Stay, 10-Pound Cat</t>
  </si>
  <si>
    <t>Hospitalization without IV: No Overnight Stay, 10-Pound Cat</t>
  </si>
  <si>
    <t>Hospitalization with IV: Overnight Stay, 10-Pound Cat</t>
  </si>
  <si>
    <t>Hospitalization without IV: Overnight Stay, 10-Pound Cat</t>
  </si>
  <si>
    <t>CHAPTER 12: ANESTHESIA SERVICES</t>
  </si>
  <si>
    <t>IM Sedative: Abscess Treatment, Fractious Cat</t>
  </si>
  <si>
    <t>General Anesthesia:</t>
  </si>
  <si>
    <t>Preanesthetic Sedation, 10-Pound Cat</t>
  </si>
  <si>
    <t>IV Induction, 10-Pound Cat</t>
  </si>
  <si>
    <t>Intubation, 10-Pound Cat</t>
  </si>
  <si>
    <t>Inhalant, 30 Minutes, Isoflurane, 10-Pound Cat</t>
  </si>
  <si>
    <t>Inhalant, 60 Minutes, Isoflurane, 10-Pound Cat</t>
  </si>
  <si>
    <t>Inhalant, Additional Hour, Isoflurane, 10-Pound Cat</t>
  </si>
  <si>
    <t>Anesthetic Monitoring, Electronic, 10-Pound Cat</t>
  </si>
  <si>
    <t>Anesthetic Monitoring, Attended by Anesthetist, 10-Pound Cat</t>
  </si>
  <si>
    <t>CHAPTER 13: TREATMENT PROCEDURES</t>
  </si>
  <si>
    <t>Treatment Case 1:</t>
  </si>
  <si>
    <t>Admitting Examination</t>
  </si>
  <si>
    <t>Intravenous Catheter (IVC) Placement</t>
  </si>
  <si>
    <t>1,500 ml Lactated Ringer's Solution</t>
  </si>
  <si>
    <t>Fluid Infusion Pump</t>
  </si>
  <si>
    <t>Veterinarian/Technician Supervision</t>
  </si>
  <si>
    <t>Medical Waste Disposal</t>
  </si>
  <si>
    <t>Treatment Case 2:</t>
  </si>
  <si>
    <t>Light Sedation</t>
  </si>
  <si>
    <t>Abscess Curettage, Debridement, and Flush</t>
  </si>
  <si>
    <t>Antibiotic Injection</t>
  </si>
  <si>
    <t>Pain Management Medication, Posttreatment</t>
  </si>
  <si>
    <t>Medical Progress Examination</t>
  </si>
  <si>
    <t>Antibiotic, Oral or Injection</t>
  </si>
  <si>
    <t>Treatment Case 3,</t>
  </si>
  <si>
    <t>Day 1: Admitting Examination</t>
  </si>
  <si>
    <t>Day 1: IVC and Placement</t>
  </si>
  <si>
    <t>Day 1: IV Fluids, First Liter</t>
  </si>
  <si>
    <t>Day 1: Fluid Infusion Pump Use</t>
  </si>
  <si>
    <t>Day 1: 2 Antibiotic Injections</t>
  </si>
  <si>
    <t>Day 1: Antiemetics</t>
  </si>
  <si>
    <t>Day 1: Hospitalization</t>
  </si>
  <si>
    <t>Day 1: Abdominal Radiographs, 2 Views</t>
  </si>
  <si>
    <t>Day 1: Pain Management Medication, Administered Twice</t>
  </si>
  <si>
    <t>Day 1: Medical Waste Disposal</t>
  </si>
  <si>
    <t>Day 1: Overnight Supervision</t>
  </si>
  <si>
    <t>Day 2: Inpatient Examination, Veterinarian Supervision</t>
  </si>
  <si>
    <t>Day 2: IV Fluids, Second Liter, Late in Day</t>
  </si>
  <si>
    <t>Day 2: Fluid Infusion Pump, Continuing Use</t>
  </si>
  <si>
    <t>Day 2: 2 Subcutaneous Antibiotic Injections</t>
  </si>
  <si>
    <t>Day 2: CBC with 6 Chemistries</t>
  </si>
  <si>
    <t>Day 3: CBC with 2 Chemistries</t>
  </si>
  <si>
    <t>Day 3: Special Diet, in Hospital</t>
  </si>
  <si>
    <t>Treatment Case 4:</t>
  </si>
  <si>
    <t>Examination</t>
  </si>
  <si>
    <t>Preanesthetic Lab Tests (CBC, BUN, Creatinine, Sodium, and Potassium)</t>
  </si>
  <si>
    <t>Sedation, 30 Minutes</t>
  </si>
  <si>
    <t>Ear Swab/Cytology</t>
  </si>
  <si>
    <t>Ear Cleaning</t>
  </si>
  <si>
    <t>Hospitalization, Day Charge</t>
  </si>
  <si>
    <t>Culture and Sensitivity</t>
  </si>
  <si>
    <t>Antibiotic, 1-Week Supply</t>
  </si>
  <si>
    <t>Pain Management Medication, 3-Day Supply</t>
  </si>
  <si>
    <t>CHAPTER 14: SURGICAL PROCEDURES</t>
  </si>
  <si>
    <t>General Surgical Procedures</t>
  </si>
  <si>
    <t>Surgery Setup Fees: Total</t>
  </si>
  <si>
    <t>Emergency Surgery Procedure Additional Charge</t>
  </si>
  <si>
    <t>Nonelective Procedures</t>
  </si>
  <si>
    <t>Nonelective Procedure:</t>
  </si>
  <si>
    <t>Abdominal Exploratory, Cat</t>
  </si>
  <si>
    <t>Amputation, Pelvic Limb, Cat</t>
  </si>
  <si>
    <t>Amputation, Tail, Cat</t>
  </si>
  <si>
    <t>Amputation, Thoracic Limb, Cat</t>
  </si>
  <si>
    <t>Aural Hematoma Repair</t>
  </si>
  <si>
    <t>Colonoscopy with Biopsy</t>
  </si>
  <si>
    <t>Diaphragmatic Hernia, Cat</t>
  </si>
  <si>
    <t>Endoscopy, Upper Gl, with Biopsy</t>
  </si>
  <si>
    <t>Femoral Head Removal, Cat</t>
  </si>
  <si>
    <t>Gastrotomy, Foreign-Body Removal, Cat</t>
  </si>
  <si>
    <t>Intestinal Resection Anastomosis, Cat</t>
  </si>
  <si>
    <t>Laser Surgery, Ear Surgery, for Chronic Otitis</t>
  </si>
  <si>
    <t>Laser Surgery, Feline Declaw, 2 Paws</t>
  </si>
  <si>
    <t>Laser Surgery, Oral Surgery</t>
  </si>
  <si>
    <t>Laser Surgery, Small Tumor Removal</t>
  </si>
  <si>
    <t>Mastectomy, Unilateral, Cat</t>
  </si>
  <si>
    <t>Skin Tumor Removal, 4 cm</t>
  </si>
  <si>
    <t>Suture Laceration, 4 cm</t>
  </si>
  <si>
    <t>Tonsillectomy</t>
  </si>
  <si>
    <t>Urethrostomy, Cat</t>
  </si>
  <si>
    <t>Unclassified Surgery, Nonsurgical Suite, Per Minute Fee</t>
  </si>
  <si>
    <t>Unclassified Surgery, Nonsurgical Suite, Minimum Surgical Fee</t>
  </si>
  <si>
    <t>Unclassified Surgery, Surgical Suite, Per Minute Fee</t>
  </si>
  <si>
    <t>Unclassified Surgery, Surgical Suite, Minimum Surgical</t>
  </si>
  <si>
    <t>Surgical Cases</t>
  </si>
  <si>
    <t>SurgicalCase 1:</t>
  </si>
  <si>
    <t>Presurgical Examination</t>
  </si>
  <si>
    <t>CBC</t>
  </si>
  <si>
    <t>Chemistry Panel with 6 Chemistries</t>
  </si>
  <si>
    <t>2 Views, Abdominal Ultrasound</t>
  </si>
  <si>
    <t>Urinalysis</t>
  </si>
  <si>
    <t>Pain Medication, Preoperative</t>
  </si>
  <si>
    <t>Fluids</t>
  </si>
  <si>
    <t>Anesthesia, 45 Minutes</t>
  </si>
  <si>
    <t>Monitoring</t>
  </si>
  <si>
    <t>Total Surgery Setup Fee</t>
  </si>
  <si>
    <t>Surgical Suite Usage</t>
  </si>
  <si>
    <t>Surgical Pack Fee</t>
  </si>
  <si>
    <t>Disposables</t>
  </si>
  <si>
    <t>Assistant Time, 1 Hour</t>
  </si>
  <si>
    <t>Surgical Removal of Bladder Calculi</t>
  </si>
  <si>
    <t>Suture Material</t>
  </si>
  <si>
    <t>Staples</t>
  </si>
  <si>
    <t>Urinary Catheterization</t>
  </si>
  <si>
    <t>Pain Management Medication, Postoperative</t>
  </si>
  <si>
    <t>Hospitalization, Day of Surgery Only</t>
  </si>
  <si>
    <t>Postoperative Monitoring</t>
  </si>
  <si>
    <t>Postoperative Radiographs</t>
  </si>
  <si>
    <t>SurgicalCase 2:</t>
  </si>
  <si>
    <t>Preoperative Radiographs</t>
  </si>
  <si>
    <t>Anesthesia, 2 Hours</t>
  </si>
  <si>
    <t>IMPin</t>
  </si>
  <si>
    <t>Surgical Fracture Repair (IM Pin)</t>
  </si>
  <si>
    <t>Hospitalization (Day of Surgery Only)</t>
  </si>
  <si>
    <t>CHAPTER 15: END-OF-LIFE SERVICES</t>
  </si>
  <si>
    <t>Euthanasia:</t>
  </si>
  <si>
    <t>Cat, IV Catheter and Placement</t>
  </si>
  <si>
    <t>Cat, Preanesthetic Sedative</t>
  </si>
  <si>
    <t>Cat, Euthanasia</t>
  </si>
  <si>
    <t>Cat, Total</t>
  </si>
  <si>
    <t>http://www.aspca.org/pet-care/cat-care/general-cat-care</t>
  </si>
  <si>
    <t>Pediatric</t>
  </si>
  <si>
    <t>Adult</t>
  </si>
  <si>
    <t>Age Category</t>
  </si>
  <si>
    <t>Senior</t>
  </si>
  <si>
    <t>Hospital</t>
  </si>
  <si>
    <t>Elsewhere</t>
  </si>
  <si>
    <t>Average</t>
  </si>
  <si>
    <t>Per Year Per Cat</t>
  </si>
  <si>
    <t xml:space="preserve">Deworming </t>
  </si>
  <si>
    <t>Diagnostic Services</t>
  </si>
  <si>
    <t>Routine ECG:</t>
  </si>
  <si>
    <t>In-House, 6-Lead</t>
  </si>
  <si>
    <t>In-House, Lead II Only</t>
  </si>
  <si>
    <t>Outside Service</t>
  </si>
  <si>
    <t>Schirmer Tear Test</t>
  </si>
  <si>
    <t>Corneal Stain</t>
  </si>
  <si>
    <t>Tonometry</t>
  </si>
  <si>
    <t>Blood Pressure Evaluation</t>
  </si>
  <si>
    <t>Ear Swab Exam/Stain (Otitis Externa)</t>
  </si>
  <si>
    <t>Wood's Lamp Examination</t>
  </si>
  <si>
    <t>Imaging Services</t>
  </si>
  <si>
    <t>Radiographic Setup Fee</t>
  </si>
  <si>
    <t>Traditional Radiograph: 1 View, 8 x 10 Cassette, Dog or Cat</t>
  </si>
  <si>
    <t>Digital Radiograph: 1 View, 8 x 10 Cassette, Dog or Cat</t>
  </si>
  <si>
    <t>Traditional Radiograph: 1 View, 8 x 10 Additional Cassette</t>
  </si>
  <si>
    <t>Digital Radiograph: 1 View, 8 x 10 Additional Cassette</t>
  </si>
  <si>
    <t>Traditional Radiograph: 1 View, 14 x 17 Cassette, Dog or Cat</t>
  </si>
  <si>
    <t>Digital Radiograph: 1 View, 14 x 17 Cassette, Dog or Cat</t>
  </si>
  <si>
    <t>Traditional Radiograph: 1 View, 14 x 17 Additional Cassette</t>
  </si>
  <si>
    <t>Digital Radiograph: 1 View, 14 x 17 Additional Cassette</t>
  </si>
  <si>
    <t>Traditional Radiographs: 2 Views, Abdomen, Cat</t>
  </si>
  <si>
    <t>Digital Radiographs: 2 Views, Abdomen, Cat</t>
  </si>
  <si>
    <t>Traditional Radiographs: 2 Views, Chest, Cat</t>
  </si>
  <si>
    <t>Digital Radiographs: 2 Views, Chest, Cat</t>
  </si>
  <si>
    <t>Traditional Radiographs: 2 Views, Forearm, Cat</t>
  </si>
  <si>
    <t>Digital Radiographs: 2 Views, Forearm, Cat</t>
  </si>
  <si>
    <t>Myelograms: 2 Views, Cervical Spine</t>
  </si>
  <si>
    <t>Ultrasound:</t>
  </si>
  <si>
    <t>Chest and Abdomen</t>
  </si>
  <si>
    <t>Chest Only</t>
  </si>
  <si>
    <t>Abdomen Only</t>
  </si>
  <si>
    <t>Guided Biopsy Collection, Liver</t>
  </si>
  <si>
    <t>Diagnostic Imaging Cases</t>
  </si>
  <si>
    <t>Diagnostic Imaging Case 1:</t>
  </si>
  <si>
    <t>2 Films and Your Interpretation</t>
  </si>
  <si>
    <t>2 Films and Specialist Interpretation</t>
  </si>
  <si>
    <t>Diagnostic Imaging Case 2:</t>
  </si>
  <si>
    <t>Cystogram Procedure</t>
  </si>
  <si>
    <t>Contrast Materials</t>
  </si>
  <si>
    <t>Bladder Catheterization</t>
  </si>
  <si>
    <t>Double Contrast Cystogram Procedure</t>
  </si>
  <si>
    <t>All Films and Your Interpretation</t>
  </si>
  <si>
    <t>All Films and Specialist Interpretation</t>
  </si>
  <si>
    <t>Tot</t>
  </si>
  <si>
    <t>Case 1:</t>
  </si>
  <si>
    <t>Case 2:</t>
  </si>
  <si>
    <t>Total (t=1)</t>
  </si>
  <si>
    <t>Male</t>
  </si>
  <si>
    <t>Female</t>
  </si>
  <si>
    <t>Spay/Neuter</t>
  </si>
  <si>
    <t>2008 Cost</t>
  </si>
  <si>
    <t>Percent Increase</t>
  </si>
  <si>
    <t>after markup</t>
  </si>
  <si>
    <t>Average Cost:</t>
  </si>
  <si>
    <t>Procedure + Average Surgical Case</t>
  </si>
  <si>
    <t>Laboratory Test Cost Average (In and Outside Lab)</t>
  </si>
  <si>
    <t>Per Year</t>
  </si>
  <si>
    <t>(12-15)</t>
  </si>
  <si>
    <t>(15-20)</t>
  </si>
  <si>
    <t>(15-18)</t>
  </si>
  <si>
    <t>Bengal</t>
  </si>
  <si>
    <t>Domestic Long Hair</t>
  </si>
  <si>
    <t>(12-18)</t>
  </si>
  <si>
    <t>(18-20)</t>
  </si>
  <si>
    <t>Exotic Shorthair</t>
  </si>
  <si>
    <t>Himalayan</t>
  </si>
  <si>
    <t>Javanese</t>
  </si>
  <si>
    <t>(9-15)</t>
  </si>
  <si>
    <t>LaPerm</t>
  </si>
  <si>
    <t>RagaMuffin</t>
  </si>
  <si>
    <t>(15-25)</t>
  </si>
  <si>
    <t>(14-16)</t>
  </si>
  <si>
    <t>(10-15)</t>
  </si>
  <si>
    <t>(13-17)</t>
  </si>
  <si>
    <t>(15-17)</t>
  </si>
  <si>
    <t>Deductible:</t>
  </si>
  <si>
    <t>Coinsurance:</t>
  </si>
  <si>
    <t>Life Expectency (General)</t>
  </si>
  <si>
    <t>Cat's Information</t>
  </si>
  <si>
    <t>Plan Information</t>
  </si>
  <si>
    <t>Number of Policies:</t>
  </si>
  <si>
    <t>Annual Effective Rate:</t>
  </si>
  <si>
    <t>Monthly interest rate:</t>
  </si>
  <si>
    <t>Premium:</t>
  </si>
  <si>
    <t>Cat Information</t>
  </si>
  <si>
    <t>Plan Info</t>
  </si>
  <si>
    <t>Company Goals</t>
  </si>
  <si>
    <t>After Cost Sharing:</t>
  </si>
  <si>
    <t>Expected Claims:</t>
  </si>
  <si>
    <t>Cost per Policy (t=1):</t>
  </si>
  <si>
    <t>Cost per Policy (t=0):</t>
  </si>
  <si>
    <t>Annual Maximum:</t>
  </si>
  <si>
    <t>Average Pediatric:</t>
  </si>
  <si>
    <t>Average Adult</t>
  </si>
  <si>
    <t>Extra Care</t>
  </si>
  <si>
    <t>Extra Care Premium Calculation</t>
  </si>
  <si>
    <t>Emergency Care Premium Calculation</t>
  </si>
  <si>
    <t>OPERATING COSTS (per year)</t>
  </si>
  <si>
    <t>STARTUP COSTS (one time)</t>
  </si>
  <si>
    <t>Item/Description</t>
  </si>
  <si>
    <t>Cost</t>
  </si>
  <si>
    <t>Source</t>
  </si>
  <si>
    <t>eSmallBusiness</t>
  </si>
  <si>
    <t>Dell</t>
  </si>
  <si>
    <t>% of salary</t>
  </si>
  <si>
    <t>Best Buy</t>
  </si>
  <si>
    <t>CNN Money</t>
  </si>
  <si>
    <t>SS and Medicare</t>
  </si>
  <si>
    <t>CNN, insures individuals</t>
  </si>
  <si>
    <t>Craig's list</t>
  </si>
  <si>
    <t>Discount Office Furniture</t>
  </si>
  <si>
    <t>Various</t>
  </si>
  <si>
    <t>Ikea</t>
  </si>
  <si>
    <t>Indeed.com</t>
  </si>
  <si>
    <t>Mass Division of Insurance</t>
  </si>
  <si>
    <t>Target</t>
  </si>
  <si>
    <t>Microsoft</t>
  </si>
  <si>
    <t>Tech Insurance</t>
  </si>
  <si>
    <t>3%ish of sales</t>
  </si>
  <si>
    <t>QuickBooks</t>
  </si>
  <si>
    <t>TOTAL</t>
  </si>
  <si>
    <t>SAS</t>
  </si>
  <si>
    <t>Norton</t>
  </si>
  <si>
    <t>Comcast</t>
  </si>
  <si>
    <t>Poland Springs</t>
  </si>
  <si>
    <t>Network Solutions</t>
  </si>
  <si>
    <t>General estimate</t>
  </si>
  <si>
    <t>Annual Expenses:</t>
  </si>
  <si>
    <t>Expected Claims per policy:</t>
  </si>
  <si>
    <t>Includes:</t>
  </si>
  <si>
    <t>Examinations</t>
  </si>
  <si>
    <t>Surgery</t>
  </si>
  <si>
    <t>Lab Tests</t>
  </si>
  <si>
    <t>Spayed/Neutered</t>
  </si>
  <si>
    <t>Yes</t>
  </si>
  <si>
    <t>No</t>
  </si>
  <si>
    <t>Spayed/Neutered?</t>
  </si>
  <si>
    <t>Extra Care Package</t>
  </si>
  <si>
    <t>Emergency Care Package</t>
  </si>
  <si>
    <t>Total (Spayed/Neutered = Yes)</t>
  </si>
  <si>
    <t>Extra Care Package (Spayed/Neutered)</t>
  </si>
  <si>
    <t>Extra Care Package (Not Spayed/Neutered)</t>
  </si>
  <si>
    <t>Extra Care w/ Dental</t>
  </si>
  <si>
    <t>Emergency Care w/ Dental Premium Calculation</t>
  </si>
  <si>
    <t>Emergency Care w/ Dental Premium</t>
  </si>
  <si>
    <t xml:space="preserve"> Dental Cleaing/Care</t>
  </si>
  <si>
    <t>Annual Max:</t>
  </si>
  <si>
    <t>Spay</t>
  </si>
  <si>
    <t>Neuter</t>
  </si>
  <si>
    <t>Elective Procedures</t>
  </si>
  <si>
    <t>Elective Procedure:</t>
  </si>
  <si>
    <t>Neuter, Cat</t>
  </si>
  <si>
    <t>OHE, Cat</t>
  </si>
  <si>
    <t>Declaw 2 Paws</t>
  </si>
  <si>
    <t>Declaw 4 Paws</t>
  </si>
  <si>
    <t>Indoor</t>
  </si>
  <si>
    <t>Drugs and Medication</t>
  </si>
  <si>
    <t>Indoor/Outdoor factors</t>
  </si>
  <si>
    <t xml:space="preserve">Indoor </t>
  </si>
  <si>
    <t>Office supplies</t>
  </si>
  <si>
    <t>Unemployment insurance</t>
  </si>
  <si>
    <t>Health insurance</t>
  </si>
  <si>
    <t>Rent</t>
  </si>
  <si>
    <t>Utilities (gas/heat, electric)</t>
  </si>
  <si>
    <t>Salary, Secretary/HR</t>
  </si>
  <si>
    <t>Salary, Accountant</t>
  </si>
  <si>
    <t>Salary, Marketing/IT</t>
  </si>
  <si>
    <t>Salary, Actuary</t>
  </si>
  <si>
    <t>Salary, Underwriter</t>
  </si>
  <si>
    <t>Salary, Sales</t>
  </si>
  <si>
    <t>Business insurance</t>
  </si>
  <si>
    <t>Advertising/marketing</t>
  </si>
  <si>
    <t>Accounting software</t>
  </si>
  <si>
    <t>Actuarial modeling software (SAS)</t>
  </si>
  <si>
    <t>Sales expenses (not traveling)</t>
  </si>
  <si>
    <t>Retirement costs (DC)</t>
  </si>
  <si>
    <t>Technology repairs</t>
  </si>
  <si>
    <t>Anti-virus software</t>
  </si>
  <si>
    <t>Phone/internet</t>
  </si>
  <si>
    <t>Water for water cooler</t>
  </si>
  <si>
    <t>Website/email</t>
  </si>
  <si>
    <t>Other</t>
  </si>
  <si>
    <t>Computers</t>
  </si>
  <si>
    <t>Laptops (2)</t>
  </si>
  <si>
    <t>Copy machine/fax/printer (2)</t>
  </si>
  <si>
    <t>Legal bills for start up</t>
  </si>
  <si>
    <t>Ddesks</t>
  </si>
  <si>
    <t>Chairs</t>
  </si>
  <si>
    <t>Filing cabinets/shelves</t>
  </si>
  <si>
    <t>Licenses</t>
  </si>
  <si>
    <t>Coffee machine</t>
  </si>
  <si>
    <t>Server (database)</t>
  </si>
  <si>
    <t>Refrigerator</t>
  </si>
  <si>
    <t>Microwave</t>
  </si>
  <si>
    <t>Phones (mult. lines)</t>
  </si>
  <si>
    <t>Microsoft Office 2013</t>
  </si>
  <si>
    <t>Worker's Comp</t>
  </si>
  <si>
    <t>Salary, Customer Service</t>
  </si>
  <si>
    <t>AVERAGE</t>
  </si>
  <si>
    <t>Reverse Age Vector</t>
  </si>
  <si>
    <t>Age Vector</t>
  </si>
  <si>
    <t>Markup</t>
  </si>
  <si>
    <t>Fixed Expense Rate</t>
  </si>
  <si>
    <t>% Expense Rate</t>
  </si>
  <si>
    <t>Emergency Care Items</t>
  </si>
  <si>
    <t>Extra Care Items</t>
  </si>
  <si>
    <t>Gender:</t>
  </si>
  <si>
    <t>Cat Type:</t>
  </si>
  <si>
    <t># of Visits</t>
  </si>
  <si>
    <t>Probability of # of Visits</t>
  </si>
  <si>
    <t>Expected Number of Visits</t>
  </si>
  <si>
    <t>LLM</t>
  </si>
  <si>
    <t>Premium Before Markup and Expenses:</t>
  </si>
  <si>
    <t>Jim Donovan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</si>
</sst>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%"/>
    <numFmt numFmtId="166" formatCode="0.0000%"/>
    <numFmt numFmtId="168" formatCode="0.0000"/>
    <numFmt numFmtId="169" formatCode="0.000"/>
    <numFmt numFmtId="170" formatCode="0.0"/>
    <numFmt numFmtId="177" formatCode="&quot;$&quot;#,##0"/>
  </numFmts>
  <fonts count="21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1E0FF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834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2" borderId="1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255">
    <xf numFmtId="0" fontId="0" fillId="0" borderId="0" xfId="0"/>
    <xf numFmtId="0" fontId="6" fillId="0" borderId="2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0" borderId="3" xfId="0" applyFont="1" applyBorder="1" applyAlignment="1">
      <alignment wrapText="1"/>
    </xf>
    <xf numFmtId="0" fontId="0" fillId="0" borderId="4" xfId="0" applyBorder="1" applyAlignment="1">
      <alignment wrapText="1"/>
    </xf>
    <xf numFmtId="10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0" fontId="0" fillId="0" borderId="11" xfId="0" applyNumberFormat="1" applyBorder="1"/>
    <xf numFmtId="0" fontId="0" fillId="0" borderId="12" xfId="0" applyBorder="1"/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10" fontId="0" fillId="0" borderId="11" xfId="2" applyNumberFormat="1" applyFont="1" applyBorder="1"/>
    <xf numFmtId="10" fontId="0" fillId="0" borderId="0" xfId="2" applyNumberFormat="1" applyFont="1" applyBorder="1"/>
    <xf numFmtId="10" fontId="0" fillId="0" borderId="12" xfId="2" applyNumberFormat="1" applyFont="1" applyBorder="1"/>
    <xf numFmtId="0" fontId="0" fillId="0" borderId="11" xfId="0" applyBorder="1"/>
    <xf numFmtId="0" fontId="0" fillId="0" borderId="10" xfId="0" applyBorder="1" applyAlignment="1">
      <alignment horizontal="right"/>
    </xf>
    <xf numFmtId="0" fontId="0" fillId="0" borderId="10" xfId="0" applyBorder="1" applyAlignment="1">
      <alignment wrapText="1"/>
    </xf>
    <xf numFmtId="0" fontId="0" fillId="0" borderId="11" xfId="0" applyNumberFormat="1" applyBorder="1"/>
    <xf numFmtId="0" fontId="0" fillId="0" borderId="17" xfId="0" applyBorder="1" applyAlignment="1">
      <alignment wrapText="1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0" xfId="0" applyBorder="1"/>
    <xf numFmtId="0" fontId="0" fillId="0" borderId="21" xfId="0" applyBorder="1"/>
    <xf numFmtId="10" fontId="0" fillId="0" borderId="22" xfId="0" applyNumberFormat="1" applyBorder="1"/>
    <xf numFmtId="0" fontId="0" fillId="0" borderId="23" xfId="0" applyBorder="1"/>
    <xf numFmtId="0" fontId="0" fillId="0" borderId="21" xfId="0" applyFill="1" applyBorder="1" applyAlignment="1">
      <alignment wrapText="1"/>
    </xf>
    <xf numFmtId="0" fontId="0" fillId="0" borderId="22" xfId="2" applyNumberFormat="1" applyFont="1" applyFill="1" applyBorder="1"/>
    <xf numFmtId="0" fontId="0" fillId="0" borderId="2" xfId="0" applyBorder="1"/>
    <xf numFmtId="0" fontId="0" fillId="0" borderId="2" xfId="0" applyNumberFormat="1" applyBorder="1"/>
    <xf numFmtId="0" fontId="0" fillId="0" borderId="23" xfId="0" applyNumberFormat="1" applyFill="1" applyBorder="1"/>
    <xf numFmtId="0" fontId="0" fillId="0" borderId="11" xfId="2" applyNumberFormat="1" applyFont="1" applyFill="1" applyBorder="1"/>
    <xf numFmtId="0" fontId="0" fillId="0" borderId="0" xfId="0" applyNumberFormat="1" applyFill="1" applyBorder="1"/>
    <xf numFmtId="9" fontId="0" fillId="0" borderId="0" xfId="2" applyFont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2" xfId="0" applyBorder="1"/>
    <xf numFmtId="0" fontId="0" fillId="0" borderId="10" xfId="0" applyBorder="1" applyAlignment="1"/>
    <xf numFmtId="0" fontId="0" fillId="0" borderId="0" xfId="0" applyAlignment="1"/>
    <xf numFmtId="6" fontId="0" fillId="0" borderId="0" xfId="0" applyNumberFormat="1"/>
    <xf numFmtId="0" fontId="5" fillId="0" borderId="31" xfId="0" applyFont="1" applyBorder="1"/>
    <xf numFmtId="0" fontId="0" fillId="0" borderId="32" xfId="0" applyBorder="1"/>
    <xf numFmtId="0" fontId="0" fillId="0" borderId="33" xfId="0" applyBorder="1" applyAlignment="1">
      <alignment horizontal="left"/>
    </xf>
    <xf numFmtId="10" fontId="0" fillId="0" borderId="0" xfId="0" applyNumberFormat="1" applyBorder="1"/>
    <xf numFmtId="10" fontId="0" fillId="0" borderId="12" xfId="0" applyNumberFormat="1" applyBorder="1"/>
    <xf numFmtId="0" fontId="0" fillId="0" borderId="33" xfId="0" applyBorder="1"/>
    <xf numFmtId="164" fontId="0" fillId="0" borderId="0" xfId="2" applyNumberFormat="1" applyFont="1" applyBorder="1"/>
    <xf numFmtId="164" fontId="0" fillId="0" borderId="12" xfId="2" applyNumberFormat="1" applyFont="1" applyBorder="1"/>
    <xf numFmtId="164" fontId="0" fillId="0" borderId="0" xfId="0" applyNumberFormat="1" applyBorder="1"/>
    <xf numFmtId="164" fontId="0" fillId="0" borderId="12" xfId="0" applyNumberFormat="1" applyBorder="1"/>
    <xf numFmtId="0" fontId="0" fillId="0" borderId="31" xfId="0" applyBorder="1"/>
    <xf numFmtId="2" fontId="0" fillId="0" borderId="19" xfId="0" applyNumberFormat="1" applyBorder="1"/>
    <xf numFmtId="2" fontId="0" fillId="0" borderId="19" xfId="2" applyNumberFormat="1" applyFont="1" applyBorder="1"/>
    <xf numFmtId="2" fontId="0" fillId="0" borderId="20" xfId="0" applyNumberFormat="1" applyBorder="1"/>
    <xf numFmtId="2" fontId="0" fillId="0" borderId="0" xfId="0" applyNumberFormat="1" applyBorder="1"/>
    <xf numFmtId="2" fontId="0" fillId="0" borderId="0" xfId="2" applyNumberFormat="1" applyFont="1" applyBorder="1"/>
    <xf numFmtId="2" fontId="0" fillId="0" borderId="12" xfId="0" applyNumberFormat="1" applyBorder="1"/>
    <xf numFmtId="0" fontId="0" fillId="0" borderId="34" xfId="0" applyBorder="1"/>
    <xf numFmtId="2" fontId="0" fillId="0" borderId="2" xfId="0" applyNumberFormat="1" applyBorder="1"/>
    <xf numFmtId="2" fontId="0" fillId="0" borderId="2" xfId="2" applyNumberFormat="1" applyFont="1" applyBorder="1"/>
    <xf numFmtId="2" fontId="0" fillId="0" borderId="23" xfId="0" applyNumberFormat="1" applyBorder="1"/>
    <xf numFmtId="9" fontId="0" fillId="0" borderId="11" xfId="2" applyFont="1" applyBorder="1"/>
    <xf numFmtId="9" fontId="0" fillId="0" borderId="0" xfId="2" applyFont="1" applyBorder="1"/>
    <xf numFmtId="9" fontId="0" fillId="0" borderId="12" xfId="2" applyFont="1" applyBorder="1"/>
    <xf numFmtId="9" fontId="0" fillId="0" borderId="22" xfId="2" applyFont="1" applyBorder="1"/>
    <xf numFmtId="9" fontId="0" fillId="0" borderId="2" xfId="2" applyFont="1" applyBorder="1"/>
    <xf numFmtId="9" fontId="0" fillId="0" borderId="23" xfId="2" applyFont="1" applyBorder="1"/>
    <xf numFmtId="10" fontId="0" fillId="0" borderId="35" xfId="2" applyNumberFormat="1" applyFont="1" applyBorder="1"/>
    <xf numFmtId="10" fontId="0" fillId="0" borderId="18" xfId="0" applyNumberFormat="1" applyBorder="1"/>
    <xf numFmtId="10" fontId="0" fillId="0" borderId="24" xfId="2" applyNumberFormat="1" applyFont="1" applyBorder="1"/>
    <xf numFmtId="10" fontId="0" fillId="0" borderId="25" xfId="2" applyNumberFormat="1" applyFont="1" applyBorder="1"/>
    <xf numFmtId="0" fontId="11" fillId="0" borderId="0" xfId="0" applyFont="1"/>
    <xf numFmtId="0" fontId="5" fillId="0" borderId="0" xfId="0" applyFont="1"/>
    <xf numFmtId="8" fontId="0" fillId="0" borderId="0" xfId="0" applyNumberFormat="1"/>
    <xf numFmtId="10" fontId="0" fillId="0" borderId="0" xfId="0" applyNumberFormat="1"/>
    <xf numFmtId="165" fontId="0" fillId="0" borderId="0" xfId="2" applyNumberFormat="1" applyFont="1"/>
    <xf numFmtId="0" fontId="0" fillId="0" borderId="0" xfId="0" applyNumberFormat="1"/>
    <xf numFmtId="44" fontId="0" fillId="0" borderId="0" xfId="1" applyFont="1"/>
    <xf numFmtId="44" fontId="0" fillId="0" borderId="0" xfId="0" applyNumberFormat="1"/>
    <xf numFmtId="0" fontId="0" fillId="0" borderId="0" xfId="0" applyFont="1"/>
    <xf numFmtId="0" fontId="12" fillId="0" borderId="0" xfId="0" applyFont="1"/>
    <xf numFmtId="0" fontId="13" fillId="0" borderId="0" xfId="0" applyFont="1"/>
    <xf numFmtId="8" fontId="12" fillId="0" borderId="0" xfId="0" applyNumberFormat="1" applyFont="1"/>
    <xf numFmtId="0" fontId="14" fillId="0" borderId="0" xfId="0" applyFont="1"/>
    <xf numFmtId="0" fontId="0" fillId="0" borderId="21" xfId="0" applyBorder="1" applyAlignment="1">
      <alignment wrapText="1"/>
    </xf>
    <xf numFmtId="0" fontId="0" fillId="0" borderId="36" xfId="0" applyBorder="1"/>
    <xf numFmtId="0" fontId="12" fillId="0" borderId="36" xfId="0" applyFont="1" applyBorder="1"/>
    <xf numFmtId="44" fontId="0" fillId="0" borderId="11" xfId="0" applyNumberFormat="1" applyBorder="1"/>
    <xf numFmtId="44" fontId="0" fillId="0" borderId="0" xfId="0" applyNumberFormat="1" applyBorder="1"/>
    <xf numFmtId="0" fontId="5" fillId="0" borderId="37" xfId="0" applyFont="1" applyFill="1" applyBorder="1" applyAlignment="1">
      <alignment wrapText="1"/>
    </xf>
    <xf numFmtId="44" fontId="0" fillId="0" borderId="39" xfId="0" applyNumberFormat="1" applyBorder="1"/>
    <xf numFmtId="0" fontId="0" fillId="0" borderId="40" xfId="0" applyBorder="1"/>
    <xf numFmtId="0" fontId="0" fillId="0" borderId="41" xfId="0" applyBorder="1"/>
    <xf numFmtId="0" fontId="0" fillId="0" borderId="42" xfId="0" applyFill="1" applyBorder="1" applyAlignment="1">
      <alignment wrapText="1"/>
    </xf>
    <xf numFmtId="0" fontId="0" fillId="0" borderId="41" xfId="0" applyBorder="1" applyAlignment="1">
      <alignment wrapText="1"/>
    </xf>
    <xf numFmtId="0" fontId="0" fillId="0" borderId="41" xfId="0" applyFill="1" applyBorder="1" applyAlignment="1">
      <alignment wrapText="1"/>
    </xf>
    <xf numFmtId="0" fontId="0" fillId="0" borderId="43" xfId="0" applyBorder="1" applyAlignment="1">
      <alignment wrapText="1"/>
    </xf>
    <xf numFmtId="0" fontId="0" fillId="0" borderId="0" xfId="0" applyFill="1"/>
    <xf numFmtId="44" fontId="0" fillId="0" borderId="2" xfId="0" applyNumberFormat="1" applyBorder="1"/>
    <xf numFmtId="44" fontId="0" fillId="0" borderId="45" xfId="0" applyNumberFormat="1" applyBorder="1"/>
    <xf numFmtId="49" fontId="0" fillId="0" borderId="0" xfId="0" applyNumberFormat="1"/>
    <xf numFmtId="0" fontId="0" fillId="0" borderId="2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6" xfId="0" applyBorder="1" applyAlignment="1">
      <alignment wrapText="1"/>
    </xf>
    <xf numFmtId="0" fontId="0" fillId="0" borderId="5" xfId="0" applyBorder="1" applyAlignment="1">
      <alignment wrapText="1"/>
    </xf>
    <xf numFmtId="0" fontId="12" fillId="0" borderId="33" xfId="0" applyFont="1" applyBorder="1" applyAlignment="1">
      <alignment horizontal="left"/>
    </xf>
    <xf numFmtId="0" fontId="12" fillId="0" borderId="34" xfId="0" applyFont="1" applyBorder="1" applyAlignment="1">
      <alignment horizontal="left"/>
    </xf>
    <xf numFmtId="0" fontId="0" fillId="0" borderId="46" xfId="0" applyBorder="1"/>
    <xf numFmtId="0" fontId="0" fillId="0" borderId="26" xfId="0" applyFill="1" applyBorder="1" applyAlignment="1">
      <alignment wrapText="1"/>
    </xf>
    <xf numFmtId="44" fontId="0" fillId="0" borderId="0" xfId="1" applyFont="1" applyBorder="1" applyAlignment="1">
      <alignment wrapText="1"/>
    </xf>
    <xf numFmtId="44" fontId="0" fillId="0" borderId="0" xfId="1" applyFont="1" applyBorder="1"/>
    <xf numFmtId="44" fontId="0" fillId="0" borderId="0" xfId="1" applyFont="1" applyFill="1" applyBorder="1" applyAlignment="1">
      <alignment wrapText="1"/>
    </xf>
    <xf numFmtId="44" fontId="0" fillId="0" borderId="0" xfId="1" applyFont="1" applyFill="1" applyBorder="1"/>
    <xf numFmtId="0" fontId="0" fillId="0" borderId="47" xfId="0" applyBorder="1"/>
    <xf numFmtId="44" fontId="0" fillId="0" borderId="2" xfId="1" applyFont="1" applyBorder="1"/>
    <xf numFmtId="44" fontId="0" fillId="0" borderId="2" xfId="1" applyFont="1" applyBorder="1" applyAlignment="1">
      <alignment wrapText="1"/>
    </xf>
    <xf numFmtId="44" fontId="0" fillId="0" borderId="2" xfId="1" applyFont="1" applyFill="1" applyBorder="1"/>
    <xf numFmtId="0" fontId="5" fillId="0" borderId="3" xfId="0" applyFont="1" applyBorder="1"/>
    <xf numFmtId="0" fontId="12" fillId="0" borderId="47" xfId="0" applyFont="1" applyBorder="1"/>
    <xf numFmtId="44" fontId="0" fillId="0" borderId="22" xfId="0" applyNumberFormat="1" applyBorder="1"/>
    <xf numFmtId="0" fontId="0" fillId="0" borderId="44" xfId="0" applyBorder="1"/>
    <xf numFmtId="0" fontId="0" fillId="0" borderId="34" xfId="0" applyBorder="1" applyAlignment="1">
      <alignment horizontal="left"/>
    </xf>
    <xf numFmtId="44" fontId="0" fillId="0" borderId="24" xfId="0" applyNumberFormat="1" applyBorder="1"/>
    <xf numFmtId="10" fontId="0" fillId="0" borderId="0" xfId="2" applyNumberFormat="1" applyFont="1"/>
    <xf numFmtId="8" fontId="0" fillId="0" borderId="0" xfId="1" applyNumberFormat="1" applyFont="1"/>
    <xf numFmtId="0" fontId="0" fillId="3" borderId="0" xfId="0" applyFill="1"/>
    <xf numFmtId="10" fontId="0" fillId="3" borderId="0" xfId="0" applyNumberFormat="1" applyFill="1"/>
    <xf numFmtId="10" fontId="0" fillId="3" borderId="0" xfId="2" applyNumberFormat="1" applyFont="1" applyFill="1"/>
    <xf numFmtId="0" fontId="0" fillId="3" borderId="0" xfId="0" applyNumberFormat="1" applyFill="1"/>
    <xf numFmtId="8" fontId="0" fillId="3" borderId="0" xfId="0" applyNumberFormat="1" applyFill="1"/>
    <xf numFmtId="10" fontId="0" fillId="0" borderId="0" xfId="0" applyNumberFormat="1" applyFill="1"/>
    <xf numFmtId="10" fontId="0" fillId="0" borderId="0" xfId="2" applyNumberFormat="1" applyFont="1" applyFill="1"/>
    <xf numFmtId="10" fontId="5" fillId="0" borderId="0" xfId="2" applyNumberFormat="1" applyFont="1"/>
    <xf numFmtId="44" fontId="5" fillId="0" borderId="0" xfId="0" applyNumberFormat="1" applyFont="1"/>
    <xf numFmtId="8" fontId="5" fillId="0" borderId="0" xfId="0" applyNumberFormat="1" applyFont="1"/>
    <xf numFmtId="8" fontId="0" fillId="0" borderId="0" xfId="0" applyNumberFormat="1" applyFill="1"/>
    <xf numFmtId="0" fontId="0" fillId="0" borderId="0" xfId="0" applyNumberFormat="1" applyFill="1"/>
    <xf numFmtId="8" fontId="0" fillId="0" borderId="0" xfId="2" applyNumberFormat="1" applyFont="1"/>
    <xf numFmtId="8" fontId="0" fillId="0" borderId="0" xfId="1" applyNumberFormat="1" applyFont="1" applyBorder="1"/>
    <xf numFmtId="16" fontId="0" fillId="0" borderId="0" xfId="0" applyNumberFormat="1"/>
    <xf numFmtId="0" fontId="5" fillId="0" borderId="6" xfId="0" applyFont="1" applyBorder="1"/>
    <xf numFmtId="9" fontId="0" fillId="0" borderId="9" xfId="0" applyNumberFormat="1" applyBorder="1"/>
    <xf numFmtId="9" fontId="0" fillId="0" borderId="12" xfId="0" applyNumberFormat="1" applyBorder="1"/>
    <xf numFmtId="9" fontId="0" fillId="0" borderId="23" xfId="0" applyNumberFormat="1" applyBorder="1"/>
    <xf numFmtId="0" fontId="0" fillId="0" borderId="3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0" xfId="0" applyFont="1" applyBorder="1"/>
    <xf numFmtId="166" fontId="0" fillId="0" borderId="12" xfId="2" applyNumberFormat="1" applyFont="1" applyBorder="1"/>
    <xf numFmtId="8" fontId="0" fillId="0" borderId="16" xfId="0" applyNumberFormat="1" applyFont="1" applyBorder="1"/>
    <xf numFmtId="0" fontId="6" fillId="0" borderId="0" xfId="0" applyFont="1" applyBorder="1"/>
    <xf numFmtId="0" fontId="5" fillId="0" borderId="43" xfId="0" applyFont="1" applyBorder="1"/>
    <xf numFmtId="0" fontId="0" fillId="0" borderId="21" xfId="0" applyFill="1" applyBorder="1"/>
    <xf numFmtId="0" fontId="0" fillId="0" borderId="21" xfId="0" applyBorder="1" applyAlignment="1">
      <alignment horizontal="left"/>
    </xf>
    <xf numFmtId="0" fontId="0" fillId="0" borderId="10" xfId="0" applyBorder="1" applyAlignment="1">
      <alignment horizontal="left"/>
    </xf>
    <xf numFmtId="44" fontId="0" fillId="0" borderId="0" xfId="0" applyNumberFormat="1" applyFill="1"/>
    <xf numFmtId="8" fontId="0" fillId="0" borderId="12" xfId="0" applyNumberFormat="1" applyBorder="1"/>
    <xf numFmtId="4" fontId="8" fillId="0" borderId="0" xfId="0" applyNumberFormat="1" applyFont="1"/>
    <xf numFmtId="0" fontId="8" fillId="4" borderId="0" xfId="0" applyFont="1" applyFill="1"/>
    <xf numFmtId="4" fontId="0" fillId="0" borderId="0" xfId="0" applyNumberFormat="1"/>
    <xf numFmtId="0" fontId="0" fillId="4" borderId="0" xfId="0" applyFill="1"/>
    <xf numFmtId="4" fontId="0" fillId="0" borderId="0" xfId="0" applyNumberFormat="1" applyFill="1"/>
    <xf numFmtId="0" fontId="18" fillId="0" borderId="0" xfId="801"/>
    <xf numFmtId="4" fontId="0" fillId="0" borderId="12" xfId="0" applyNumberFormat="1" applyBorder="1"/>
    <xf numFmtId="0" fontId="5" fillId="0" borderId="37" xfId="0" applyFont="1" applyBorder="1"/>
    <xf numFmtId="44" fontId="0" fillId="0" borderId="39" xfId="1" applyFont="1" applyBorder="1"/>
    <xf numFmtId="44" fontId="0" fillId="0" borderId="45" xfId="1" applyFont="1" applyBorder="1"/>
    <xf numFmtId="0" fontId="0" fillId="0" borderId="5" xfId="0" applyFill="1" applyBorder="1" applyAlignment="1">
      <alignment wrapText="1"/>
    </xf>
    <xf numFmtId="44" fontId="0" fillId="0" borderId="12" xfId="1" applyFont="1" applyBorder="1"/>
    <xf numFmtId="44" fontId="0" fillId="0" borderId="23" xfId="1" applyFont="1" applyBorder="1"/>
    <xf numFmtId="9" fontId="0" fillId="0" borderId="24" xfId="2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0" fillId="0" borderId="50" xfId="0" applyBorder="1"/>
    <xf numFmtId="2" fontId="0" fillId="0" borderId="50" xfId="0" applyNumberFormat="1" applyBorder="1"/>
    <xf numFmtId="169" fontId="0" fillId="0" borderId="0" xfId="0" applyNumberFormat="1" applyBorder="1"/>
    <xf numFmtId="169" fontId="0" fillId="0" borderId="22" xfId="0" applyNumberFormat="1" applyBorder="1"/>
    <xf numFmtId="169" fontId="0" fillId="0" borderId="2" xfId="0" applyNumberFormat="1" applyBorder="1"/>
    <xf numFmtId="170" fontId="0" fillId="0" borderId="0" xfId="0" applyNumberFormat="1" applyBorder="1"/>
    <xf numFmtId="169" fontId="2" fillId="0" borderId="0" xfId="830" applyNumberFormat="1" applyBorder="1"/>
    <xf numFmtId="169" fontId="2" fillId="0" borderId="2" xfId="830" applyNumberFormat="1" applyBorder="1"/>
    <xf numFmtId="169" fontId="0" fillId="0" borderId="11" xfId="0" applyNumberFormat="1" applyBorder="1"/>
    <xf numFmtId="169" fontId="0" fillId="0" borderId="12" xfId="798" applyNumberFormat="1" applyFont="1" applyBorder="1"/>
    <xf numFmtId="169" fontId="0" fillId="0" borderId="23" xfId="798" applyNumberFormat="1" applyFont="1" applyBorder="1"/>
    <xf numFmtId="0" fontId="5" fillId="0" borderId="38" xfId="0" applyFont="1" applyFill="1" applyBorder="1"/>
    <xf numFmtId="0" fontId="5" fillId="0" borderId="26" xfId="830" applyFont="1" applyFill="1" applyBorder="1" applyAlignment="1">
      <alignment wrapText="1"/>
    </xf>
    <xf numFmtId="0" fontId="0" fillId="0" borderId="4" xfId="0" applyFill="1" applyBorder="1" applyAlignment="1">
      <alignment wrapText="1"/>
    </xf>
    <xf numFmtId="44" fontId="0" fillId="0" borderId="25" xfId="0" applyNumberFormat="1" applyBorder="1"/>
    <xf numFmtId="0" fontId="5" fillId="0" borderId="3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applyFill="1" applyBorder="1"/>
    <xf numFmtId="10" fontId="1" fillId="0" borderId="12" xfId="0" applyNumberFormat="1" applyFont="1" applyBorder="1"/>
    <xf numFmtId="0" fontId="5" fillId="0" borderId="3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11" fillId="0" borderId="3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50" xfId="0" applyBorder="1" applyAlignment="1"/>
    <xf numFmtId="0" fontId="0" fillId="0" borderId="21" xfId="0" applyBorder="1" applyAlignment="1">
      <alignment horizontal="left"/>
    </xf>
    <xf numFmtId="0" fontId="0" fillId="0" borderId="2" xfId="0" applyBorder="1" applyAlignment="1">
      <alignment horizontal="left"/>
    </xf>
    <xf numFmtId="0" fontId="5" fillId="0" borderId="26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Border="1" applyAlignment="1">
      <alignment horizontal="left"/>
    </xf>
    <xf numFmtId="0" fontId="4" fillId="5" borderId="49" xfId="3" applyFill="1" applyBorder="1" applyAlignment="1">
      <alignment horizontal="center"/>
    </xf>
    <xf numFmtId="0" fontId="4" fillId="5" borderId="48" xfId="3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5" borderId="25" xfId="0" applyFill="1" applyBorder="1"/>
    <xf numFmtId="0" fontId="0" fillId="5" borderId="49" xfId="0" applyFill="1" applyBorder="1"/>
    <xf numFmtId="0" fontId="11" fillId="0" borderId="10" xfId="0" applyFont="1" applyBorder="1"/>
    <xf numFmtId="8" fontId="19" fillId="0" borderId="16" xfId="0" applyNumberFormat="1" applyFont="1" applyBorder="1"/>
    <xf numFmtId="8" fontId="19" fillId="0" borderId="16" xfId="1" applyNumberFormat="1" applyFont="1" applyBorder="1"/>
    <xf numFmtId="177" fontId="0" fillId="0" borderId="23" xfId="1" applyNumberFormat="1" applyFont="1" applyBorder="1"/>
    <xf numFmtId="0" fontId="11" fillId="0" borderId="40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0" fillId="0" borderId="12" xfId="0" applyFill="1" applyBorder="1"/>
    <xf numFmtId="0" fontId="6" fillId="0" borderId="2" xfId="0" applyFont="1" applyFill="1" applyBorder="1"/>
    <xf numFmtId="170" fontId="0" fillId="0" borderId="0" xfId="0" applyNumberFormat="1" applyFill="1" applyBorder="1"/>
    <xf numFmtId="0" fontId="0" fillId="0" borderId="0" xfId="0" applyFont="1" applyFill="1"/>
    <xf numFmtId="0" fontId="17" fillId="0" borderId="0" xfId="0" applyFont="1" applyFill="1"/>
    <xf numFmtId="0" fontId="5" fillId="0" borderId="0" xfId="0" applyFont="1" applyAlignment="1"/>
    <xf numFmtId="44" fontId="0" fillId="0" borderId="39" xfId="1" applyNumberFormat="1" applyFont="1" applyBorder="1"/>
    <xf numFmtId="44" fontId="0" fillId="0" borderId="45" xfId="1" applyNumberFormat="1" applyFont="1" applyBorder="1"/>
    <xf numFmtId="168" fontId="0" fillId="0" borderId="0" xfId="0" applyNumberFormat="1" applyBorder="1"/>
    <xf numFmtId="44" fontId="0" fillId="0" borderId="11" xfId="1" applyFont="1" applyBorder="1"/>
    <xf numFmtId="44" fontId="0" fillId="0" borderId="22" xfId="1" applyFont="1" applyBorder="1"/>
    <xf numFmtId="44" fontId="0" fillId="0" borderId="6" xfId="0" applyNumberFormat="1" applyBorder="1"/>
    <xf numFmtId="44" fontId="0" fillId="0" borderId="8" xfId="0" applyNumberFormat="1" applyBorder="1"/>
    <xf numFmtId="44" fontId="0" fillId="0" borderId="51" xfId="0" applyNumberFormat="1" applyBorder="1"/>
    <xf numFmtId="44" fontId="0" fillId="0" borderId="10" xfId="0" applyNumberFormat="1" applyBorder="1"/>
    <xf numFmtId="44" fontId="0" fillId="0" borderId="21" xfId="0" applyNumberFormat="1" applyBorder="1"/>
    <xf numFmtId="168" fontId="2" fillId="0" borderId="0" xfId="0" applyNumberFormat="1" applyFont="1" applyBorder="1"/>
    <xf numFmtId="168" fontId="2" fillId="0" borderId="2" xfId="0" applyNumberFormat="1" applyFont="1" applyBorder="1"/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0" fillId="6" borderId="0" xfId="0" applyFill="1"/>
    <xf numFmtId="0" fontId="8" fillId="6" borderId="0" xfId="0" applyFont="1" applyFill="1"/>
    <xf numFmtId="0" fontId="20" fillId="6" borderId="0" xfId="0" applyFont="1" applyFill="1" applyAlignment="1">
      <alignment horizontal="center" vertical="center"/>
    </xf>
  </cellXfs>
  <cellStyles count="834">
    <cellStyle name="Comma" xfId="798" builtinId="3"/>
    <cellStyle name="Currency" xfId="1" builtinId="4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Followed Hyperlink" xfId="775" builtinId="9" hidden="1"/>
    <cellStyle name="Followed Hyperlink" xfId="777" builtinId="9" hidden="1"/>
    <cellStyle name="Followed Hyperlink" xfId="779" builtinId="9" hidden="1"/>
    <cellStyle name="Followed Hyperlink" xfId="781" builtinId="9" hidden="1"/>
    <cellStyle name="Followed Hyperlink" xfId="783" builtinId="9" hidden="1"/>
    <cellStyle name="Followed Hyperlink" xfId="785" builtinId="9" hidden="1"/>
    <cellStyle name="Followed Hyperlink" xfId="787" builtinId="9" hidden="1"/>
    <cellStyle name="Followed Hyperlink" xfId="789" builtinId="9" hidden="1"/>
    <cellStyle name="Followed Hyperlink" xfId="791" builtinId="9" hidden="1"/>
    <cellStyle name="Followed Hyperlink" xfId="793" builtinId="9" hidden="1"/>
    <cellStyle name="Followed Hyperlink" xfId="795" builtinId="9" hidden="1"/>
    <cellStyle name="Followed Hyperlink" xfId="797" builtinId="9" hidden="1"/>
    <cellStyle name="Followed Hyperlink" xfId="800" builtinId="9" hidden="1"/>
    <cellStyle name="Followed Hyperlink" xfId="802" builtinId="9" hidden="1"/>
    <cellStyle name="Followed Hyperlink" xfId="803" builtinId="9" hidden="1"/>
    <cellStyle name="Followed Hyperlink" xfId="804" builtinId="9" hidden="1"/>
    <cellStyle name="Followed Hyperlink" xfId="805" builtinId="9" hidden="1"/>
    <cellStyle name="Followed Hyperlink" xfId="806" builtinId="9" hidden="1"/>
    <cellStyle name="Followed Hyperlink" xfId="807" builtinId="9" hidden="1"/>
    <cellStyle name="Followed Hyperlink" xfId="808" builtinId="9" hidden="1"/>
    <cellStyle name="Followed Hyperlink" xfId="809" builtinId="9" hidden="1"/>
    <cellStyle name="Followed Hyperlink" xfId="810" builtinId="9" hidden="1"/>
    <cellStyle name="Followed Hyperlink" xfId="811" builtinId="9" hidden="1"/>
    <cellStyle name="Followed Hyperlink" xfId="812" builtinId="9" hidden="1"/>
    <cellStyle name="Followed Hyperlink" xfId="813" builtinId="9" hidden="1"/>
    <cellStyle name="Followed Hyperlink" xfId="814" builtinId="9" hidden="1"/>
    <cellStyle name="Followed Hyperlink" xfId="815" builtinId="9" hidden="1"/>
    <cellStyle name="Followed Hyperlink" xfId="816" builtinId="9" hidden="1"/>
    <cellStyle name="Followed Hyperlink" xfId="817" builtinId="9" hidden="1"/>
    <cellStyle name="Followed Hyperlink" xfId="818" builtinId="9" hidden="1"/>
    <cellStyle name="Followed Hyperlink" xfId="819" builtinId="9" hidden="1"/>
    <cellStyle name="Followed Hyperlink" xfId="820" builtinId="9" hidden="1"/>
    <cellStyle name="Followed Hyperlink" xfId="821" builtinId="9" hidden="1"/>
    <cellStyle name="Followed Hyperlink" xfId="822" builtinId="9" hidden="1"/>
    <cellStyle name="Followed Hyperlink" xfId="823" builtinId="9" hidden="1"/>
    <cellStyle name="Followed Hyperlink" xfId="824" builtinId="9" hidden="1"/>
    <cellStyle name="Followed Hyperlink" xfId="825" builtinId="9" hidden="1"/>
    <cellStyle name="Followed Hyperlink" xfId="826" builtinId="9" hidden="1"/>
    <cellStyle name="Followed Hyperlink" xfId="827" builtinId="9" hidden="1"/>
    <cellStyle name="Followed Hyperlink" xfId="828" builtinId="9" hidden="1"/>
    <cellStyle name="Followed Hyperlink" xfId="829" builtinId="9" hidden="1"/>
    <cellStyle name="Followed Hyperlink" xfId="831" builtinId="9" hidden="1"/>
    <cellStyle name="Followed Hyperlink" xfId="832" builtinId="9" hidden="1"/>
    <cellStyle name="Followed Hyperlink" xfId="833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9" builtinId="8" hidden="1"/>
    <cellStyle name="Hyperlink" xfId="801" builtinId="8"/>
    <cellStyle name="Input" xfId="3" builtinId="20"/>
    <cellStyle name="Normal" xfId="0" builtinId="0"/>
    <cellStyle name="Normal 5" xfId="830"/>
    <cellStyle name="Percent" xfId="2" builtinId="5"/>
  </cellStyles>
  <dxfs count="0"/>
  <tableStyles count="0" defaultTableStyle="TableStyleMedium9" defaultPivotStyle="PivotStyleMedium4"/>
  <colors>
    <mruColors>
      <color rgb="FFC1E0FF"/>
      <color rgb="FF99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L21"/>
  <sheetViews>
    <sheetView showGridLines="0" tabSelected="1" workbookViewId="0">
      <selection activeCell="B21" sqref="B21"/>
    </sheetView>
  </sheetViews>
  <sheetFormatPr defaultColWidth="11" defaultRowHeight="15.75" x14ac:dyDescent="0.25"/>
  <cols>
    <col min="1" max="1" width="11" style="252"/>
    <col min="2" max="2" width="16.125" style="252" bestFit="1" customWidth="1"/>
    <col min="3" max="3" width="14.375" style="252" bestFit="1" customWidth="1"/>
    <col min="4" max="4" width="3.625" style="252" customWidth="1"/>
    <col min="5" max="5" width="11.75" style="252" bestFit="1" customWidth="1"/>
    <col min="6" max="6" width="19" style="252" bestFit="1" customWidth="1"/>
    <col min="7" max="7" width="3.875" style="252" customWidth="1"/>
    <col min="8" max="8" width="11.75" style="252" bestFit="1" customWidth="1"/>
    <col min="9" max="9" width="19.25" style="252" bestFit="1" customWidth="1"/>
    <col min="10" max="10" width="4.75" style="252" customWidth="1"/>
    <col min="11" max="11" width="11.75" style="252" bestFit="1" customWidth="1"/>
    <col min="12" max="12" width="18" style="252" bestFit="1" customWidth="1"/>
    <col min="13" max="16384" width="11" style="252"/>
  </cols>
  <sheetData>
    <row r="2" spans="2:12" x14ac:dyDescent="0.25">
      <c r="E2" s="254" t="s">
        <v>638</v>
      </c>
      <c r="F2" s="254"/>
      <c r="G2" s="254"/>
      <c r="H2" s="254"/>
      <c r="I2" s="254"/>
    </row>
    <row r="3" spans="2:12" x14ac:dyDescent="0.25">
      <c r="E3" s="254"/>
      <c r="F3" s="254"/>
      <c r="G3" s="254"/>
      <c r="H3" s="254"/>
      <c r="I3" s="254"/>
    </row>
    <row r="4" spans="2:12" x14ac:dyDescent="0.25">
      <c r="E4" s="254"/>
      <c r="F4" s="254"/>
      <c r="G4" s="254"/>
      <c r="H4" s="254"/>
      <c r="I4" s="254"/>
    </row>
    <row r="5" spans="2:12" x14ac:dyDescent="0.25">
      <c r="E5" s="254"/>
      <c r="F5" s="254"/>
      <c r="G5" s="254"/>
      <c r="H5" s="254"/>
      <c r="I5" s="254"/>
    </row>
    <row r="7" spans="2:12" ht="16.5" thickBot="1" x14ac:dyDescent="0.3">
      <c r="B7" s="253"/>
      <c r="F7" s="253"/>
    </row>
    <row r="8" spans="2:12" ht="21.75" thickBot="1" x14ac:dyDescent="0.4">
      <c r="B8" s="221" t="s">
        <v>505</v>
      </c>
      <c r="C8" s="222"/>
      <c r="E8" s="229" t="s">
        <v>94</v>
      </c>
      <c r="F8" s="230"/>
      <c r="H8" s="229" t="s">
        <v>521</v>
      </c>
      <c r="I8" s="230"/>
      <c r="K8" s="229" t="s">
        <v>569</v>
      </c>
      <c r="L8" s="230"/>
    </row>
    <row r="9" spans="2:12" ht="21" x14ac:dyDescent="0.35">
      <c r="B9" s="12" t="s">
        <v>38</v>
      </c>
      <c r="C9" s="219">
        <v>8</v>
      </c>
      <c r="E9" s="225" t="s">
        <v>510</v>
      </c>
      <c r="F9" s="226">
        <f>IF(C16=250, "N/A", Formula!I6)</f>
        <v>18.785621920165884</v>
      </c>
      <c r="H9" s="225" t="s">
        <v>510</v>
      </c>
      <c r="I9" s="227">
        <f>Formula!I16</f>
        <v>35.213311265693861</v>
      </c>
      <c r="K9" s="225" t="s">
        <v>510</v>
      </c>
      <c r="L9" s="226">
        <f>Formula!I27</f>
        <v>38.396650602370826</v>
      </c>
    </row>
    <row r="10" spans="2:12" x14ac:dyDescent="0.25">
      <c r="B10" s="12" t="s">
        <v>0</v>
      </c>
      <c r="C10" s="219" t="s">
        <v>10</v>
      </c>
      <c r="E10" s="12"/>
      <c r="F10" s="14"/>
      <c r="H10" s="161"/>
      <c r="I10" s="182"/>
      <c r="K10" s="12"/>
      <c r="L10" s="14"/>
    </row>
    <row r="11" spans="2:12" x14ac:dyDescent="0.25">
      <c r="B11" s="12" t="s">
        <v>39</v>
      </c>
      <c r="C11" s="219" t="s">
        <v>474</v>
      </c>
      <c r="E11" s="12"/>
      <c r="F11" s="14"/>
      <c r="H11" s="12"/>
      <c r="I11" s="14"/>
      <c r="K11" s="12"/>
      <c r="L11" s="14"/>
    </row>
    <row r="12" spans="2:12" x14ac:dyDescent="0.25">
      <c r="B12" s="12" t="s">
        <v>40</v>
      </c>
      <c r="C12" s="219" t="s">
        <v>41</v>
      </c>
      <c r="E12" s="12"/>
      <c r="F12" s="14"/>
      <c r="H12" s="12"/>
      <c r="I12" s="14"/>
      <c r="K12" s="12"/>
      <c r="L12" s="14"/>
    </row>
    <row r="13" spans="2:12" ht="16.5" thickBot="1" x14ac:dyDescent="0.3">
      <c r="B13" s="166" t="s">
        <v>560</v>
      </c>
      <c r="C13" s="220" t="s">
        <v>562</v>
      </c>
      <c r="E13" s="12"/>
      <c r="F13" s="14"/>
      <c r="H13" s="12"/>
      <c r="I13" s="14"/>
      <c r="K13" s="12"/>
      <c r="L13" s="14"/>
    </row>
    <row r="14" spans="2:12" ht="16.5" thickBot="1" x14ac:dyDescent="0.3">
      <c r="E14" s="12" t="s">
        <v>556</v>
      </c>
      <c r="F14" s="14" t="s">
        <v>558</v>
      </c>
      <c r="H14" s="12" t="s">
        <v>556</v>
      </c>
      <c r="I14" s="231" t="s">
        <v>631</v>
      </c>
      <c r="K14" s="12" t="s">
        <v>556</v>
      </c>
      <c r="L14" s="231" t="s">
        <v>632</v>
      </c>
    </row>
    <row r="15" spans="2:12" ht="18.75" x14ac:dyDescent="0.3">
      <c r="B15" s="221" t="s">
        <v>506</v>
      </c>
      <c r="C15" s="222"/>
      <c r="E15" s="12"/>
      <c r="F15" s="14" t="s">
        <v>559</v>
      </c>
      <c r="H15" s="12"/>
      <c r="I15" s="14" t="s">
        <v>557</v>
      </c>
      <c r="K15" s="12"/>
      <c r="L15" s="14" t="s">
        <v>572</v>
      </c>
    </row>
    <row r="16" spans="2:12" x14ac:dyDescent="0.25">
      <c r="B16" s="12" t="s">
        <v>502</v>
      </c>
      <c r="C16" s="224">
        <v>100</v>
      </c>
      <c r="E16" s="12"/>
      <c r="F16" s="14" t="s">
        <v>100</v>
      </c>
      <c r="H16" s="12"/>
      <c r="I16" s="14" t="s">
        <v>82</v>
      </c>
      <c r="K16" s="12"/>
      <c r="L16" s="14"/>
    </row>
    <row r="17" spans="2:12" ht="16.5" thickBot="1" x14ac:dyDescent="0.3">
      <c r="B17" s="31" t="s">
        <v>503</v>
      </c>
      <c r="C17" s="223">
        <v>0.8</v>
      </c>
      <c r="E17" s="12"/>
      <c r="F17" s="14" t="s">
        <v>102</v>
      </c>
      <c r="H17" s="12"/>
      <c r="I17" s="14" t="s">
        <v>92</v>
      </c>
      <c r="K17" s="12"/>
      <c r="L17" s="14"/>
    </row>
    <row r="18" spans="2:12" x14ac:dyDescent="0.25">
      <c r="E18" s="12"/>
      <c r="F18" s="14" t="s">
        <v>101</v>
      </c>
      <c r="H18" s="12"/>
      <c r="I18" s="14" t="s">
        <v>476</v>
      </c>
      <c r="K18" s="12"/>
      <c r="L18" s="14"/>
    </row>
    <row r="19" spans="2:12" x14ac:dyDescent="0.25">
      <c r="E19" s="12"/>
      <c r="F19" s="14" t="s">
        <v>94</v>
      </c>
      <c r="H19" s="12"/>
      <c r="I19" s="14" t="s">
        <v>97</v>
      </c>
      <c r="K19" s="12"/>
      <c r="L19" s="14"/>
    </row>
    <row r="20" spans="2:12" x14ac:dyDescent="0.25">
      <c r="E20" s="12"/>
      <c r="F20" s="14" t="s">
        <v>583</v>
      </c>
      <c r="H20" s="12"/>
      <c r="I20" s="14"/>
      <c r="K20" s="12"/>
      <c r="L20" s="14"/>
    </row>
    <row r="21" spans="2:12" ht="16.5" thickBot="1" x14ac:dyDescent="0.3">
      <c r="E21" s="31" t="s">
        <v>573</v>
      </c>
      <c r="F21" s="228">
        <v>7000</v>
      </c>
      <c r="H21" s="31" t="s">
        <v>573</v>
      </c>
      <c r="I21" s="228">
        <v>7000</v>
      </c>
      <c r="K21" s="31" t="s">
        <v>573</v>
      </c>
      <c r="L21" s="228">
        <v>7000</v>
      </c>
    </row>
  </sheetData>
  <mergeCells count="6">
    <mergeCell ref="E2:I5"/>
    <mergeCell ref="B8:C8"/>
    <mergeCell ref="B15:C15"/>
    <mergeCell ref="K8:L8"/>
    <mergeCell ref="H8:I8"/>
    <mergeCell ref="E8:F8"/>
  </mergeCells>
  <pageMargins left="0.75" right="0.75" top="1" bottom="1" header="0.5" footer="0.5"/>
  <pageSetup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Variables!$A$4:$A$47</xm:f>
          </x14:formula1>
          <xm:sqref>C10</xm:sqref>
        </x14:dataValidation>
        <x14:dataValidation type="list" allowBlank="1" showInputMessage="1" showErrorMessage="1">
          <x14:formula1>
            <xm:f>Incidence!$A$2:$A$22</xm:f>
          </x14:formula1>
          <xm:sqref>C9</xm:sqref>
        </x14:dataValidation>
        <x14:dataValidation type="list" allowBlank="1" showInputMessage="1" showErrorMessage="1">
          <x14:formula1>
            <xm:f>Variables!$F$5:$F$6</xm:f>
          </x14:formula1>
          <xm:sqref>C12</xm:sqref>
        </x14:dataValidation>
        <x14:dataValidation type="list" allowBlank="1" showInputMessage="1" showErrorMessage="1">
          <x14:formula1>
            <xm:f>Variables!$F$12:$F$14</xm:f>
          </x14:formula1>
          <xm:sqref>C17</xm:sqref>
        </x14:dataValidation>
        <x14:dataValidation type="list" allowBlank="1" showInputMessage="1" showErrorMessage="1">
          <x14:formula1>
            <xm:f>Variables!$F$17:$F$18</xm:f>
          </x14:formula1>
          <xm:sqref>C13</xm:sqref>
        </x14:dataValidation>
        <x14:dataValidation type="list" allowBlank="1" showInputMessage="1" showErrorMessage="1">
          <x14:formula1>
            <xm:f>Variables!$F$2:$F$3</xm:f>
          </x14:formula1>
          <xm:sqref>C11</xm:sqref>
        </x14:dataValidation>
        <x14:dataValidation type="list" allowBlank="1" showInputMessage="1" showErrorMessage="1">
          <x14:formula1>
            <xm:f>Variables!$F$9:$F$10</xm:f>
          </x14:formula1>
          <xm:sqref>C16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31"/>
  <sheetViews>
    <sheetView workbookViewId="0">
      <selection activeCell="H6" sqref="H6"/>
    </sheetView>
  </sheetViews>
  <sheetFormatPr defaultColWidth="11" defaultRowHeight="15.75" x14ac:dyDescent="0.25"/>
  <cols>
    <col min="2" max="2" width="19.125" bestFit="1" customWidth="1"/>
    <col min="3" max="3" width="13.125" customWidth="1"/>
    <col min="5" max="5" width="23.375" bestFit="1" customWidth="1"/>
    <col min="8" max="8" width="35.125" bestFit="1" customWidth="1"/>
  </cols>
  <sheetData>
    <row r="1" spans="2:9" ht="16.5" thickBot="1" x14ac:dyDescent="0.3"/>
    <row r="2" spans="2:9" ht="21" x14ac:dyDescent="0.35">
      <c r="B2" s="208" t="s">
        <v>511</v>
      </c>
      <c r="C2" s="209"/>
      <c r="E2" s="210" t="s">
        <v>523</v>
      </c>
      <c r="F2" s="211"/>
      <c r="G2" s="211"/>
      <c r="H2" s="211"/>
      <c r="I2" s="212"/>
    </row>
    <row r="3" spans="2:9" x14ac:dyDescent="0.25">
      <c r="B3" s="12" t="s">
        <v>38</v>
      </c>
      <c r="C3" s="158">
        <f>Inputs!C9</f>
        <v>8</v>
      </c>
      <c r="E3" s="12" t="s">
        <v>515</v>
      </c>
      <c r="F3" s="30">
        <f>VLOOKUP($C$3,'Expected Claims'!$S$31:$AD$51,12,FALSE)</f>
        <v>180.40892897674101</v>
      </c>
      <c r="G3" s="30"/>
      <c r="H3" s="30"/>
      <c r="I3" s="14"/>
    </row>
    <row r="4" spans="2:9" x14ac:dyDescent="0.25">
      <c r="B4" s="12" t="s">
        <v>0</v>
      </c>
      <c r="C4" s="159" t="str">
        <f>Inputs!C10</f>
        <v>Burmese</v>
      </c>
      <c r="E4" s="12"/>
      <c r="F4" s="30"/>
      <c r="G4" s="30"/>
      <c r="H4" s="30"/>
      <c r="I4" s="14"/>
    </row>
    <row r="5" spans="2:9" x14ac:dyDescent="0.25">
      <c r="B5" s="12" t="s">
        <v>39</v>
      </c>
      <c r="C5" s="159" t="str">
        <f>Inputs!C11</f>
        <v>Male</v>
      </c>
      <c r="E5" s="12" t="s">
        <v>514</v>
      </c>
      <c r="F5" s="30">
        <f>MAX((MAX((F3-C11),0)*C12),0)</f>
        <v>64.327143181392813</v>
      </c>
      <c r="G5" s="30"/>
      <c r="H5" s="86" t="s">
        <v>639</v>
      </c>
      <c r="I5" s="163">
        <f>-PMT($C$20,12,F10)</f>
        <v>5.3477698644487983</v>
      </c>
    </row>
    <row r="6" spans="2:9" ht="18.75" x14ac:dyDescent="0.3">
      <c r="B6" s="12" t="s">
        <v>40</v>
      </c>
      <c r="C6" s="159" t="str">
        <f>Inputs!C12</f>
        <v>Outdoor</v>
      </c>
      <c r="E6" s="12"/>
      <c r="F6" s="30"/>
      <c r="G6" s="30"/>
      <c r="H6" s="164" t="s">
        <v>510</v>
      </c>
      <c r="I6" s="170">
        <f>($C$23+(I5*(1+$C$24)))/(1-$C$22)</f>
        <v>18.785621920165884</v>
      </c>
    </row>
    <row r="7" spans="2:9" ht="16.5" thickBot="1" x14ac:dyDescent="0.3">
      <c r="B7" s="166" t="s">
        <v>563</v>
      </c>
      <c r="C7" s="160" t="str">
        <f>Inputs!C13</f>
        <v>No</v>
      </c>
      <c r="E7" s="12"/>
      <c r="F7" s="30"/>
      <c r="G7" s="30"/>
      <c r="H7" s="30"/>
      <c r="I7" s="14"/>
    </row>
    <row r="8" spans="2:9" x14ac:dyDescent="0.25">
      <c r="E8" s="12"/>
      <c r="F8" s="30"/>
      <c r="G8" s="30"/>
      <c r="H8" s="30"/>
      <c r="I8" s="14"/>
    </row>
    <row r="9" spans="2:9" ht="16.5" thickBot="1" x14ac:dyDescent="0.3">
      <c r="E9" s="12" t="s">
        <v>516</v>
      </c>
      <c r="F9" s="30">
        <f>F5</f>
        <v>64.327143181392813</v>
      </c>
      <c r="G9" s="30"/>
      <c r="H9" s="30"/>
      <c r="I9" s="14"/>
    </row>
    <row r="10" spans="2:9" ht="16.5" thickBot="1" x14ac:dyDescent="0.3">
      <c r="B10" s="208" t="s">
        <v>512</v>
      </c>
      <c r="C10" s="209"/>
      <c r="E10" s="31" t="s">
        <v>517</v>
      </c>
      <c r="F10" s="36">
        <f>F9/(1+$C$19)</f>
        <v>63.99198318536412</v>
      </c>
      <c r="G10" s="36"/>
      <c r="H10" s="36"/>
      <c r="I10" s="33"/>
    </row>
    <row r="11" spans="2:9" ht="16.5" thickBot="1" x14ac:dyDescent="0.3">
      <c r="B11" s="12" t="s">
        <v>502</v>
      </c>
      <c r="C11" s="158">
        <f>Inputs!C16</f>
        <v>100</v>
      </c>
    </row>
    <row r="12" spans="2:9" ht="21" x14ac:dyDescent="0.35">
      <c r="B12" s="12" t="s">
        <v>503</v>
      </c>
      <c r="C12" s="184">
        <f>Inputs!C17</f>
        <v>0.8</v>
      </c>
      <c r="E12" s="210" t="s">
        <v>522</v>
      </c>
      <c r="F12" s="211"/>
      <c r="G12" s="211"/>
      <c r="H12" s="211"/>
      <c r="I12" s="212"/>
    </row>
    <row r="13" spans="2:9" ht="16.5" thickBot="1" x14ac:dyDescent="0.3">
      <c r="B13" s="31" t="s">
        <v>518</v>
      </c>
      <c r="C13" s="43"/>
      <c r="E13" s="12" t="s">
        <v>555</v>
      </c>
      <c r="F13" s="30">
        <f>IF(C7="No",VLOOKUP($C$3,'Expected Claims'!$S$6:$AD$26,12,FALSE),VLOOKUP(C3,'Expected Claims'!AF6:AQ26,12,FALSE))</f>
        <v>330.76059648983414</v>
      </c>
      <c r="G13" s="30"/>
      <c r="H13" s="30"/>
      <c r="I13" s="14"/>
    </row>
    <row r="14" spans="2:9" x14ac:dyDescent="0.25">
      <c r="E14" s="12"/>
      <c r="F14" s="30"/>
      <c r="G14" s="30"/>
      <c r="H14" s="30"/>
      <c r="I14" s="14"/>
    </row>
    <row r="15" spans="2:9" ht="16.5" thickBot="1" x14ac:dyDescent="0.3">
      <c r="E15" s="12" t="s">
        <v>514</v>
      </c>
      <c r="F15" s="30">
        <f>MAX((MAX((F13-C11),0)*C12),0)</f>
        <v>184.60847719186734</v>
      </c>
      <c r="G15" s="30"/>
      <c r="H15" s="86" t="s">
        <v>639</v>
      </c>
      <c r="I15" s="163">
        <f>-PMT($C$20,12,F20)</f>
        <v>15.347232944335392</v>
      </c>
    </row>
    <row r="16" spans="2:9" ht="18.75" x14ac:dyDescent="0.3">
      <c r="B16" s="202" t="s">
        <v>513</v>
      </c>
      <c r="C16" s="203"/>
      <c r="E16" s="12"/>
      <c r="F16" s="30"/>
      <c r="G16" s="30"/>
      <c r="H16" s="164" t="s">
        <v>510</v>
      </c>
      <c r="I16" s="170">
        <f>($C$23+(I15*(1+$C$24)))/(1-$C$22)</f>
        <v>35.213311265693861</v>
      </c>
    </row>
    <row r="17" spans="1:9" x14ac:dyDescent="0.25">
      <c r="B17" s="161" t="s">
        <v>507</v>
      </c>
      <c r="C17" s="14">
        <v>5000</v>
      </c>
      <c r="E17" s="12"/>
      <c r="F17" s="30"/>
      <c r="G17" s="30"/>
      <c r="H17" s="30"/>
      <c r="I17" s="14"/>
    </row>
    <row r="18" spans="1:9" x14ac:dyDescent="0.25">
      <c r="B18" s="12" t="s">
        <v>554</v>
      </c>
      <c r="C18" s="177">
        <f>Expenses!B31+Expenses!F20</f>
        <v>627580.5</v>
      </c>
      <c r="E18" s="12"/>
      <c r="F18" s="30"/>
      <c r="G18" s="30"/>
      <c r="H18" s="30"/>
      <c r="I18" s="14"/>
    </row>
    <row r="19" spans="1:9" x14ac:dyDescent="0.25">
      <c r="B19" s="12" t="s">
        <v>508</v>
      </c>
      <c r="C19" s="162">
        <f>(C20+1)^12-1</f>
        <v>5.2375310053736079E-3</v>
      </c>
      <c r="E19" s="12" t="s">
        <v>516</v>
      </c>
      <c r="F19" s="30">
        <f>F15</f>
        <v>184.60847719186734</v>
      </c>
      <c r="G19" s="30"/>
      <c r="H19" s="30"/>
      <c r="I19" s="14"/>
    </row>
    <row r="20" spans="1:9" ht="16.5" thickBot="1" x14ac:dyDescent="0.3">
      <c r="B20" s="12" t="s">
        <v>509</v>
      </c>
      <c r="C20" s="207">
        <v>4.3541667000000003E-4</v>
      </c>
      <c r="E20" s="31" t="s">
        <v>517</v>
      </c>
      <c r="F20" s="36">
        <f>F19/(1+$C$19)</f>
        <v>183.64662231346841</v>
      </c>
      <c r="G20" s="36"/>
      <c r="H20" s="36"/>
      <c r="I20" s="33"/>
    </row>
    <row r="21" spans="1:9" x14ac:dyDescent="0.25">
      <c r="B21" s="12"/>
      <c r="C21" s="14"/>
    </row>
    <row r="22" spans="1:9" ht="16.5" thickBot="1" x14ac:dyDescent="0.3">
      <c r="A22" s="30"/>
      <c r="B22" s="12" t="s">
        <v>628</v>
      </c>
      <c r="C22" s="156">
        <v>0.3</v>
      </c>
    </row>
    <row r="23" spans="1:9" ht="21" x14ac:dyDescent="0.35">
      <c r="A23" s="30"/>
      <c r="B23" s="206" t="s">
        <v>629</v>
      </c>
      <c r="C23" s="14">
        <v>7</v>
      </c>
      <c r="E23" s="210" t="s">
        <v>570</v>
      </c>
      <c r="F23" s="211"/>
      <c r="G23" s="211"/>
      <c r="H23" s="211"/>
      <c r="I23" s="212"/>
    </row>
    <row r="24" spans="1:9" ht="16.5" thickBot="1" x14ac:dyDescent="0.3">
      <c r="A24" s="30"/>
      <c r="B24" s="166" t="s">
        <v>630</v>
      </c>
      <c r="C24" s="80">
        <v>0.15</v>
      </c>
      <c r="E24" s="12" t="s">
        <v>515</v>
      </c>
      <c r="F24" s="30">
        <f>IF(C7="No",VLOOKUP($C$3,'Expected Claims'!$S$56:$AD$76,12,FALSE),VLOOKUP(C3,'Expected Claims'!$AF$56:$AQ$76,12,FALSE))</f>
        <v>359.89557508983415</v>
      </c>
      <c r="G24" s="30"/>
      <c r="H24" s="30"/>
      <c r="I24" s="14"/>
    </row>
    <row r="25" spans="1:9" x14ac:dyDescent="0.25">
      <c r="E25" s="12"/>
      <c r="F25" s="30"/>
      <c r="G25" s="30"/>
      <c r="H25" s="30"/>
      <c r="I25" s="14"/>
    </row>
    <row r="26" spans="1:9" x14ac:dyDescent="0.25">
      <c r="E26" s="12" t="s">
        <v>514</v>
      </c>
      <c r="F26" s="30">
        <f>MAX((MAX((F24-C11),0)*C12),0)</f>
        <v>207.91646007186733</v>
      </c>
      <c r="G26" s="30"/>
      <c r="H26" s="86" t="s">
        <v>639</v>
      </c>
      <c r="I26" s="163">
        <f>-PMT($C$20,12,F31)</f>
        <v>17.284917757964848</v>
      </c>
    </row>
    <row r="27" spans="1:9" ht="18.75" x14ac:dyDescent="0.3">
      <c r="E27" s="12"/>
      <c r="F27" s="30"/>
      <c r="G27" s="30"/>
      <c r="H27" s="164" t="s">
        <v>510</v>
      </c>
      <c r="I27" s="170">
        <f>($C$23+(I26*(1+$C$24)))/(1-$C$22)</f>
        <v>38.396650602370826</v>
      </c>
    </row>
    <row r="28" spans="1:9" x14ac:dyDescent="0.25">
      <c r="E28" s="12"/>
      <c r="F28" s="30"/>
      <c r="G28" s="30"/>
      <c r="H28" s="30"/>
      <c r="I28" s="14"/>
    </row>
    <row r="29" spans="1:9" x14ac:dyDescent="0.25">
      <c r="E29" s="12"/>
      <c r="F29" s="30"/>
      <c r="G29" s="30"/>
      <c r="H29" s="30"/>
      <c r="I29" s="14"/>
    </row>
    <row r="30" spans="1:9" x14ac:dyDescent="0.25">
      <c r="E30" s="12" t="s">
        <v>516</v>
      </c>
      <c r="F30" s="30">
        <f>F26</f>
        <v>207.91646007186733</v>
      </c>
      <c r="G30" s="30"/>
      <c r="H30" s="30"/>
      <c r="I30" s="14"/>
    </row>
    <row r="31" spans="1:9" ht="16.5" thickBot="1" x14ac:dyDescent="0.3">
      <c r="E31" s="31" t="s">
        <v>517</v>
      </c>
      <c r="F31" s="36">
        <f>F30/(1+$C$19)</f>
        <v>206.83316495746305</v>
      </c>
      <c r="G31" s="36"/>
      <c r="H31" s="36"/>
      <c r="I31" s="33"/>
    </row>
  </sheetData>
  <mergeCells count="5">
    <mergeCell ref="B2:C2"/>
    <mergeCell ref="B10:C10"/>
    <mergeCell ref="E12:I12"/>
    <mergeCell ref="E2:I2"/>
    <mergeCell ref="E23:I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47"/>
  <sheetViews>
    <sheetView workbookViewId="0">
      <selection activeCell="H12" sqref="H12"/>
    </sheetView>
  </sheetViews>
  <sheetFormatPr defaultColWidth="11" defaultRowHeight="15.75" x14ac:dyDescent="0.25"/>
  <cols>
    <col min="1" max="1" width="18.875" style="111" bestFit="1" customWidth="1"/>
    <col min="2" max="2" width="26.875" bestFit="1" customWidth="1"/>
    <col min="3" max="3" width="9.375" bestFit="1" customWidth="1"/>
    <col min="5" max="5" width="14.375" bestFit="1" customWidth="1"/>
    <col min="6" max="6" width="14.125" bestFit="1" customWidth="1"/>
    <col min="9" max="9" width="12.625" customWidth="1"/>
  </cols>
  <sheetData>
    <row r="1" spans="1:10" ht="16.5" thickBot="1" x14ac:dyDescent="0.3">
      <c r="G1" t="s">
        <v>416</v>
      </c>
    </row>
    <row r="2" spans="1:10" ht="19.5" thickBot="1" x14ac:dyDescent="0.35">
      <c r="A2" s="232" t="s">
        <v>0</v>
      </c>
      <c r="B2" s="1" t="s">
        <v>504</v>
      </c>
      <c r="C2" s="1" t="s">
        <v>423</v>
      </c>
      <c r="E2" s="154" t="s">
        <v>633</v>
      </c>
      <c r="F2" s="11" t="s">
        <v>474</v>
      </c>
      <c r="G2" s="30"/>
    </row>
    <row r="3" spans="1:10" ht="19.5" thickBot="1" x14ac:dyDescent="0.35">
      <c r="A3" s="233" t="s">
        <v>625</v>
      </c>
      <c r="B3" s="164"/>
      <c r="C3" s="192">
        <f>AVERAGE(C4:C47)</f>
        <v>15.704545454545455</v>
      </c>
      <c r="D3" s="192"/>
      <c r="E3" s="31"/>
      <c r="F3" s="33" t="s">
        <v>475</v>
      </c>
      <c r="G3" s="30"/>
      <c r="I3" s="236"/>
      <c r="J3" s="236"/>
    </row>
    <row r="4" spans="1:10" ht="16.5" thickBot="1" x14ac:dyDescent="0.3">
      <c r="A4" s="111" t="s">
        <v>1</v>
      </c>
      <c r="B4" s="153" t="s">
        <v>484</v>
      </c>
      <c r="C4">
        <f>(MID(B4, 2, 2)+ MID(B4, 5,2))/2</f>
        <v>13.5</v>
      </c>
      <c r="E4" s="30"/>
      <c r="F4" s="30"/>
      <c r="G4" s="30"/>
    </row>
    <row r="5" spans="1:10" x14ac:dyDescent="0.25">
      <c r="A5" s="111" t="s">
        <v>2</v>
      </c>
      <c r="B5" t="s">
        <v>485</v>
      </c>
      <c r="C5">
        <f t="shared" ref="C5:C47" si="0">(MID(B5, 2, 2)+ MID(B5, 5,2))/2</f>
        <v>17.5</v>
      </c>
      <c r="E5" s="154" t="s">
        <v>634</v>
      </c>
      <c r="F5" s="11" t="s">
        <v>582</v>
      </c>
    </row>
    <row r="6" spans="1:10" ht="16.5" thickBot="1" x14ac:dyDescent="0.3">
      <c r="A6" s="111" t="s">
        <v>3</v>
      </c>
      <c r="B6" t="s">
        <v>486</v>
      </c>
      <c r="C6">
        <f t="shared" si="0"/>
        <v>16.5</v>
      </c>
      <c r="E6" s="31"/>
      <c r="F6" s="33" t="s">
        <v>41</v>
      </c>
      <c r="G6" s="30"/>
    </row>
    <row r="7" spans="1:10" ht="16.5" thickBot="1" x14ac:dyDescent="0.3">
      <c r="A7" s="111" t="s">
        <v>4</v>
      </c>
      <c r="B7" t="s">
        <v>485</v>
      </c>
      <c r="C7">
        <f t="shared" si="0"/>
        <v>17.5</v>
      </c>
      <c r="E7" s="30"/>
      <c r="F7" s="30"/>
      <c r="G7" s="30"/>
    </row>
    <row r="8" spans="1:10" x14ac:dyDescent="0.25">
      <c r="A8" s="111" t="s">
        <v>5</v>
      </c>
      <c r="B8" t="s">
        <v>485</v>
      </c>
      <c r="C8">
        <f t="shared" si="0"/>
        <v>17.5</v>
      </c>
      <c r="E8" s="154" t="s">
        <v>502</v>
      </c>
      <c r="F8" s="11">
        <v>50</v>
      </c>
      <c r="G8" s="30"/>
    </row>
    <row r="9" spans="1:10" x14ac:dyDescent="0.25">
      <c r="A9" s="111" t="s">
        <v>6</v>
      </c>
      <c r="B9" t="s">
        <v>485</v>
      </c>
      <c r="C9">
        <f t="shared" si="0"/>
        <v>17.5</v>
      </c>
      <c r="E9" s="12"/>
      <c r="F9" s="14">
        <v>100</v>
      </c>
    </row>
    <row r="10" spans="1:10" ht="16.5" thickBot="1" x14ac:dyDescent="0.3">
      <c r="A10" s="111" t="s">
        <v>487</v>
      </c>
      <c r="B10" t="s">
        <v>484</v>
      </c>
      <c r="C10">
        <f t="shared" si="0"/>
        <v>13.5</v>
      </c>
      <c r="E10" s="31"/>
      <c r="F10" s="33">
        <v>250</v>
      </c>
    </row>
    <row r="11" spans="1:10" ht="16.5" thickBot="1" x14ac:dyDescent="0.3">
      <c r="A11" s="111" t="s">
        <v>7</v>
      </c>
      <c r="B11" t="s">
        <v>485</v>
      </c>
      <c r="C11">
        <f t="shared" si="0"/>
        <v>17.5</v>
      </c>
    </row>
    <row r="12" spans="1:10" x14ac:dyDescent="0.25">
      <c r="A12" s="111" t="s">
        <v>8</v>
      </c>
      <c r="B12" t="s">
        <v>484</v>
      </c>
      <c r="C12">
        <f t="shared" si="0"/>
        <v>13.5</v>
      </c>
      <c r="E12" s="154" t="s">
        <v>503</v>
      </c>
      <c r="F12" s="155">
        <v>0.9</v>
      </c>
    </row>
    <row r="13" spans="1:10" x14ac:dyDescent="0.25">
      <c r="A13" s="111" t="s">
        <v>9</v>
      </c>
      <c r="B13" t="s">
        <v>485</v>
      </c>
      <c r="C13">
        <f t="shared" si="0"/>
        <v>17.5</v>
      </c>
      <c r="E13" s="12"/>
      <c r="F13" s="156">
        <v>0.8</v>
      </c>
    </row>
    <row r="14" spans="1:10" ht="16.5" thickBot="1" x14ac:dyDescent="0.3">
      <c r="A14" s="111" t="s">
        <v>10</v>
      </c>
      <c r="B14" t="s">
        <v>485</v>
      </c>
      <c r="C14">
        <f t="shared" si="0"/>
        <v>17.5</v>
      </c>
      <c r="E14" s="31"/>
      <c r="F14" s="157">
        <v>0.7</v>
      </c>
    </row>
    <row r="15" spans="1:10" ht="16.5" thickBot="1" x14ac:dyDescent="0.3">
      <c r="A15" s="111" t="s">
        <v>11</v>
      </c>
      <c r="B15" t="s">
        <v>484</v>
      </c>
      <c r="C15">
        <f t="shared" si="0"/>
        <v>13.5</v>
      </c>
    </row>
    <row r="16" spans="1:10" x14ac:dyDescent="0.25">
      <c r="A16" s="111" t="s">
        <v>12</v>
      </c>
      <c r="B16" t="s">
        <v>484</v>
      </c>
      <c r="C16">
        <f t="shared" si="0"/>
        <v>13.5</v>
      </c>
      <c r="E16" s="185" t="s">
        <v>563</v>
      </c>
      <c r="F16" s="186"/>
    </row>
    <row r="17" spans="1:6" x14ac:dyDescent="0.25">
      <c r="A17" s="111" t="s">
        <v>13</v>
      </c>
      <c r="B17" t="s">
        <v>485</v>
      </c>
      <c r="C17">
        <f t="shared" si="0"/>
        <v>17.5</v>
      </c>
      <c r="E17" s="12"/>
      <c r="F17" s="14" t="s">
        <v>561</v>
      </c>
    </row>
    <row r="18" spans="1:6" ht="16.5" thickBot="1" x14ac:dyDescent="0.3">
      <c r="A18" s="111" t="s">
        <v>14</v>
      </c>
      <c r="B18" t="s">
        <v>485</v>
      </c>
      <c r="C18">
        <f t="shared" si="0"/>
        <v>17.5</v>
      </c>
      <c r="E18" s="31"/>
      <c r="F18" s="33" t="s">
        <v>562</v>
      </c>
    </row>
    <row r="19" spans="1:6" x14ac:dyDescent="0.25">
      <c r="A19" s="111" t="s">
        <v>488</v>
      </c>
      <c r="B19" t="s">
        <v>489</v>
      </c>
      <c r="C19">
        <f t="shared" si="0"/>
        <v>15</v>
      </c>
    </row>
    <row r="20" spans="1:6" x14ac:dyDescent="0.25">
      <c r="A20" s="111" t="s">
        <v>15</v>
      </c>
      <c r="B20" t="s">
        <v>490</v>
      </c>
      <c r="C20">
        <f t="shared" si="0"/>
        <v>19</v>
      </c>
    </row>
    <row r="21" spans="1:6" x14ac:dyDescent="0.25">
      <c r="A21" s="111" t="s">
        <v>16</v>
      </c>
      <c r="B21" t="s">
        <v>484</v>
      </c>
      <c r="C21">
        <f t="shared" si="0"/>
        <v>13.5</v>
      </c>
    </row>
    <row r="22" spans="1:6" x14ac:dyDescent="0.25">
      <c r="A22" s="111" t="s">
        <v>491</v>
      </c>
      <c r="B22" t="s">
        <v>484</v>
      </c>
      <c r="C22">
        <f t="shared" si="0"/>
        <v>13.5</v>
      </c>
    </row>
    <row r="23" spans="1:6" x14ac:dyDescent="0.25">
      <c r="A23" s="111" t="s">
        <v>17</v>
      </c>
      <c r="B23" t="s">
        <v>485</v>
      </c>
      <c r="C23">
        <f t="shared" si="0"/>
        <v>17.5</v>
      </c>
    </row>
    <row r="24" spans="1:6" x14ac:dyDescent="0.25">
      <c r="A24" s="111" t="s">
        <v>492</v>
      </c>
      <c r="B24" t="s">
        <v>486</v>
      </c>
      <c r="C24">
        <f t="shared" si="0"/>
        <v>16.5</v>
      </c>
    </row>
    <row r="25" spans="1:6" x14ac:dyDescent="0.25">
      <c r="A25" s="111" t="s">
        <v>18</v>
      </c>
      <c r="B25" t="s">
        <v>486</v>
      </c>
      <c r="C25">
        <f t="shared" si="0"/>
        <v>16.5</v>
      </c>
    </row>
    <row r="26" spans="1:6" x14ac:dyDescent="0.25">
      <c r="A26" s="111" t="s">
        <v>493</v>
      </c>
      <c r="B26" t="s">
        <v>484</v>
      </c>
      <c r="C26">
        <f t="shared" si="0"/>
        <v>13.5</v>
      </c>
    </row>
    <row r="27" spans="1:6" x14ac:dyDescent="0.25">
      <c r="A27" s="111" t="s">
        <v>19</v>
      </c>
      <c r="B27" t="s">
        <v>494</v>
      </c>
      <c r="C27">
        <f>(MID(B27, 2, 1)+ MID(B27, 4,2))/2</f>
        <v>12</v>
      </c>
    </row>
    <row r="28" spans="1:6" x14ac:dyDescent="0.25">
      <c r="A28" s="111" t="s">
        <v>495</v>
      </c>
      <c r="B28" t="s">
        <v>484</v>
      </c>
      <c r="C28">
        <f t="shared" si="0"/>
        <v>13.5</v>
      </c>
    </row>
    <row r="29" spans="1:6" x14ac:dyDescent="0.25">
      <c r="A29" s="111" t="s">
        <v>20</v>
      </c>
      <c r="B29" t="s">
        <v>484</v>
      </c>
      <c r="C29">
        <f t="shared" si="0"/>
        <v>13.5</v>
      </c>
    </row>
    <row r="30" spans="1:6" x14ac:dyDescent="0.25">
      <c r="A30" s="111" t="s">
        <v>21</v>
      </c>
      <c r="B30" t="s">
        <v>486</v>
      </c>
      <c r="C30">
        <f t="shared" si="0"/>
        <v>16.5</v>
      </c>
    </row>
    <row r="31" spans="1:6" x14ac:dyDescent="0.25">
      <c r="A31" s="111" t="s">
        <v>22</v>
      </c>
      <c r="B31" t="s">
        <v>485</v>
      </c>
      <c r="C31">
        <f t="shared" si="0"/>
        <v>17.5</v>
      </c>
    </row>
    <row r="32" spans="1:6" x14ac:dyDescent="0.25">
      <c r="A32" s="111" t="s">
        <v>23</v>
      </c>
      <c r="B32" t="s">
        <v>486</v>
      </c>
      <c r="C32">
        <f t="shared" si="0"/>
        <v>16.5</v>
      </c>
    </row>
    <row r="33" spans="1:3" x14ac:dyDescent="0.25">
      <c r="A33" s="111" t="s">
        <v>24</v>
      </c>
      <c r="B33" t="s">
        <v>485</v>
      </c>
      <c r="C33">
        <f t="shared" si="0"/>
        <v>17.5</v>
      </c>
    </row>
    <row r="34" spans="1:3" x14ac:dyDescent="0.25">
      <c r="A34" s="234" t="s">
        <v>25</v>
      </c>
      <c r="B34" t="s">
        <v>485</v>
      </c>
      <c r="C34">
        <f t="shared" si="0"/>
        <v>17.5</v>
      </c>
    </row>
    <row r="35" spans="1:3" x14ac:dyDescent="0.25">
      <c r="A35" s="235" t="s">
        <v>496</v>
      </c>
      <c r="B35" t="s">
        <v>486</v>
      </c>
      <c r="C35">
        <f t="shared" si="0"/>
        <v>16.5</v>
      </c>
    </row>
    <row r="36" spans="1:3" x14ac:dyDescent="0.25">
      <c r="A36" s="235" t="s">
        <v>26</v>
      </c>
      <c r="B36" t="s">
        <v>497</v>
      </c>
      <c r="C36">
        <f t="shared" si="0"/>
        <v>20</v>
      </c>
    </row>
    <row r="37" spans="1:3" x14ac:dyDescent="0.25">
      <c r="A37" s="235" t="s">
        <v>27</v>
      </c>
      <c r="B37" t="s">
        <v>484</v>
      </c>
      <c r="C37">
        <f t="shared" si="0"/>
        <v>13.5</v>
      </c>
    </row>
    <row r="38" spans="1:3" x14ac:dyDescent="0.25">
      <c r="A38" s="235" t="s">
        <v>28</v>
      </c>
      <c r="B38" t="s">
        <v>498</v>
      </c>
      <c r="C38">
        <f t="shared" si="0"/>
        <v>15</v>
      </c>
    </row>
    <row r="39" spans="1:3" x14ac:dyDescent="0.25">
      <c r="A39" s="235" t="s">
        <v>29</v>
      </c>
      <c r="B39" t="s">
        <v>499</v>
      </c>
      <c r="C39">
        <f t="shared" si="0"/>
        <v>12.5</v>
      </c>
    </row>
    <row r="40" spans="1:3" x14ac:dyDescent="0.25">
      <c r="A40" s="235" t="s">
        <v>30</v>
      </c>
      <c r="B40" t="s">
        <v>484</v>
      </c>
      <c r="C40">
        <f t="shared" si="0"/>
        <v>13.5</v>
      </c>
    </row>
    <row r="41" spans="1:3" x14ac:dyDescent="0.25">
      <c r="A41" s="235" t="s">
        <v>31</v>
      </c>
      <c r="B41" t="s">
        <v>484</v>
      </c>
      <c r="C41">
        <f t="shared" si="0"/>
        <v>13.5</v>
      </c>
    </row>
    <row r="42" spans="1:3" x14ac:dyDescent="0.25">
      <c r="A42" s="235" t="s">
        <v>32</v>
      </c>
      <c r="B42" t="s">
        <v>494</v>
      </c>
      <c r="C42">
        <f>(MID(B42, 2, 1)+ MID(B42, 4,2))/2</f>
        <v>12</v>
      </c>
    </row>
    <row r="43" spans="1:3" x14ac:dyDescent="0.25">
      <c r="A43" s="235" t="s">
        <v>33</v>
      </c>
      <c r="B43" t="s">
        <v>500</v>
      </c>
      <c r="C43">
        <f t="shared" si="0"/>
        <v>15</v>
      </c>
    </row>
    <row r="44" spans="1:3" x14ac:dyDescent="0.25">
      <c r="A44" s="235" t="s">
        <v>34</v>
      </c>
      <c r="B44" t="s">
        <v>485</v>
      </c>
      <c r="C44">
        <f t="shared" si="0"/>
        <v>17.5</v>
      </c>
    </row>
    <row r="45" spans="1:3" x14ac:dyDescent="0.25">
      <c r="A45" s="235" t="s">
        <v>35</v>
      </c>
      <c r="B45" t="s">
        <v>485</v>
      </c>
      <c r="C45">
        <f t="shared" si="0"/>
        <v>17.5</v>
      </c>
    </row>
    <row r="46" spans="1:3" x14ac:dyDescent="0.25">
      <c r="A46" s="235" t="s">
        <v>36</v>
      </c>
      <c r="B46" t="s">
        <v>485</v>
      </c>
      <c r="C46">
        <f t="shared" si="0"/>
        <v>17.5</v>
      </c>
    </row>
    <row r="47" spans="1:3" x14ac:dyDescent="0.25">
      <c r="A47" s="235" t="s">
        <v>37</v>
      </c>
      <c r="B47" t="s">
        <v>501</v>
      </c>
      <c r="C47">
        <f t="shared" si="0"/>
        <v>16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43"/>
  <sheetViews>
    <sheetView workbookViewId="0">
      <selection activeCell="J26" sqref="J26"/>
    </sheetView>
  </sheetViews>
  <sheetFormatPr defaultColWidth="11" defaultRowHeight="15.75" x14ac:dyDescent="0.25"/>
  <cols>
    <col min="1" max="1" width="8" bestFit="1" customWidth="1"/>
    <col min="2" max="2" width="13.875" customWidth="1"/>
    <col min="3" max="3" width="11.375" customWidth="1"/>
    <col min="4" max="4" width="11.5" customWidth="1"/>
    <col min="8" max="8" width="12.625" customWidth="1"/>
    <col min="12" max="12" width="14" customWidth="1"/>
    <col min="14" max="14" width="13" customWidth="1"/>
    <col min="16" max="16" width="12.5" bestFit="1" customWidth="1"/>
  </cols>
  <sheetData>
    <row r="1" spans="1:16" s="111" customFormat="1" ht="47.25" x14ac:dyDescent="0.25">
      <c r="A1" s="198" t="s">
        <v>483</v>
      </c>
      <c r="B1" s="199" t="s">
        <v>626</v>
      </c>
      <c r="C1" s="199" t="s">
        <v>627</v>
      </c>
      <c r="D1" s="200" t="s">
        <v>86</v>
      </c>
      <c r="E1" s="122" t="s">
        <v>82</v>
      </c>
      <c r="F1" s="122" t="s">
        <v>83</v>
      </c>
      <c r="G1" s="122" t="s">
        <v>90</v>
      </c>
      <c r="H1" s="122" t="s">
        <v>92</v>
      </c>
      <c r="I1" s="122" t="s">
        <v>94</v>
      </c>
      <c r="J1" s="122" t="s">
        <v>476</v>
      </c>
      <c r="K1" s="122" t="s">
        <v>97</v>
      </c>
      <c r="L1" s="122" t="s">
        <v>100</v>
      </c>
      <c r="M1" s="122" t="s">
        <v>101</v>
      </c>
      <c r="N1" s="122" t="s">
        <v>102</v>
      </c>
      <c r="O1" s="122" t="s">
        <v>103</v>
      </c>
      <c r="P1" s="181" t="s">
        <v>99</v>
      </c>
    </row>
    <row r="2" spans="1:16" x14ac:dyDescent="0.25">
      <c r="A2" s="119">
        <v>0</v>
      </c>
      <c r="B2" s="193">
        <f>1.1-(0.2/(15.7+4))*A2</f>
        <v>1.1000000000000001</v>
      </c>
      <c r="C2" s="193">
        <f>0.9+(0.2/(15.7+4))*A2</f>
        <v>0.9</v>
      </c>
      <c r="D2" s="195">
        <f>IF(Inputs!$C$12="Outdoor",'Pet Stats'!$C$48^Incidence!$B$27,'Pet Stats'!$C$48^Incidence!$B$26)</f>
        <v>0.91203625650976983</v>
      </c>
      <c r="E2" s="189">
        <f>'Pet Stats'!$C$49</f>
        <v>0.755</v>
      </c>
      <c r="F2" s="189">
        <f>'Pet Stats'!$C$50</f>
        <v>0.311</v>
      </c>
      <c r="G2" s="189">
        <f>IF(Inputs!$C$12="Outdoor",'Pet Stats'!$C$51^Incidence!$B$27,'Pet Stats'!$C$51^Incidence!$B$26)*C2</f>
        <v>0.40868634477134297</v>
      </c>
      <c r="H2" s="189">
        <f>IF(Inputs!$C$12="outdoor",2*'Pet Stats'!$C$52,'Pet Stats'!$C$52)</f>
        <v>0.38</v>
      </c>
      <c r="I2" s="189">
        <f>IF(Inputs!$C$12="Outdoor",'Pet Stats'!$C$53^Incidence!$B$27,'Pet Stats'!$C$53^Incidence!$B$26)*C2</f>
        <v>0.25633322492047178</v>
      </c>
      <c r="J2" s="189">
        <f>'Pet Stats'!$C$54*B2</f>
        <v>0.14410000000000001</v>
      </c>
      <c r="K2" s="189">
        <f>'Pet Stats'!$C$55*B2</f>
        <v>0.11110000000000002</v>
      </c>
      <c r="L2" s="189">
        <f>'Pet Stats'!$C$58</f>
        <v>8.5999999999999993E-2</v>
      </c>
      <c r="M2" s="189">
        <f>'Pet Stats'!$C$59*C2</f>
        <v>6.4799999999999996E-2</v>
      </c>
      <c r="N2" s="189">
        <f>'Pet Stats'!$C$60*C2</f>
        <v>4.9500000000000002E-2</v>
      </c>
      <c r="O2" s="189">
        <f>'Pet Stats'!$C$61*C2</f>
        <v>4.6800000000000001E-2</v>
      </c>
      <c r="P2" s="196">
        <f>'Pet Stats'!$C$57</f>
        <v>9.0999999999999998E-2</v>
      </c>
    </row>
    <row r="3" spans="1:16" x14ac:dyDescent="0.25">
      <c r="A3" s="119">
        <v>1</v>
      </c>
      <c r="B3" s="193">
        <f t="shared" ref="B3:B22" si="0">1.1-(0.2/(15.7+4))*A3</f>
        <v>1.0898477157360407</v>
      </c>
      <c r="C3" s="193">
        <f t="shared" ref="C3:C22" si="1">0.9+(0.2/(15.7+4))*A3</f>
        <v>0.91015228426395944</v>
      </c>
      <c r="D3" s="195">
        <f>IF(Inputs!$C$12="Outdoor",'Pet Stats'!$C$48^Incidence!$B$27,'Pet Stats'!$C$48^Incidence!$B$26)</f>
        <v>0.91203625650976983</v>
      </c>
      <c r="E3" s="189">
        <f>'Pet Stats'!$C$49</f>
        <v>0.755</v>
      </c>
      <c r="F3" s="189">
        <f>'Pet Stats'!$C$50</f>
        <v>0.311</v>
      </c>
      <c r="G3" s="189">
        <f>IF(Inputs!$C$12="Outdoor",'Pet Stats'!$C$51^Incidence!$B$27,'Pet Stats'!$C$51^Incidence!$B$26)*C3</f>
        <v>0.41329645582347319</v>
      </c>
      <c r="H3" s="189">
        <f>IF(Inputs!$C$12="outdoor",2*'Pet Stats'!$C$52,'Pet Stats'!$C$52)</f>
        <v>0.38</v>
      </c>
      <c r="I3" s="189">
        <f>IF(Inputs!$C$12="Outdoor",'Pet Stats'!$C$53^Incidence!$B$27,'Pet Stats'!$C$53^Incidence!$B$26)*C3</f>
        <v>0.2592247446601274</v>
      </c>
      <c r="J3" s="189">
        <f>'Pet Stats'!$C$54*B3</f>
        <v>0.14277005076142132</v>
      </c>
      <c r="K3" s="189">
        <f>'Pet Stats'!$C$55*B3</f>
        <v>0.11007461928934012</v>
      </c>
      <c r="L3" s="189">
        <f>'Pet Stats'!$C$58</f>
        <v>8.5999999999999993E-2</v>
      </c>
      <c r="M3" s="189">
        <f>'Pet Stats'!$C$59*C3</f>
        <v>6.5530964467005071E-2</v>
      </c>
      <c r="N3" s="189">
        <f>'Pet Stats'!$C$60*C3</f>
        <v>5.0058375634517767E-2</v>
      </c>
      <c r="O3" s="189">
        <f>'Pet Stats'!$C$61*C3</f>
        <v>4.7327918781725889E-2</v>
      </c>
      <c r="P3" s="196">
        <f>'Pet Stats'!$C$57</f>
        <v>9.0999999999999998E-2</v>
      </c>
    </row>
    <row r="4" spans="1:16" x14ac:dyDescent="0.25">
      <c r="A4" s="119">
        <v>2</v>
      </c>
      <c r="B4" s="193">
        <f t="shared" si="0"/>
        <v>1.0796954314720812</v>
      </c>
      <c r="C4" s="193">
        <f t="shared" si="1"/>
        <v>0.92030456852791875</v>
      </c>
      <c r="D4" s="195">
        <f>IF(Inputs!$C$12="Outdoor",'Pet Stats'!$C$48^Incidence!$B$27,'Pet Stats'!$C$48^Incidence!$B$26)</f>
        <v>0.91203625650976983</v>
      </c>
      <c r="E4" s="189">
        <f>'Pet Stats'!$C$49</f>
        <v>0.755</v>
      </c>
      <c r="F4" s="189">
        <f>'Pet Stats'!$C$50</f>
        <v>0.311</v>
      </c>
      <c r="G4" s="189">
        <f>IF(Inputs!$C$12="Outdoor",'Pet Stats'!$C$51^Incidence!$B$27,'Pet Stats'!$C$51^Incidence!$B$26)*C4</f>
        <v>0.41790656687560335</v>
      </c>
      <c r="H4" s="189">
        <f>IF(Inputs!$C$12="outdoor",2*'Pet Stats'!$C$52,'Pet Stats'!$C$52)</f>
        <v>0.38</v>
      </c>
      <c r="I4" s="189">
        <f>IF(Inputs!$C$12="Outdoor",'Pet Stats'!$C$53^Incidence!$B$27,'Pet Stats'!$C$53^Incidence!$B$26)*C4</f>
        <v>0.26211626439978303</v>
      </c>
      <c r="J4" s="189">
        <f>'Pet Stats'!$C$54*B4</f>
        <v>0.14144010152284264</v>
      </c>
      <c r="K4" s="189">
        <f>'Pet Stats'!$C$55*B4</f>
        <v>0.10904923857868021</v>
      </c>
      <c r="L4" s="189">
        <f>'Pet Stats'!$C$58</f>
        <v>8.5999999999999993E-2</v>
      </c>
      <c r="M4" s="189">
        <f>'Pet Stats'!$C$59*C4</f>
        <v>6.6261928934010145E-2</v>
      </c>
      <c r="N4" s="189">
        <f>'Pet Stats'!$C$60*C4</f>
        <v>5.0616751269035531E-2</v>
      </c>
      <c r="O4" s="189">
        <f>'Pet Stats'!$C$61*C4</f>
        <v>4.785583756345177E-2</v>
      </c>
      <c r="P4" s="196">
        <f>'Pet Stats'!$C$57</f>
        <v>9.0999999999999998E-2</v>
      </c>
    </row>
    <row r="5" spans="1:16" x14ac:dyDescent="0.25">
      <c r="A5" s="119">
        <v>3</v>
      </c>
      <c r="B5" s="193">
        <f t="shared" si="0"/>
        <v>1.0695431472081218</v>
      </c>
      <c r="C5" s="193">
        <f t="shared" si="1"/>
        <v>0.93045685279187818</v>
      </c>
      <c r="D5" s="195">
        <f>IF(Inputs!$C$12="Outdoor",'Pet Stats'!$C$48^Incidence!$B$27,'Pet Stats'!$C$48^Incidence!$B$26)</f>
        <v>0.91203625650976983</v>
      </c>
      <c r="E5" s="189">
        <f>'Pet Stats'!$C$49</f>
        <v>0.755</v>
      </c>
      <c r="F5" s="189">
        <f>'Pet Stats'!$C$50</f>
        <v>0.311</v>
      </c>
      <c r="G5" s="189">
        <f>IF(Inputs!$C$12="Outdoor",'Pet Stats'!$C$51^Incidence!$B$27,'Pet Stats'!$C$51^Incidence!$B$26)*C5</f>
        <v>0.42251667792773356</v>
      </c>
      <c r="H5" s="189">
        <f>IF(Inputs!$C$12="outdoor",2*'Pet Stats'!$C$52,'Pet Stats'!$C$52)</f>
        <v>0.38</v>
      </c>
      <c r="I5" s="189">
        <f>IF(Inputs!$C$12="Outdoor",'Pet Stats'!$C$53^Incidence!$B$27,'Pet Stats'!$C$53^Incidence!$B$26)*C5</f>
        <v>0.26500778413943865</v>
      </c>
      <c r="J5" s="189">
        <f>'Pet Stats'!$C$54*B5</f>
        <v>0.14011015228426396</v>
      </c>
      <c r="K5" s="189">
        <f>'Pet Stats'!$C$55*B5</f>
        <v>0.10802385786802031</v>
      </c>
      <c r="L5" s="189">
        <f>'Pet Stats'!$C$58</f>
        <v>8.5999999999999993E-2</v>
      </c>
      <c r="M5" s="189">
        <f>'Pet Stats'!$C$59*C5</f>
        <v>6.6992893401015219E-2</v>
      </c>
      <c r="N5" s="189">
        <f>'Pet Stats'!$C$60*C5</f>
        <v>5.1175126903553303E-2</v>
      </c>
      <c r="O5" s="189">
        <f>'Pet Stats'!$C$61*C5</f>
        <v>4.8383756345177664E-2</v>
      </c>
      <c r="P5" s="196">
        <f>'Pet Stats'!$C$57</f>
        <v>9.0999999999999998E-2</v>
      </c>
    </row>
    <row r="6" spans="1:16" x14ac:dyDescent="0.25">
      <c r="A6" s="119">
        <v>4</v>
      </c>
      <c r="B6" s="193">
        <f t="shared" si="0"/>
        <v>1.0593908629441626</v>
      </c>
      <c r="C6" s="193">
        <f t="shared" si="1"/>
        <v>0.9406091370558376</v>
      </c>
      <c r="D6" s="195">
        <f>IF(Inputs!$C$12="Outdoor",'Pet Stats'!$C$48^Incidence!$B$27,'Pet Stats'!$C$48^Incidence!$B$26)</f>
        <v>0.91203625650976983</v>
      </c>
      <c r="E6" s="189">
        <f>'Pet Stats'!$C$49</f>
        <v>0.755</v>
      </c>
      <c r="F6" s="189">
        <f>'Pet Stats'!$C$50</f>
        <v>0.311</v>
      </c>
      <c r="G6" s="189">
        <f>IF(Inputs!$C$12="Outdoor",'Pet Stats'!$C$51^Incidence!$B$27,'Pet Stats'!$C$51^Incidence!$B$26)*C6</f>
        <v>0.42712678897986378</v>
      </c>
      <c r="H6" s="189">
        <f>IF(Inputs!$C$12="outdoor",2*'Pet Stats'!$C$52,'Pet Stats'!$C$52)</f>
        <v>0.38</v>
      </c>
      <c r="I6" s="189">
        <f>IF(Inputs!$C$12="Outdoor",'Pet Stats'!$C$53^Incidence!$B$27,'Pet Stats'!$C$53^Incidence!$B$26)*C6</f>
        <v>0.26789930387909433</v>
      </c>
      <c r="J6" s="189">
        <f>'Pet Stats'!$C$54*B6</f>
        <v>0.13878020304568531</v>
      </c>
      <c r="K6" s="189">
        <f>'Pet Stats'!$C$55*B6</f>
        <v>0.10699847715736044</v>
      </c>
      <c r="L6" s="189">
        <f>'Pet Stats'!$C$58</f>
        <v>8.5999999999999993E-2</v>
      </c>
      <c r="M6" s="189">
        <f>'Pet Stats'!$C$59*C6</f>
        <v>6.7723857868020307E-2</v>
      </c>
      <c r="N6" s="189">
        <f>'Pet Stats'!$C$60*C6</f>
        <v>5.1733502538071068E-2</v>
      </c>
      <c r="O6" s="189">
        <f>'Pet Stats'!$C$61*C6</f>
        <v>4.8911675126903552E-2</v>
      </c>
      <c r="P6" s="196">
        <f>'Pet Stats'!$C$57</f>
        <v>9.0999999999999998E-2</v>
      </c>
    </row>
    <row r="7" spans="1:16" x14ac:dyDescent="0.25">
      <c r="A7" s="119">
        <v>5</v>
      </c>
      <c r="B7" s="193">
        <f t="shared" si="0"/>
        <v>1.0492385786802032</v>
      </c>
      <c r="C7" s="193">
        <f t="shared" si="1"/>
        <v>0.95076142131979702</v>
      </c>
      <c r="D7" s="195">
        <f>IF(Inputs!$C$12="Outdoor",'Pet Stats'!$C$48^Incidence!$B$27,'Pet Stats'!$C$48^Incidence!$B$26)</f>
        <v>0.91203625650976983</v>
      </c>
      <c r="E7" s="189">
        <f>'Pet Stats'!$C$49</f>
        <v>0.755</v>
      </c>
      <c r="F7" s="189">
        <f>'Pet Stats'!$C$50</f>
        <v>0.311</v>
      </c>
      <c r="G7" s="189">
        <f>IF(Inputs!$C$12="Outdoor",'Pet Stats'!$C$51^Incidence!$B$27,'Pet Stats'!$C$51^Incidence!$B$26)*C7</f>
        <v>0.431736900031994</v>
      </c>
      <c r="H7" s="189">
        <f>IF(Inputs!$C$12="outdoor",2*'Pet Stats'!$C$52,'Pet Stats'!$C$52)</f>
        <v>0.38</v>
      </c>
      <c r="I7" s="189">
        <f>IF(Inputs!$C$12="Outdoor",'Pet Stats'!$C$53^Incidence!$B$27,'Pet Stats'!$C$53^Incidence!$B$26)*C7</f>
        <v>0.27079082361874995</v>
      </c>
      <c r="J7" s="189">
        <f>'Pet Stats'!$C$54*B7</f>
        <v>0.13745025380710663</v>
      </c>
      <c r="K7" s="189">
        <f>'Pet Stats'!$C$55*B7</f>
        <v>0.10597309644670053</v>
      </c>
      <c r="L7" s="189">
        <f>'Pet Stats'!$C$58</f>
        <v>8.5999999999999993E-2</v>
      </c>
      <c r="M7" s="189">
        <f>'Pet Stats'!$C$59*C7</f>
        <v>6.8454822335025381E-2</v>
      </c>
      <c r="N7" s="189">
        <f>'Pet Stats'!$C$60*C7</f>
        <v>5.2291878172588839E-2</v>
      </c>
      <c r="O7" s="189">
        <f>'Pet Stats'!$C$61*C7</f>
        <v>4.9439593908629439E-2</v>
      </c>
      <c r="P7" s="196">
        <f>'Pet Stats'!$C$57</f>
        <v>9.0999999999999998E-2</v>
      </c>
    </row>
    <row r="8" spans="1:16" x14ac:dyDescent="0.25">
      <c r="A8" s="119">
        <v>6</v>
      </c>
      <c r="B8" s="193">
        <f t="shared" si="0"/>
        <v>1.0390862944162438</v>
      </c>
      <c r="C8" s="193">
        <f t="shared" si="1"/>
        <v>0.96091370558375633</v>
      </c>
      <c r="D8" s="195">
        <f>IF(Inputs!$C$12="Outdoor",'Pet Stats'!$C$48^Incidence!$B$27,'Pet Stats'!$C$48^Incidence!$B$26)</f>
        <v>0.91203625650976983</v>
      </c>
      <c r="E8" s="189">
        <f>'Pet Stats'!$C$49</f>
        <v>0.755</v>
      </c>
      <c r="F8" s="189">
        <f>'Pet Stats'!$C$50</f>
        <v>0.311</v>
      </c>
      <c r="G8" s="189">
        <f>IF(Inputs!$C$12="Outdoor",'Pet Stats'!$C$51^Incidence!$B$27,'Pet Stats'!$C$51^Incidence!$B$26)*C8</f>
        <v>0.43634701108412421</v>
      </c>
      <c r="H8" s="189">
        <f>IF(Inputs!$C$12="outdoor",2*'Pet Stats'!$C$52,'Pet Stats'!$C$52)</f>
        <v>0.38</v>
      </c>
      <c r="I8" s="189">
        <f>IF(Inputs!$C$12="Outdoor",'Pet Stats'!$C$53^Incidence!$B$27,'Pet Stats'!$C$53^Incidence!$B$26)*C8</f>
        <v>0.27368234335840558</v>
      </c>
      <c r="J8" s="189">
        <f>'Pet Stats'!$C$54*B8</f>
        <v>0.13612030456852794</v>
      </c>
      <c r="K8" s="189">
        <f>'Pet Stats'!$C$55*B8</f>
        <v>0.10494771573604063</v>
      </c>
      <c r="L8" s="189">
        <f>'Pet Stats'!$C$58</f>
        <v>8.5999999999999993E-2</v>
      </c>
      <c r="M8" s="189">
        <f>'Pet Stats'!$C$59*C8</f>
        <v>6.9185786802030455E-2</v>
      </c>
      <c r="N8" s="189">
        <f>'Pet Stats'!$C$60*C8</f>
        <v>5.2850253807106597E-2</v>
      </c>
      <c r="O8" s="189">
        <f>'Pet Stats'!$C$61*C8</f>
        <v>4.9967512690355327E-2</v>
      </c>
      <c r="P8" s="196">
        <f>'Pet Stats'!$C$57</f>
        <v>9.0999999999999998E-2</v>
      </c>
    </row>
    <row r="9" spans="1:16" x14ac:dyDescent="0.25">
      <c r="A9" s="119">
        <v>7</v>
      </c>
      <c r="B9" s="193">
        <f t="shared" si="0"/>
        <v>1.0289340101522844</v>
      </c>
      <c r="C9" s="193">
        <f t="shared" si="1"/>
        <v>0.97106598984771575</v>
      </c>
      <c r="D9" s="195">
        <f>IF(Inputs!$C$12="Outdoor",'Pet Stats'!$C$48^Incidence!$B$27,'Pet Stats'!$C$48^Incidence!$B$26)</f>
        <v>0.91203625650976983</v>
      </c>
      <c r="E9" s="189">
        <f>'Pet Stats'!$C$49</f>
        <v>0.755</v>
      </c>
      <c r="F9" s="189">
        <f>'Pet Stats'!$C$50</f>
        <v>0.311</v>
      </c>
      <c r="G9" s="189">
        <f>IF(Inputs!$C$12="Outdoor",'Pet Stats'!$C$51^Incidence!$B$27,'Pet Stats'!$C$51^Incidence!$B$26)*C9</f>
        <v>0.44095712213625443</v>
      </c>
      <c r="H9" s="189">
        <f>IF(Inputs!$C$12="outdoor",2*'Pet Stats'!$C$52,'Pet Stats'!$C$52)</f>
        <v>0.38</v>
      </c>
      <c r="I9" s="189">
        <f>IF(Inputs!$C$12="Outdoor",'Pet Stats'!$C$53^Incidence!$B$27,'Pet Stats'!$C$53^Incidence!$B$26)*C9</f>
        <v>0.2765738630980612</v>
      </c>
      <c r="J9" s="189">
        <f>'Pet Stats'!$C$54*B9</f>
        <v>0.13479035532994926</v>
      </c>
      <c r="K9" s="189">
        <f>'Pet Stats'!$C$55*B9</f>
        <v>0.10392233502538073</v>
      </c>
      <c r="L9" s="189">
        <f>'Pet Stats'!$C$58</f>
        <v>8.5999999999999993E-2</v>
      </c>
      <c r="M9" s="189">
        <f>'Pet Stats'!$C$59*C9</f>
        <v>6.9916751269035529E-2</v>
      </c>
      <c r="N9" s="189">
        <f>'Pet Stats'!$C$60*C9</f>
        <v>5.3408629441624368E-2</v>
      </c>
      <c r="O9" s="189">
        <f>'Pet Stats'!$C$61*C9</f>
        <v>5.0495431472081215E-2</v>
      </c>
      <c r="P9" s="196">
        <f>'Pet Stats'!$C$57</f>
        <v>9.0999999999999998E-2</v>
      </c>
    </row>
    <row r="10" spans="1:16" x14ac:dyDescent="0.25">
      <c r="A10" s="119">
        <v>8</v>
      </c>
      <c r="B10" s="193">
        <f t="shared" si="0"/>
        <v>1.0187817258883249</v>
      </c>
      <c r="C10" s="193">
        <f t="shared" si="1"/>
        <v>0.98121827411167517</v>
      </c>
      <c r="D10" s="195">
        <f>IF(Inputs!$C$12="Outdoor",'Pet Stats'!$C$48^Incidence!$B$27,'Pet Stats'!$C$48^Incidence!$B$26)</f>
        <v>0.91203625650976983</v>
      </c>
      <c r="E10" s="189">
        <f>'Pet Stats'!$C$49</f>
        <v>0.755</v>
      </c>
      <c r="F10" s="189">
        <f>'Pet Stats'!$C$50</f>
        <v>0.311</v>
      </c>
      <c r="G10" s="189">
        <f>IF(Inputs!$C$12="Outdoor",'Pet Stats'!$C$51^Incidence!$B$27,'Pet Stats'!$C$51^Incidence!$B$26)*C10</f>
        <v>0.44556723318838465</v>
      </c>
      <c r="H10" s="189">
        <f>IF(Inputs!$C$12="outdoor",2*'Pet Stats'!$C$52,'Pet Stats'!$C$52)</f>
        <v>0.38</v>
      </c>
      <c r="I10" s="189">
        <f>IF(Inputs!$C$12="Outdoor",'Pet Stats'!$C$53^Incidence!$B$27,'Pet Stats'!$C$53^Incidence!$B$26)*C10</f>
        <v>0.27946538283771682</v>
      </c>
      <c r="J10" s="189">
        <f>'Pet Stats'!$C$54*B10</f>
        <v>0.13346040609137058</v>
      </c>
      <c r="K10" s="189">
        <f>'Pet Stats'!$C$55*B10</f>
        <v>0.10289695431472083</v>
      </c>
      <c r="L10" s="189">
        <f>'Pet Stats'!$C$58</f>
        <v>8.5999999999999993E-2</v>
      </c>
      <c r="M10" s="189">
        <f>'Pet Stats'!$C$59*C10</f>
        <v>7.0647715736040603E-2</v>
      </c>
      <c r="N10" s="189">
        <f>'Pet Stats'!$C$60*C10</f>
        <v>5.3967005076142133E-2</v>
      </c>
      <c r="O10" s="189">
        <f>'Pet Stats'!$C$61*C10</f>
        <v>5.1023350253807109E-2</v>
      </c>
      <c r="P10" s="196">
        <f>'Pet Stats'!$C$57</f>
        <v>9.0999999999999998E-2</v>
      </c>
    </row>
    <row r="11" spans="1:16" x14ac:dyDescent="0.25">
      <c r="A11" s="119">
        <v>9</v>
      </c>
      <c r="B11" s="193">
        <f t="shared" si="0"/>
        <v>1.0086294416243655</v>
      </c>
      <c r="C11" s="193">
        <f t="shared" si="1"/>
        <v>0.99137055837563459</v>
      </c>
      <c r="D11" s="195">
        <f>IF(Inputs!$C$12="Outdoor",'Pet Stats'!$C$48^Incidence!$B$27,'Pet Stats'!$C$48^Incidence!$B$26)</f>
        <v>0.91203625650976983</v>
      </c>
      <c r="E11" s="189">
        <f>'Pet Stats'!$C$49</f>
        <v>0.755</v>
      </c>
      <c r="F11" s="189">
        <f>'Pet Stats'!$C$50</f>
        <v>0.311</v>
      </c>
      <c r="G11" s="189">
        <f>IF(Inputs!$C$12="Outdoor",'Pet Stats'!$C$51^Incidence!$B$27,'Pet Stats'!$C$51^Incidence!$B$26)*C11</f>
        <v>0.45017734424051487</v>
      </c>
      <c r="H11" s="189">
        <f>IF(Inputs!$C$12="outdoor",2*'Pet Stats'!$C$52,'Pet Stats'!$C$52)</f>
        <v>0.38</v>
      </c>
      <c r="I11" s="189">
        <f>IF(Inputs!$C$12="Outdoor",'Pet Stats'!$C$53^Incidence!$B$27,'Pet Stats'!$C$53^Incidence!$B$26)*C11</f>
        <v>0.2823569025773725</v>
      </c>
      <c r="J11" s="189">
        <f>'Pet Stats'!$C$54*B11</f>
        <v>0.1321304568527919</v>
      </c>
      <c r="K11" s="189">
        <f>'Pet Stats'!$C$55*B11</f>
        <v>0.10187157360406092</v>
      </c>
      <c r="L11" s="189">
        <f>'Pet Stats'!$C$58</f>
        <v>8.5999999999999993E-2</v>
      </c>
      <c r="M11" s="189">
        <f>'Pet Stats'!$C$59*C11</f>
        <v>7.1378680203045691E-2</v>
      </c>
      <c r="N11" s="189">
        <f>'Pet Stats'!$C$60*C11</f>
        <v>5.4525380710659904E-2</v>
      </c>
      <c r="O11" s="189">
        <f>'Pet Stats'!$C$61*C11</f>
        <v>5.1551269035532997E-2</v>
      </c>
      <c r="P11" s="196">
        <f>'Pet Stats'!$C$57</f>
        <v>9.0999999999999998E-2</v>
      </c>
    </row>
    <row r="12" spans="1:16" x14ac:dyDescent="0.25">
      <c r="A12" s="119">
        <v>10</v>
      </c>
      <c r="B12" s="193">
        <f t="shared" si="0"/>
        <v>0.99847715736040621</v>
      </c>
      <c r="C12" s="193">
        <f t="shared" si="1"/>
        <v>1.0015228426395939</v>
      </c>
      <c r="D12" s="195">
        <f>IF(Inputs!$C$12="Outdoor",'Pet Stats'!$C$48^Incidence!$B$27,'Pet Stats'!$C$48^Incidence!$B$26)</f>
        <v>0.91203625650976983</v>
      </c>
      <c r="E12" s="189">
        <f>'Pet Stats'!$C$49</f>
        <v>0.755</v>
      </c>
      <c r="F12" s="189">
        <f>'Pet Stats'!$C$50</f>
        <v>0.311</v>
      </c>
      <c r="G12" s="189">
        <f>IF(Inputs!$C$12="Outdoor",'Pet Stats'!$C$51^Incidence!$B$27,'Pet Stats'!$C$51^Incidence!$B$26)*C12</f>
        <v>0.45478745529264503</v>
      </c>
      <c r="H12" s="189">
        <f>IF(Inputs!$C$12="outdoor",2*'Pet Stats'!$C$52,'Pet Stats'!$C$52)</f>
        <v>0.38</v>
      </c>
      <c r="I12" s="189">
        <f>IF(Inputs!$C$12="Outdoor",'Pet Stats'!$C$53^Incidence!$B$27,'Pet Stats'!$C$53^Incidence!$B$26)*C12</f>
        <v>0.28524842231702807</v>
      </c>
      <c r="J12" s="189">
        <f>'Pet Stats'!$C$54*B12</f>
        <v>0.13080050761421322</v>
      </c>
      <c r="K12" s="189">
        <f>'Pet Stats'!$C$55*B12</f>
        <v>0.10084619289340103</v>
      </c>
      <c r="L12" s="189">
        <f>'Pet Stats'!$C$58</f>
        <v>8.5999999999999993E-2</v>
      </c>
      <c r="M12" s="189">
        <f>'Pet Stats'!$C$59*C12</f>
        <v>7.2109644670050752E-2</v>
      </c>
      <c r="N12" s="189">
        <f>'Pet Stats'!$C$60*C12</f>
        <v>5.5083756345177662E-2</v>
      </c>
      <c r="O12" s="189">
        <f>'Pet Stats'!$C$61*C12</f>
        <v>5.2079187817258878E-2</v>
      </c>
      <c r="P12" s="196">
        <f>'Pet Stats'!$C$57</f>
        <v>9.0999999999999998E-2</v>
      </c>
    </row>
    <row r="13" spans="1:16" x14ac:dyDescent="0.25">
      <c r="A13" s="119">
        <v>11</v>
      </c>
      <c r="B13" s="193">
        <f t="shared" si="0"/>
        <v>0.98832487309644679</v>
      </c>
      <c r="C13" s="193">
        <f t="shared" si="1"/>
        <v>1.0116751269035533</v>
      </c>
      <c r="D13" s="195">
        <f>IF(Inputs!$C$12="Outdoor",'Pet Stats'!$C$48^Incidence!$B$27,'Pet Stats'!$C$48^Incidence!$B$26)</f>
        <v>0.91203625650976983</v>
      </c>
      <c r="E13" s="189">
        <f>'Pet Stats'!$C$49</f>
        <v>0.755</v>
      </c>
      <c r="F13" s="189">
        <f>'Pet Stats'!$C$50</f>
        <v>0.311</v>
      </c>
      <c r="G13" s="189">
        <f>IF(Inputs!$C$12="Outdoor",'Pet Stats'!$C$51^Incidence!$B$27,'Pet Stats'!$C$51^Incidence!$B$26)*C13</f>
        <v>0.45939756634477524</v>
      </c>
      <c r="H13" s="189">
        <f>IF(Inputs!$C$12="outdoor",2*'Pet Stats'!$C$52,'Pet Stats'!$C$52)</f>
        <v>0.38</v>
      </c>
      <c r="I13" s="189">
        <f>IF(Inputs!$C$12="Outdoor",'Pet Stats'!$C$53^Incidence!$B$27,'Pet Stats'!$C$53^Incidence!$B$26)*C13</f>
        <v>0.28813994205668375</v>
      </c>
      <c r="J13" s="189">
        <f>'Pet Stats'!$C$54*B13</f>
        <v>0.12947055837563454</v>
      </c>
      <c r="K13" s="189">
        <f>'Pet Stats'!$C$55*B13</f>
        <v>9.9820812182741137E-2</v>
      </c>
      <c r="L13" s="189">
        <f>'Pet Stats'!$C$58</f>
        <v>8.5999999999999993E-2</v>
      </c>
      <c r="M13" s="189">
        <f>'Pet Stats'!$C$59*C13</f>
        <v>7.284060913705584E-2</v>
      </c>
      <c r="N13" s="189">
        <f>'Pet Stats'!$C$60*C13</f>
        <v>5.5642131979695433E-2</v>
      </c>
      <c r="O13" s="189">
        <f>'Pet Stats'!$C$61*C13</f>
        <v>5.2607106598984772E-2</v>
      </c>
      <c r="P13" s="196">
        <f>'Pet Stats'!$C$57</f>
        <v>9.0999999999999998E-2</v>
      </c>
    </row>
    <row r="14" spans="1:16" x14ac:dyDescent="0.25">
      <c r="A14" s="119">
        <v>12</v>
      </c>
      <c r="B14" s="193">
        <f t="shared" si="0"/>
        <v>0.97817258883248737</v>
      </c>
      <c r="C14" s="193">
        <f t="shared" si="1"/>
        <v>1.0218274111675127</v>
      </c>
      <c r="D14" s="195">
        <f>IF(Inputs!$C$12="Outdoor",'Pet Stats'!$C$48^Incidence!$B$27,'Pet Stats'!$C$48^Incidence!$B$26)</f>
        <v>0.91203625650976983</v>
      </c>
      <c r="E14" s="189">
        <f>'Pet Stats'!$C$49</f>
        <v>0.755</v>
      </c>
      <c r="F14" s="189">
        <f>'Pet Stats'!$C$50</f>
        <v>0.311</v>
      </c>
      <c r="G14" s="189">
        <f>IF(Inputs!$C$12="Outdoor",'Pet Stats'!$C$51^Incidence!$B$27,'Pet Stats'!$C$51^Incidence!$B$26)*C14</f>
        <v>0.46400767739690546</v>
      </c>
      <c r="H14" s="189">
        <f>IF(Inputs!$C$12="outdoor",2*'Pet Stats'!$C$52,'Pet Stats'!$C$52)</f>
        <v>0.38</v>
      </c>
      <c r="I14" s="189">
        <f>IF(Inputs!$C$12="Outdoor",'Pet Stats'!$C$53^Incidence!$B$27,'Pet Stats'!$C$53^Incidence!$B$26)*C14</f>
        <v>0.29103146179633937</v>
      </c>
      <c r="J14" s="189">
        <f>'Pet Stats'!$C$54*B14</f>
        <v>0.12814060913705586</v>
      </c>
      <c r="K14" s="189">
        <f>'Pet Stats'!$C$55*B14</f>
        <v>9.8795431472081224E-2</v>
      </c>
      <c r="L14" s="189">
        <f>'Pet Stats'!$C$58</f>
        <v>8.5999999999999993E-2</v>
      </c>
      <c r="M14" s="189">
        <f>'Pet Stats'!$C$59*C14</f>
        <v>7.3571573604060914E-2</v>
      </c>
      <c r="N14" s="189">
        <f>'Pet Stats'!$C$60*C14</f>
        <v>5.6200507614213198E-2</v>
      </c>
      <c r="O14" s="189">
        <f>'Pet Stats'!$C$61*C14</f>
        <v>5.313502538071066E-2</v>
      </c>
      <c r="P14" s="196">
        <f>'Pet Stats'!$C$57</f>
        <v>9.0999999999999998E-2</v>
      </c>
    </row>
    <row r="15" spans="1:16" x14ac:dyDescent="0.25">
      <c r="A15" s="119">
        <v>13</v>
      </c>
      <c r="B15" s="193">
        <f t="shared" si="0"/>
        <v>0.96802030456852806</v>
      </c>
      <c r="C15" s="193">
        <f t="shared" si="1"/>
        <v>1.0319796954314722</v>
      </c>
      <c r="D15" s="195">
        <f>IF(Inputs!$C$12="Outdoor",'Pet Stats'!$C$48^Incidence!$B$27,'Pet Stats'!$C$48^Incidence!$B$26)</f>
        <v>0.91203625650976983</v>
      </c>
      <c r="E15" s="189">
        <f>'Pet Stats'!$C$49</f>
        <v>0.755</v>
      </c>
      <c r="F15" s="189">
        <f>'Pet Stats'!$C$50</f>
        <v>0.311</v>
      </c>
      <c r="G15" s="189">
        <f>IF(Inputs!$C$12="Outdoor",'Pet Stats'!$C$51^Incidence!$B$27,'Pet Stats'!$C$51^Incidence!$B$26)*C15</f>
        <v>0.46861778844903568</v>
      </c>
      <c r="H15" s="189">
        <f>IF(Inputs!$C$12="outdoor",2*'Pet Stats'!$C$52,'Pet Stats'!$C$52)</f>
        <v>0.38</v>
      </c>
      <c r="I15" s="189">
        <f>IF(Inputs!$C$12="Outdoor",'Pet Stats'!$C$53^Incidence!$B$27,'Pet Stats'!$C$53^Incidence!$B$26)*C15</f>
        <v>0.293922981535995</v>
      </c>
      <c r="J15" s="189">
        <f>'Pet Stats'!$C$54*B15</f>
        <v>0.12681065989847717</v>
      </c>
      <c r="K15" s="189">
        <f>'Pet Stats'!$C$55*B15</f>
        <v>9.777005076142134E-2</v>
      </c>
      <c r="L15" s="189">
        <f>'Pet Stats'!$C$58</f>
        <v>8.5999999999999993E-2</v>
      </c>
      <c r="M15" s="189">
        <f>'Pet Stats'!$C$59*C15</f>
        <v>7.4302538071065988E-2</v>
      </c>
      <c r="N15" s="189">
        <f>'Pet Stats'!$C$60*C15</f>
        <v>5.6758883248730969E-2</v>
      </c>
      <c r="O15" s="189">
        <f>'Pet Stats'!$C$61*C15</f>
        <v>5.3662944162436547E-2</v>
      </c>
      <c r="P15" s="196">
        <f>'Pet Stats'!$C$57</f>
        <v>9.0999999999999998E-2</v>
      </c>
    </row>
    <row r="16" spans="1:16" x14ac:dyDescent="0.25">
      <c r="A16" s="119">
        <v>14</v>
      </c>
      <c r="B16" s="193">
        <f t="shared" si="0"/>
        <v>0.95786802030456863</v>
      </c>
      <c r="C16" s="193">
        <f t="shared" si="1"/>
        <v>1.0421319796954316</v>
      </c>
      <c r="D16" s="195">
        <f>IF(Inputs!$C$12="Outdoor",'Pet Stats'!$C$48^Incidence!$B$27,'Pet Stats'!$C$48^Incidence!$B$26)</f>
        <v>0.91203625650976983</v>
      </c>
      <c r="E16" s="189">
        <f>'Pet Stats'!$C$49</f>
        <v>0.755</v>
      </c>
      <c r="F16" s="189">
        <f>'Pet Stats'!$C$50</f>
        <v>0.311</v>
      </c>
      <c r="G16" s="189">
        <f>IF(Inputs!$C$12="Outdoor",'Pet Stats'!$C$51^Incidence!$B$27,'Pet Stats'!$C$51^Incidence!$B$26)*C16</f>
        <v>0.47322789950116589</v>
      </c>
      <c r="H16" s="189">
        <f>IF(Inputs!$C$12="outdoor",2*'Pet Stats'!$C$52,'Pet Stats'!$C$52)</f>
        <v>0.38</v>
      </c>
      <c r="I16" s="189">
        <f>IF(Inputs!$C$12="Outdoor",'Pet Stats'!$C$53^Incidence!$B$27,'Pet Stats'!$C$53^Incidence!$B$26)*C16</f>
        <v>0.29681450127565068</v>
      </c>
      <c r="J16" s="189">
        <f>'Pet Stats'!$C$54*B16</f>
        <v>0.12548071065989849</v>
      </c>
      <c r="K16" s="189">
        <f>'Pet Stats'!$C$55*B16</f>
        <v>9.6744670050761442E-2</v>
      </c>
      <c r="L16" s="189">
        <f>'Pet Stats'!$C$58</f>
        <v>8.5999999999999993E-2</v>
      </c>
      <c r="M16" s="189">
        <f>'Pet Stats'!$C$59*C16</f>
        <v>7.5033502538071062E-2</v>
      </c>
      <c r="N16" s="189">
        <f>'Pet Stats'!$C$60*C16</f>
        <v>5.7317258883248741E-2</v>
      </c>
      <c r="O16" s="189">
        <f>'Pet Stats'!$C$61*C16</f>
        <v>5.4190862944162442E-2</v>
      </c>
      <c r="P16" s="196">
        <f>'Pet Stats'!$C$57</f>
        <v>9.0999999999999998E-2</v>
      </c>
    </row>
    <row r="17" spans="1:16" x14ac:dyDescent="0.25">
      <c r="A17" s="119">
        <v>15</v>
      </c>
      <c r="B17" s="193">
        <f t="shared" si="0"/>
        <v>0.94771573604060921</v>
      </c>
      <c r="C17" s="193">
        <f t="shared" si="1"/>
        <v>1.052284263959391</v>
      </c>
      <c r="D17" s="195">
        <f>IF(Inputs!$C$12="Outdoor",'Pet Stats'!$C$48^Incidence!$B$27,'Pet Stats'!$C$48^Incidence!$B$26)</f>
        <v>0.91203625650976983</v>
      </c>
      <c r="E17" s="189">
        <f>'Pet Stats'!$C$49</f>
        <v>0.755</v>
      </c>
      <c r="F17" s="189">
        <f>'Pet Stats'!$C$50</f>
        <v>0.311</v>
      </c>
      <c r="G17" s="189">
        <f>IF(Inputs!$C$12="Outdoor",'Pet Stats'!$C$51^Incidence!$B$27,'Pet Stats'!$C$51^Incidence!$B$26)*C17</f>
        <v>0.47783801055329617</v>
      </c>
      <c r="H17" s="189">
        <f>IF(Inputs!$C$12="outdoor",2*'Pet Stats'!$C$52,'Pet Stats'!$C$52)</f>
        <v>0.38</v>
      </c>
      <c r="I17" s="189">
        <f>IF(Inputs!$C$12="Outdoor",'Pet Stats'!$C$53^Incidence!$B$27,'Pet Stats'!$C$53^Incidence!$B$26)*C17</f>
        <v>0.2997060210153063</v>
      </c>
      <c r="J17" s="189">
        <f>'Pet Stats'!$C$54*B17</f>
        <v>0.12415076142131981</v>
      </c>
      <c r="K17" s="189">
        <f>'Pet Stats'!$C$55*B17</f>
        <v>9.5719289340101543E-2</v>
      </c>
      <c r="L17" s="189">
        <f>'Pet Stats'!$C$58</f>
        <v>8.5999999999999993E-2</v>
      </c>
      <c r="M17" s="189">
        <f>'Pet Stats'!$C$59*C17</f>
        <v>7.576446700507615E-2</v>
      </c>
      <c r="N17" s="189">
        <f>'Pet Stats'!$C$60*C17</f>
        <v>5.7875634517766505E-2</v>
      </c>
      <c r="O17" s="189">
        <f>'Pet Stats'!$C$61*C17</f>
        <v>5.471878172588833E-2</v>
      </c>
      <c r="P17" s="196">
        <f>'Pet Stats'!$C$57</f>
        <v>9.0999999999999998E-2</v>
      </c>
    </row>
    <row r="18" spans="1:16" x14ac:dyDescent="0.25">
      <c r="A18" s="119">
        <v>16</v>
      </c>
      <c r="B18" s="193">
        <f t="shared" si="0"/>
        <v>0.93756345177664979</v>
      </c>
      <c r="C18" s="193">
        <f t="shared" si="1"/>
        <v>1.0624365482233502</v>
      </c>
      <c r="D18" s="195">
        <f>IF(Inputs!$C$12="Outdoor",'Pet Stats'!$C$48^Incidence!$B$27,'Pet Stats'!$C$48^Incidence!$B$26)</f>
        <v>0.91203625650976983</v>
      </c>
      <c r="E18" s="189">
        <f>'Pet Stats'!$C$49</f>
        <v>0.755</v>
      </c>
      <c r="F18" s="189">
        <f>'Pet Stats'!$C$50</f>
        <v>0.311</v>
      </c>
      <c r="G18" s="189">
        <f>IF(Inputs!$C$12="Outdoor",'Pet Stats'!$C$51^Incidence!$B$27,'Pet Stats'!$C$51^Incidence!$B$26)*C18</f>
        <v>0.48244812160542627</v>
      </c>
      <c r="H18" s="189">
        <f>IF(Inputs!$C$12="outdoor",2*'Pet Stats'!$C$52,'Pet Stats'!$C$52)</f>
        <v>0.38</v>
      </c>
      <c r="I18" s="189">
        <f>IF(Inputs!$C$12="Outdoor",'Pet Stats'!$C$53^Incidence!$B$27,'Pet Stats'!$C$53^Incidence!$B$26)*C18</f>
        <v>0.30259754075496187</v>
      </c>
      <c r="J18" s="189">
        <f>'Pet Stats'!$C$54*B18</f>
        <v>0.12282081218274113</v>
      </c>
      <c r="K18" s="189">
        <f>'Pet Stats'!$C$55*B18</f>
        <v>9.4693908629441631E-2</v>
      </c>
      <c r="L18" s="189">
        <f>'Pet Stats'!$C$58</f>
        <v>8.5999999999999993E-2</v>
      </c>
      <c r="M18" s="189">
        <f>'Pet Stats'!$C$59*C18</f>
        <v>7.649543147208121E-2</v>
      </c>
      <c r="N18" s="189">
        <f>'Pet Stats'!$C$60*C18</f>
        <v>5.8434010152284263E-2</v>
      </c>
      <c r="O18" s="189">
        <f>'Pet Stats'!$C$61*C18</f>
        <v>5.524670050761421E-2</v>
      </c>
      <c r="P18" s="196">
        <f>'Pet Stats'!$C$57</f>
        <v>9.0999999999999998E-2</v>
      </c>
    </row>
    <row r="19" spans="1:16" x14ac:dyDescent="0.25">
      <c r="A19" s="119">
        <v>17</v>
      </c>
      <c r="B19" s="193">
        <f t="shared" si="0"/>
        <v>0.92741116751269037</v>
      </c>
      <c r="C19" s="193">
        <f t="shared" si="1"/>
        <v>1.0725888324873096</v>
      </c>
      <c r="D19" s="195">
        <f>IF(Inputs!$C$12="Outdoor",'Pet Stats'!$C$48^Incidence!$B$27,'Pet Stats'!$C$48^Incidence!$B$26)</f>
        <v>0.91203625650976983</v>
      </c>
      <c r="E19" s="189">
        <f>'Pet Stats'!$C$49</f>
        <v>0.755</v>
      </c>
      <c r="F19" s="189">
        <f>'Pet Stats'!$C$50</f>
        <v>0.311</v>
      </c>
      <c r="G19" s="189">
        <f>IF(Inputs!$C$12="Outdoor",'Pet Stats'!$C$51^Incidence!$B$27,'Pet Stats'!$C$51^Incidence!$B$26)*C19</f>
        <v>0.48705823265755649</v>
      </c>
      <c r="H19" s="189">
        <f>IF(Inputs!$C$12="outdoor",2*'Pet Stats'!$C$52,'Pet Stats'!$C$52)</f>
        <v>0.38</v>
      </c>
      <c r="I19" s="189">
        <f>IF(Inputs!$C$12="Outdoor",'Pet Stats'!$C$53^Incidence!$B$27,'Pet Stats'!$C$53^Incidence!$B$26)*C19</f>
        <v>0.30548906049461755</v>
      </c>
      <c r="J19" s="189">
        <f>'Pet Stats'!$C$54*B19</f>
        <v>0.12149086294416245</v>
      </c>
      <c r="K19" s="189">
        <f>'Pet Stats'!$C$55*B19</f>
        <v>9.3668527918781733E-2</v>
      </c>
      <c r="L19" s="189">
        <f>'Pet Stats'!$C$58</f>
        <v>8.5999999999999993E-2</v>
      </c>
      <c r="M19" s="189">
        <f>'Pet Stats'!$C$59*C19</f>
        <v>7.7226395939086284E-2</v>
      </c>
      <c r="N19" s="189">
        <f>'Pet Stats'!$C$60*C19</f>
        <v>5.8992385786802028E-2</v>
      </c>
      <c r="O19" s="189">
        <f>'Pet Stats'!$C$61*C19</f>
        <v>5.5774619289340098E-2</v>
      </c>
      <c r="P19" s="196">
        <f>'Pet Stats'!$C$57</f>
        <v>9.0999999999999998E-2</v>
      </c>
    </row>
    <row r="20" spans="1:16" x14ac:dyDescent="0.25">
      <c r="A20" s="119">
        <v>18</v>
      </c>
      <c r="B20" s="193">
        <f t="shared" si="0"/>
        <v>0.91725888324873106</v>
      </c>
      <c r="C20" s="193">
        <f t="shared" si="1"/>
        <v>1.0827411167512691</v>
      </c>
      <c r="D20" s="195">
        <f>IF(Inputs!$C$12="Outdoor",'Pet Stats'!$C$48^Incidence!$B$27,'Pet Stats'!$C$48^Incidence!$B$26)</f>
        <v>0.91203625650976983</v>
      </c>
      <c r="E20" s="189">
        <f>'Pet Stats'!$C$49</f>
        <v>0.755</v>
      </c>
      <c r="F20" s="189">
        <f>'Pet Stats'!$C$50</f>
        <v>0.311</v>
      </c>
      <c r="G20" s="189">
        <f>IF(Inputs!$C$12="Outdoor",'Pet Stats'!$C$51^Incidence!$B$27,'Pet Stats'!$C$51^Incidence!$B$26)*C20</f>
        <v>0.49166834370968671</v>
      </c>
      <c r="H20" s="189">
        <f>IF(Inputs!$C$12="outdoor",2*'Pet Stats'!$C$52,'Pet Stats'!$C$52)</f>
        <v>0.38</v>
      </c>
      <c r="I20" s="189">
        <f>IF(Inputs!$C$12="Outdoor",'Pet Stats'!$C$53^Incidence!$B$27,'Pet Stats'!$C$53^Incidence!$B$26)*C20</f>
        <v>0.30838058023427317</v>
      </c>
      <c r="J20" s="189">
        <f>'Pet Stats'!$C$54*B20</f>
        <v>0.12016091370558378</v>
      </c>
      <c r="K20" s="189">
        <f>'Pet Stats'!$C$55*B20</f>
        <v>9.2643147208121848E-2</v>
      </c>
      <c r="L20" s="189">
        <f>'Pet Stats'!$C$58</f>
        <v>8.5999999999999993E-2</v>
      </c>
      <c r="M20" s="189">
        <f>'Pet Stats'!$C$59*C20</f>
        <v>7.7957360406091372E-2</v>
      </c>
      <c r="N20" s="189">
        <f>'Pet Stats'!$C$60*C20</f>
        <v>5.9550761421319799E-2</v>
      </c>
      <c r="O20" s="189">
        <f>'Pet Stats'!$C$61*C20</f>
        <v>5.6302538071065986E-2</v>
      </c>
      <c r="P20" s="196">
        <f>'Pet Stats'!$C$57</f>
        <v>9.0999999999999998E-2</v>
      </c>
    </row>
    <row r="21" spans="1:16" x14ac:dyDescent="0.25">
      <c r="A21" s="119">
        <v>19</v>
      </c>
      <c r="B21" s="193">
        <f t="shared" si="0"/>
        <v>0.90710659898477164</v>
      </c>
      <c r="C21" s="193">
        <f t="shared" si="1"/>
        <v>1.0928934010152285</v>
      </c>
      <c r="D21" s="195">
        <f>IF(Inputs!$C$12="Outdoor",'Pet Stats'!$C$48^Incidence!$B$27,'Pet Stats'!$C$48^Incidence!$B$26)</f>
        <v>0.91203625650976983</v>
      </c>
      <c r="E21" s="189">
        <f>'Pet Stats'!$C$49</f>
        <v>0.755</v>
      </c>
      <c r="F21" s="189">
        <f>'Pet Stats'!$C$50</f>
        <v>0.311</v>
      </c>
      <c r="G21" s="189">
        <f>IF(Inputs!$C$12="Outdoor",'Pet Stats'!$C$51^Incidence!$B$27,'Pet Stats'!$C$51^Incidence!$B$26)*C21</f>
        <v>0.49627845476181692</v>
      </c>
      <c r="H21" s="189">
        <f>IF(Inputs!$C$12="outdoor",2*'Pet Stats'!$C$52,'Pet Stats'!$C$52)</f>
        <v>0.38</v>
      </c>
      <c r="I21" s="189">
        <f>IF(Inputs!$C$12="Outdoor",'Pet Stats'!$C$53^Incidence!$B$27,'Pet Stats'!$C$53^Incidence!$B$26)*C21</f>
        <v>0.3112720999739288</v>
      </c>
      <c r="J21" s="189">
        <f>'Pet Stats'!$C$54*B21</f>
        <v>0.11883096446700508</v>
      </c>
      <c r="K21" s="189">
        <f>'Pet Stats'!$C$55*B21</f>
        <v>9.1617766497461936E-2</v>
      </c>
      <c r="L21" s="189">
        <f>'Pet Stats'!$C$58</f>
        <v>8.5999999999999993E-2</v>
      </c>
      <c r="M21" s="189">
        <f>'Pet Stats'!$C$59*C21</f>
        <v>7.8688324873096446E-2</v>
      </c>
      <c r="N21" s="189">
        <f>'Pet Stats'!$C$60*C21</f>
        <v>6.0109137055837564E-2</v>
      </c>
      <c r="O21" s="189">
        <f>'Pet Stats'!$C$61*C21</f>
        <v>5.683045685279188E-2</v>
      </c>
      <c r="P21" s="196">
        <f>'Pet Stats'!$C$57</f>
        <v>9.0999999999999998E-2</v>
      </c>
    </row>
    <row r="22" spans="1:16" ht="16.5" thickBot="1" x14ac:dyDescent="0.3">
      <c r="A22" s="120">
        <v>20</v>
      </c>
      <c r="B22" s="194">
        <f t="shared" si="0"/>
        <v>0.89695431472081222</v>
      </c>
      <c r="C22" s="194">
        <f t="shared" si="1"/>
        <v>1.1030456852791879</v>
      </c>
      <c r="D22" s="190">
        <f>IF(Inputs!$C$12="Outdoor",'Pet Stats'!$C$48^Incidence!$B$27,'Pet Stats'!$C$48^Incidence!$B$26)</f>
        <v>0.91203625650976983</v>
      </c>
      <c r="E22" s="191">
        <f>'Pet Stats'!$C$49</f>
        <v>0.755</v>
      </c>
      <c r="F22" s="191">
        <f>'Pet Stats'!$C$50</f>
        <v>0.311</v>
      </c>
      <c r="G22" s="191">
        <f>IF(Inputs!$C$12="Outdoor",'Pet Stats'!$C$51^Incidence!$B$27,'Pet Stats'!$C$51^Incidence!$B$26)*C22</f>
        <v>0.50088856581394714</v>
      </c>
      <c r="H22" s="191">
        <f>IF(Inputs!$C$12="outdoor",2*'Pet Stats'!$C$52,'Pet Stats'!$C$52)</f>
        <v>0.38</v>
      </c>
      <c r="I22" s="191">
        <f>IF(Inputs!$C$12="Outdoor",'Pet Stats'!$C$53^Incidence!$B$27,'Pet Stats'!$C$53^Incidence!$B$26)*C22</f>
        <v>0.31416361971358442</v>
      </c>
      <c r="J22" s="191">
        <f>'Pet Stats'!$C$54*B22</f>
        <v>0.1175010152284264</v>
      </c>
      <c r="K22" s="191">
        <f>'Pet Stats'!$C$55*B22</f>
        <v>9.0592385786802038E-2</v>
      </c>
      <c r="L22" s="191">
        <f>'Pet Stats'!$C$58</f>
        <v>8.5999999999999993E-2</v>
      </c>
      <c r="M22" s="191">
        <f>'Pet Stats'!$C$59*C22</f>
        <v>7.941928934010152E-2</v>
      </c>
      <c r="N22" s="191">
        <f>'Pet Stats'!$C$60*C22</f>
        <v>6.0667512690355335E-2</v>
      </c>
      <c r="O22" s="191">
        <f>'Pet Stats'!$C$61*C22</f>
        <v>5.7358375634517768E-2</v>
      </c>
      <c r="P22" s="197">
        <f>'Pet Stats'!$C$57</f>
        <v>9.0999999999999998E-2</v>
      </c>
    </row>
    <row r="25" spans="1:16" x14ac:dyDescent="0.25">
      <c r="A25" s="213" t="s">
        <v>584</v>
      </c>
      <c r="B25" s="213"/>
    </row>
    <row r="26" spans="1:16" x14ac:dyDescent="0.25">
      <c r="A26" s="187" t="s">
        <v>585</v>
      </c>
      <c r="B26" s="188">
        <v>1.5</v>
      </c>
    </row>
    <row r="27" spans="1:16" x14ac:dyDescent="0.25">
      <c r="A27" s="187" t="s">
        <v>41</v>
      </c>
      <c r="B27" s="188">
        <v>0.66666666666666663</v>
      </c>
    </row>
    <row r="30" spans="1:16" x14ac:dyDescent="0.25">
      <c r="A30" s="3"/>
    </row>
    <row r="31" spans="1:16" x14ac:dyDescent="0.25">
      <c r="A31" s="3"/>
    </row>
    <row r="32" spans="1:16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</sheetData>
  <mergeCells count="1">
    <mergeCell ref="A25:B25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P43"/>
  <sheetViews>
    <sheetView workbookViewId="0">
      <selection activeCell="E25" sqref="E25"/>
    </sheetView>
  </sheetViews>
  <sheetFormatPr defaultColWidth="11" defaultRowHeight="15.75" x14ac:dyDescent="0.25"/>
  <cols>
    <col min="1" max="1" width="11" customWidth="1"/>
    <col min="2" max="2" width="13.875" customWidth="1"/>
    <col min="3" max="3" width="13.5" style="111" customWidth="1"/>
    <col min="4" max="4" width="11.375" customWidth="1"/>
    <col min="10" max="10" width="12" style="111" customWidth="1"/>
    <col min="14" max="14" width="13.125" customWidth="1"/>
    <col min="16" max="16" width="12.875" customWidth="1"/>
  </cols>
  <sheetData>
    <row r="1" spans="1:16" ht="31.5" x14ac:dyDescent="0.25">
      <c r="A1" s="131" t="s">
        <v>38</v>
      </c>
      <c r="B1" s="121" t="s">
        <v>419</v>
      </c>
      <c r="C1" s="122" t="s">
        <v>86</v>
      </c>
      <c r="D1" s="117" t="s">
        <v>82</v>
      </c>
      <c r="E1" s="117" t="s">
        <v>83</v>
      </c>
      <c r="F1" s="117" t="s">
        <v>90</v>
      </c>
      <c r="G1" s="117" t="s">
        <v>92</v>
      </c>
      <c r="H1" s="117" t="s">
        <v>94</v>
      </c>
      <c r="I1" s="117" t="s">
        <v>574</v>
      </c>
      <c r="J1" s="122" t="s">
        <v>575</v>
      </c>
      <c r="K1" s="117" t="s">
        <v>425</v>
      </c>
      <c r="L1" s="117" t="s">
        <v>100</v>
      </c>
      <c r="M1" s="117" t="s">
        <v>101</v>
      </c>
      <c r="N1" s="117" t="s">
        <v>102</v>
      </c>
      <c r="O1" s="117" t="s">
        <v>103</v>
      </c>
      <c r="P1" s="118" t="s">
        <v>99</v>
      </c>
    </row>
    <row r="2" spans="1:16" x14ac:dyDescent="0.25">
      <c r="A2" s="168">
        <v>0</v>
      </c>
      <c r="B2" s="99" t="s">
        <v>417</v>
      </c>
      <c r="C2" s="126">
        <f>'All Costs'!$F$15</f>
        <v>41.66</v>
      </c>
      <c r="D2" s="123">
        <f>'All Costs'!$I$34</f>
        <v>158.59</v>
      </c>
      <c r="E2" s="123">
        <f>'All Costs'!$H$139</f>
        <v>82.434278025045231</v>
      </c>
      <c r="F2" s="152">
        <f>'All Costs'!$L$191</f>
        <v>31.601073918269023</v>
      </c>
      <c r="G2" s="123">
        <f>'All Costs'!$K$195</f>
        <v>12.09599458066679</v>
      </c>
      <c r="H2" s="123">
        <f>'All Costs'!$H$21</f>
        <v>177.6</v>
      </c>
      <c r="I2" s="123">
        <f>'All Costs'!$C$428</f>
        <v>197.89</v>
      </c>
      <c r="J2" s="125">
        <f>'All Costs'!$C$427</f>
        <v>129.80000000000001</v>
      </c>
      <c r="K2" s="124">
        <f>'All Costs'!$F$23</f>
        <v>12.63</v>
      </c>
      <c r="L2" s="123">
        <f>'All Costs'!$J$392</f>
        <v>554.1899028215372</v>
      </c>
      <c r="M2" s="124">
        <f>'All Costs'!$F$375</f>
        <v>69.576260573741138</v>
      </c>
      <c r="N2" s="123">
        <f>'All Costs'!$F$225</f>
        <v>65.54284050699296</v>
      </c>
      <c r="O2" s="123">
        <f>'All Costs'!$J$322</f>
        <v>1864.7540549971263</v>
      </c>
      <c r="P2" s="182">
        <f>'All Costs'!$F$64</f>
        <v>427</v>
      </c>
    </row>
    <row r="3" spans="1:16" x14ac:dyDescent="0.25">
      <c r="A3" s="168">
        <v>1</v>
      </c>
      <c r="B3" s="99" t="s">
        <v>417</v>
      </c>
      <c r="C3" s="126">
        <f>'All Costs'!$F$15</f>
        <v>41.66</v>
      </c>
      <c r="D3" s="123">
        <f>'All Costs'!$I$34</f>
        <v>158.59</v>
      </c>
      <c r="E3" s="123">
        <f>'All Costs'!$H$139</f>
        <v>82.434278025045231</v>
      </c>
      <c r="F3" s="124">
        <f>'All Costs'!$L$191</f>
        <v>31.601073918269023</v>
      </c>
      <c r="G3" s="123">
        <f>'All Costs'!$K$195</f>
        <v>12.09599458066679</v>
      </c>
      <c r="H3" s="124">
        <f>'All Costs'!$H$21</f>
        <v>177.6</v>
      </c>
      <c r="I3" s="124">
        <f>'All Costs'!$C$428</f>
        <v>197.89</v>
      </c>
      <c r="J3" s="126">
        <f>'All Costs'!$C$427</f>
        <v>129.80000000000001</v>
      </c>
      <c r="K3" s="124">
        <f>'All Costs'!$F$23</f>
        <v>12.63</v>
      </c>
      <c r="L3" s="124">
        <f>'All Costs'!$J$392</f>
        <v>554.1899028215372</v>
      </c>
      <c r="M3" s="124">
        <f>'All Costs'!$F$375</f>
        <v>69.576260573741138</v>
      </c>
      <c r="N3" s="124">
        <f>'All Costs'!$F$225</f>
        <v>65.54284050699296</v>
      </c>
      <c r="O3" s="123">
        <f>'All Costs'!$J$322</f>
        <v>1864.7540549971263</v>
      </c>
      <c r="P3" s="182">
        <f>'All Costs'!$F$64</f>
        <v>427</v>
      </c>
    </row>
    <row r="4" spans="1:16" x14ac:dyDescent="0.25">
      <c r="A4" s="168">
        <v>2</v>
      </c>
      <c r="B4" s="99" t="s">
        <v>418</v>
      </c>
      <c r="C4" s="126">
        <f>'All Costs'!$F$16</f>
        <v>42.35</v>
      </c>
      <c r="D4" s="124">
        <f>'All Costs'!$I$35</f>
        <v>183.68</v>
      </c>
      <c r="E4" s="123">
        <f>'All Costs'!$H$139</f>
        <v>82.434278025045231</v>
      </c>
      <c r="F4" s="124">
        <f>'All Costs'!$L$191</f>
        <v>31.601073918269023</v>
      </c>
      <c r="G4" s="123">
        <f>'All Costs'!$K$195</f>
        <v>12.09599458066679</v>
      </c>
      <c r="H4" s="124">
        <f>'All Costs'!$H$21</f>
        <v>177.6</v>
      </c>
      <c r="I4" s="124">
        <f>'All Costs'!$C$428</f>
        <v>197.89</v>
      </c>
      <c r="J4" s="126">
        <f>'All Costs'!$C$427</f>
        <v>129.80000000000001</v>
      </c>
      <c r="K4" s="124">
        <f>'All Costs'!$F$23</f>
        <v>12.63</v>
      </c>
      <c r="L4" s="124">
        <f>'All Costs'!$J$392</f>
        <v>554.1899028215372</v>
      </c>
      <c r="M4" s="124">
        <f>'All Costs'!$F$375</f>
        <v>69.576260573741138</v>
      </c>
      <c r="N4" s="124">
        <f>'All Costs'!$F$225</f>
        <v>65.54284050699296</v>
      </c>
      <c r="O4" s="123">
        <f>'All Costs'!$J$322</f>
        <v>1864.7540549971263</v>
      </c>
      <c r="P4" s="182">
        <f>'All Costs'!$F$64</f>
        <v>427</v>
      </c>
    </row>
    <row r="5" spans="1:16" x14ac:dyDescent="0.25">
      <c r="A5" s="168">
        <v>3</v>
      </c>
      <c r="B5" s="99" t="s">
        <v>418</v>
      </c>
      <c r="C5" s="126">
        <f>'All Costs'!$F$16</f>
        <v>42.35</v>
      </c>
      <c r="D5" s="124">
        <f>'All Costs'!$I$35</f>
        <v>183.68</v>
      </c>
      <c r="E5" s="123">
        <f>'All Costs'!$H$139</f>
        <v>82.434278025045231</v>
      </c>
      <c r="F5" s="124">
        <f>'All Costs'!$L$191</f>
        <v>31.601073918269023</v>
      </c>
      <c r="G5" s="123">
        <f>'All Costs'!$K$195</f>
        <v>12.09599458066679</v>
      </c>
      <c r="H5" s="124">
        <f>'All Costs'!$H$21</f>
        <v>177.6</v>
      </c>
      <c r="I5" s="124">
        <f>'All Costs'!$C$428</f>
        <v>197.89</v>
      </c>
      <c r="J5" s="126">
        <f>'All Costs'!$C$427</f>
        <v>129.80000000000001</v>
      </c>
      <c r="K5" s="124">
        <f>'All Costs'!$F$23</f>
        <v>12.63</v>
      </c>
      <c r="L5" s="124">
        <f>'All Costs'!$J$392</f>
        <v>554.1899028215372</v>
      </c>
      <c r="M5" s="124">
        <f>'All Costs'!$F$375</f>
        <v>69.576260573741138</v>
      </c>
      <c r="N5" s="124">
        <f>'All Costs'!$F$225</f>
        <v>65.54284050699296</v>
      </c>
      <c r="O5" s="123">
        <f>'All Costs'!$J$322</f>
        <v>1864.7540549971263</v>
      </c>
      <c r="P5" s="182">
        <f>'All Costs'!$F$64</f>
        <v>427</v>
      </c>
    </row>
    <row r="6" spans="1:16" x14ac:dyDescent="0.25">
      <c r="A6" s="168">
        <v>4</v>
      </c>
      <c r="B6" s="99" t="s">
        <v>418</v>
      </c>
      <c r="C6" s="126">
        <f>'All Costs'!$F$16</f>
        <v>42.35</v>
      </c>
      <c r="D6" s="124">
        <f>'All Costs'!$I$35</f>
        <v>183.68</v>
      </c>
      <c r="E6" s="123">
        <f>'All Costs'!$H$139</f>
        <v>82.434278025045231</v>
      </c>
      <c r="F6" s="124">
        <f>'All Costs'!$L$191</f>
        <v>31.601073918269023</v>
      </c>
      <c r="G6" s="123">
        <f>'All Costs'!$K$195</f>
        <v>12.09599458066679</v>
      </c>
      <c r="H6" s="124">
        <f>'All Costs'!$H$21</f>
        <v>177.6</v>
      </c>
      <c r="I6" s="124">
        <f>'All Costs'!$C$428</f>
        <v>197.89</v>
      </c>
      <c r="J6" s="126">
        <f>'All Costs'!$C$427</f>
        <v>129.80000000000001</v>
      </c>
      <c r="K6" s="124">
        <f>'All Costs'!$F$23</f>
        <v>12.63</v>
      </c>
      <c r="L6" s="124">
        <f>'All Costs'!$J$392</f>
        <v>554.1899028215372</v>
      </c>
      <c r="M6" s="124">
        <f>'All Costs'!$F$375</f>
        <v>69.576260573741138</v>
      </c>
      <c r="N6" s="124">
        <f>'All Costs'!$F$225</f>
        <v>65.54284050699296</v>
      </c>
      <c r="O6" s="123">
        <f>'All Costs'!$J$322</f>
        <v>1864.7540549971263</v>
      </c>
      <c r="P6" s="182">
        <f>'All Costs'!$F$64</f>
        <v>427</v>
      </c>
    </row>
    <row r="7" spans="1:16" x14ac:dyDescent="0.25">
      <c r="A7" s="168">
        <v>5</v>
      </c>
      <c r="B7" s="99" t="s">
        <v>418</v>
      </c>
      <c r="C7" s="126">
        <f>'All Costs'!$F$16</f>
        <v>42.35</v>
      </c>
      <c r="D7" s="124">
        <f>'All Costs'!$I$35</f>
        <v>183.68</v>
      </c>
      <c r="E7" s="123">
        <f>'All Costs'!$H$139</f>
        <v>82.434278025045231</v>
      </c>
      <c r="F7" s="124">
        <f>'All Costs'!$L$191</f>
        <v>31.601073918269023</v>
      </c>
      <c r="G7" s="123">
        <f>'All Costs'!$K$195</f>
        <v>12.09599458066679</v>
      </c>
      <c r="H7" s="124">
        <f>'All Costs'!$H$21</f>
        <v>177.6</v>
      </c>
      <c r="I7" s="124">
        <f>'All Costs'!$C$428</f>
        <v>197.89</v>
      </c>
      <c r="J7" s="126">
        <f>'All Costs'!$C$427</f>
        <v>129.80000000000001</v>
      </c>
      <c r="K7" s="124">
        <f>'All Costs'!$F$23</f>
        <v>12.63</v>
      </c>
      <c r="L7" s="124">
        <f>'All Costs'!$J$392</f>
        <v>554.1899028215372</v>
      </c>
      <c r="M7" s="124">
        <f>'All Costs'!$F$375</f>
        <v>69.576260573741138</v>
      </c>
      <c r="N7" s="124">
        <f>'All Costs'!$F$225</f>
        <v>65.54284050699296</v>
      </c>
      <c r="O7" s="123">
        <f>'All Costs'!$J$322</f>
        <v>1864.7540549971263</v>
      </c>
      <c r="P7" s="182">
        <f>'All Costs'!$F$64</f>
        <v>427</v>
      </c>
    </row>
    <row r="8" spans="1:16" x14ac:dyDescent="0.25">
      <c r="A8" s="168">
        <v>6</v>
      </c>
      <c r="B8" s="99" t="s">
        <v>418</v>
      </c>
      <c r="C8" s="126">
        <f>'All Costs'!$F$16</f>
        <v>42.35</v>
      </c>
      <c r="D8" s="124">
        <f>'All Costs'!$I$35</f>
        <v>183.68</v>
      </c>
      <c r="E8" s="123">
        <f>'All Costs'!$H$139</f>
        <v>82.434278025045231</v>
      </c>
      <c r="F8" s="124">
        <f>'All Costs'!$L$191</f>
        <v>31.601073918269023</v>
      </c>
      <c r="G8" s="123">
        <f>'All Costs'!$K$195</f>
        <v>12.09599458066679</v>
      </c>
      <c r="H8" s="124">
        <f>'All Costs'!$H$21</f>
        <v>177.6</v>
      </c>
      <c r="I8" s="124">
        <f>'All Costs'!$C$428</f>
        <v>197.89</v>
      </c>
      <c r="J8" s="126">
        <f>'All Costs'!$C$427</f>
        <v>129.80000000000001</v>
      </c>
      <c r="K8" s="124">
        <f>'All Costs'!$F$23</f>
        <v>12.63</v>
      </c>
      <c r="L8" s="124">
        <f>'All Costs'!$J$392</f>
        <v>554.1899028215372</v>
      </c>
      <c r="M8" s="124">
        <f>'All Costs'!$F$375</f>
        <v>69.576260573741138</v>
      </c>
      <c r="N8" s="124">
        <f>'All Costs'!$F$225</f>
        <v>65.54284050699296</v>
      </c>
      <c r="O8" s="123">
        <f>'All Costs'!$J$322</f>
        <v>1864.7540549971263</v>
      </c>
      <c r="P8" s="182">
        <f>'All Costs'!$F$64</f>
        <v>427</v>
      </c>
    </row>
    <row r="9" spans="1:16" x14ac:dyDescent="0.25">
      <c r="A9" s="168">
        <v>7</v>
      </c>
      <c r="B9" s="99" t="s">
        <v>418</v>
      </c>
      <c r="C9" s="126">
        <f>'All Costs'!$F$16</f>
        <v>42.35</v>
      </c>
      <c r="D9" s="124">
        <f>'All Costs'!$I$35</f>
        <v>183.68</v>
      </c>
      <c r="E9" s="123">
        <f>'All Costs'!$H$139</f>
        <v>82.434278025045231</v>
      </c>
      <c r="F9" s="124">
        <f>'All Costs'!$L$191</f>
        <v>31.601073918269023</v>
      </c>
      <c r="G9" s="123">
        <f>'All Costs'!$K$195</f>
        <v>12.09599458066679</v>
      </c>
      <c r="H9" s="124">
        <f>'All Costs'!$H$21</f>
        <v>177.6</v>
      </c>
      <c r="I9" s="124">
        <f>'All Costs'!$C$428</f>
        <v>197.89</v>
      </c>
      <c r="J9" s="126">
        <f>'All Costs'!$C$427</f>
        <v>129.80000000000001</v>
      </c>
      <c r="K9" s="124">
        <f>'All Costs'!$F$23</f>
        <v>12.63</v>
      </c>
      <c r="L9" s="124">
        <f>'All Costs'!$J$392</f>
        <v>554.1899028215372</v>
      </c>
      <c r="M9" s="124">
        <f>'All Costs'!$F$375</f>
        <v>69.576260573741138</v>
      </c>
      <c r="N9" s="124">
        <f>'All Costs'!$F$225</f>
        <v>65.54284050699296</v>
      </c>
      <c r="O9" s="123">
        <f>'All Costs'!$J$322</f>
        <v>1864.7540549971263</v>
      </c>
      <c r="P9" s="182">
        <f>'All Costs'!$F$64</f>
        <v>427</v>
      </c>
    </row>
    <row r="10" spans="1:16" x14ac:dyDescent="0.25">
      <c r="A10" s="168">
        <v>8</v>
      </c>
      <c r="B10" s="99" t="s">
        <v>418</v>
      </c>
      <c r="C10" s="126">
        <f>'All Costs'!$F$16</f>
        <v>42.35</v>
      </c>
      <c r="D10" s="124">
        <f>'All Costs'!$I$35</f>
        <v>183.68</v>
      </c>
      <c r="E10" s="123">
        <f>'All Costs'!$H$139</f>
        <v>82.434278025045231</v>
      </c>
      <c r="F10" s="124">
        <f>'All Costs'!$L$191</f>
        <v>31.601073918269023</v>
      </c>
      <c r="G10" s="123">
        <f>'All Costs'!$K$195</f>
        <v>12.09599458066679</v>
      </c>
      <c r="H10" s="124">
        <f>'All Costs'!$H$21</f>
        <v>177.6</v>
      </c>
      <c r="I10" s="124">
        <f>'All Costs'!$C$428</f>
        <v>197.89</v>
      </c>
      <c r="J10" s="126">
        <f>'All Costs'!$C$427</f>
        <v>129.80000000000001</v>
      </c>
      <c r="K10" s="124">
        <f>'All Costs'!$F$23</f>
        <v>12.63</v>
      </c>
      <c r="L10" s="124">
        <f>'All Costs'!$J$392</f>
        <v>554.1899028215372</v>
      </c>
      <c r="M10" s="124">
        <f>'All Costs'!$F$375</f>
        <v>69.576260573741138</v>
      </c>
      <c r="N10" s="124">
        <f>'All Costs'!$F$225</f>
        <v>65.54284050699296</v>
      </c>
      <c r="O10" s="123">
        <f>'All Costs'!$J$322</f>
        <v>1864.7540549971263</v>
      </c>
      <c r="P10" s="182">
        <f>'All Costs'!$F$64</f>
        <v>427</v>
      </c>
    </row>
    <row r="11" spans="1:16" x14ac:dyDescent="0.25">
      <c r="A11" s="168">
        <v>9</v>
      </c>
      <c r="B11" s="99" t="s">
        <v>418</v>
      </c>
      <c r="C11" s="126">
        <f>'All Costs'!$F$16</f>
        <v>42.35</v>
      </c>
      <c r="D11" s="124">
        <f>'All Costs'!$I$35</f>
        <v>183.68</v>
      </c>
      <c r="E11" s="123">
        <f>'All Costs'!$H$139</f>
        <v>82.434278025045231</v>
      </c>
      <c r="F11" s="124">
        <f>'All Costs'!$L$191</f>
        <v>31.601073918269023</v>
      </c>
      <c r="G11" s="123">
        <f>'All Costs'!$K$195</f>
        <v>12.09599458066679</v>
      </c>
      <c r="H11" s="124">
        <f>'All Costs'!$H$21</f>
        <v>177.6</v>
      </c>
      <c r="I11" s="124">
        <f>'All Costs'!$C$428</f>
        <v>197.89</v>
      </c>
      <c r="J11" s="126">
        <f>'All Costs'!$C$427</f>
        <v>129.80000000000001</v>
      </c>
      <c r="K11" s="124">
        <f>'All Costs'!$F$23</f>
        <v>12.63</v>
      </c>
      <c r="L11" s="124">
        <f>'All Costs'!$J$392</f>
        <v>554.1899028215372</v>
      </c>
      <c r="M11" s="124">
        <f>'All Costs'!$F$375</f>
        <v>69.576260573741138</v>
      </c>
      <c r="N11" s="124">
        <f>'All Costs'!$F$225</f>
        <v>65.54284050699296</v>
      </c>
      <c r="O11" s="123">
        <f>'All Costs'!$J$322</f>
        <v>1864.7540549971263</v>
      </c>
      <c r="P11" s="182">
        <f>'All Costs'!$F$64</f>
        <v>427</v>
      </c>
    </row>
    <row r="12" spans="1:16" x14ac:dyDescent="0.25">
      <c r="A12" s="168">
        <v>10</v>
      </c>
      <c r="B12" s="99" t="s">
        <v>418</v>
      </c>
      <c r="C12" s="126">
        <f>'All Costs'!$F$16</f>
        <v>42.35</v>
      </c>
      <c r="D12" s="124">
        <f>'All Costs'!$I$35</f>
        <v>183.68</v>
      </c>
      <c r="E12" s="123">
        <f>'All Costs'!$H$139</f>
        <v>82.434278025045231</v>
      </c>
      <c r="F12" s="124">
        <f>'All Costs'!$L$191</f>
        <v>31.601073918269023</v>
      </c>
      <c r="G12" s="123">
        <f>'All Costs'!$K$195</f>
        <v>12.09599458066679</v>
      </c>
      <c r="H12" s="124">
        <f>'All Costs'!$H$21</f>
        <v>177.6</v>
      </c>
      <c r="I12" s="124">
        <f>'All Costs'!$C$428</f>
        <v>197.89</v>
      </c>
      <c r="J12" s="126">
        <f>'All Costs'!$C$427</f>
        <v>129.80000000000001</v>
      </c>
      <c r="K12" s="124">
        <f>'All Costs'!$F$23</f>
        <v>12.63</v>
      </c>
      <c r="L12" s="124">
        <f>'All Costs'!$J$392</f>
        <v>554.1899028215372</v>
      </c>
      <c r="M12" s="124">
        <f>'All Costs'!$F$375</f>
        <v>69.576260573741138</v>
      </c>
      <c r="N12" s="124">
        <f>'All Costs'!$F$225</f>
        <v>65.54284050699296</v>
      </c>
      <c r="O12" s="123">
        <f>'All Costs'!$J$322</f>
        <v>1864.7540549971263</v>
      </c>
      <c r="P12" s="182">
        <f>'All Costs'!$F$64</f>
        <v>427</v>
      </c>
    </row>
    <row r="13" spans="1:16" x14ac:dyDescent="0.25">
      <c r="A13" s="168">
        <v>11</v>
      </c>
      <c r="B13" s="99" t="s">
        <v>420</v>
      </c>
      <c r="C13" s="126">
        <f>'All Costs'!$F$16+0.69</f>
        <v>43.04</v>
      </c>
      <c r="D13" s="124">
        <f>'All Costs'!$I$35</f>
        <v>183.68</v>
      </c>
      <c r="E13" s="124">
        <f>2*'All Costs'!$H$139</f>
        <v>164.86855605009046</v>
      </c>
      <c r="F13" s="124">
        <f>'All Costs'!$L$191</f>
        <v>31.601073918269023</v>
      </c>
      <c r="G13" s="123">
        <f>'All Costs'!$K$195</f>
        <v>12.09599458066679</v>
      </c>
      <c r="H13" s="124">
        <f>'All Costs'!$H$21</f>
        <v>177.6</v>
      </c>
      <c r="I13" s="124">
        <f>'All Costs'!$C$428</f>
        <v>197.89</v>
      </c>
      <c r="J13" s="126">
        <f>'All Costs'!$C$427</f>
        <v>129.80000000000001</v>
      </c>
      <c r="K13" s="124">
        <f>'All Costs'!$F$23</f>
        <v>12.63</v>
      </c>
      <c r="L13" s="124">
        <f>'All Costs'!$J$392</f>
        <v>554.1899028215372</v>
      </c>
      <c r="M13" s="124">
        <f>'All Costs'!$F$375</f>
        <v>69.576260573741138</v>
      </c>
      <c r="N13" s="124">
        <f>'All Costs'!$F$225</f>
        <v>65.54284050699296</v>
      </c>
      <c r="O13" s="123">
        <f>'All Costs'!$J$322</f>
        <v>1864.7540549971263</v>
      </c>
      <c r="P13" s="182">
        <f>'All Costs'!$F$64</f>
        <v>427</v>
      </c>
    </row>
    <row r="14" spans="1:16" x14ac:dyDescent="0.25">
      <c r="A14" s="168">
        <v>12</v>
      </c>
      <c r="B14" s="99" t="s">
        <v>420</v>
      </c>
      <c r="C14" s="126">
        <f>'All Costs'!$F$16+0.69</f>
        <v>43.04</v>
      </c>
      <c r="D14" s="124">
        <f>'All Costs'!$I$35</f>
        <v>183.68</v>
      </c>
      <c r="E14" s="124">
        <f>2*'All Costs'!$H$139</f>
        <v>164.86855605009046</v>
      </c>
      <c r="F14" s="124">
        <f>'All Costs'!$L$191</f>
        <v>31.601073918269023</v>
      </c>
      <c r="G14" s="123">
        <f>'All Costs'!$K$195</f>
        <v>12.09599458066679</v>
      </c>
      <c r="H14" s="124">
        <f>'All Costs'!$H$21</f>
        <v>177.6</v>
      </c>
      <c r="I14" s="124">
        <f>'All Costs'!$C$428</f>
        <v>197.89</v>
      </c>
      <c r="J14" s="126">
        <f>'All Costs'!$C$427</f>
        <v>129.80000000000001</v>
      </c>
      <c r="K14" s="124">
        <f>'All Costs'!$F$23</f>
        <v>12.63</v>
      </c>
      <c r="L14" s="124">
        <f>'All Costs'!$J$392</f>
        <v>554.1899028215372</v>
      </c>
      <c r="M14" s="124">
        <f>'All Costs'!$F$375</f>
        <v>69.576260573741138</v>
      </c>
      <c r="N14" s="124">
        <f>'All Costs'!$F$225</f>
        <v>65.54284050699296</v>
      </c>
      <c r="O14" s="123">
        <f>'All Costs'!$J$322</f>
        <v>1864.7540549971263</v>
      </c>
      <c r="P14" s="182">
        <f>'All Costs'!$F$64</f>
        <v>427</v>
      </c>
    </row>
    <row r="15" spans="1:16" x14ac:dyDescent="0.25">
      <c r="A15" s="168">
        <v>13</v>
      </c>
      <c r="B15" s="99" t="s">
        <v>420</v>
      </c>
      <c r="C15" s="126">
        <f>'All Costs'!$F$16+0.69</f>
        <v>43.04</v>
      </c>
      <c r="D15" s="124">
        <f>'All Costs'!$I$35</f>
        <v>183.68</v>
      </c>
      <c r="E15" s="124">
        <f>2*'All Costs'!$H$139</f>
        <v>164.86855605009046</v>
      </c>
      <c r="F15" s="124">
        <f>'All Costs'!$L$191</f>
        <v>31.601073918269023</v>
      </c>
      <c r="G15" s="123">
        <f>'All Costs'!$K$195</f>
        <v>12.09599458066679</v>
      </c>
      <c r="H15" s="124">
        <f>'All Costs'!$H$21</f>
        <v>177.6</v>
      </c>
      <c r="I15" s="124">
        <f>'All Costs'!$C$428</f>
        <v>197.89</v>
      </c>
      <c r="J15" s="126">
        <f>'All Costs'!$C$427</f>
        <v>129.80000000000001</v>
      </c>
      <c r="K15" s="124">
        <f>'All Costs'!$F$23</f>
        <v>12.63</v>
      </c>
      <c r="L15" s="124">
        <f>'All Costs'!$J$392</f>
        <v>554.1899028215372</v>
      </c>
      <c r="M15" s="124">
        <f>'All Costs'!$F$375</f>
        <v>69.576260573741138</v>
      </c>
      <c r="N15" s="124">
        <f>'All Costs'!$F$225</f>
        <v>65.54284050699296</v>
      </c>
      <c r="O15" s="123">
        <f>'All Costs'!$J$322</f>
        <v>1864.7540549971263</v>
      </c>
      <c r="P15" s="182">
        <f>'All Costs'!$F$64</f>
        <v>427</v>
      </c>
    </row>
    <row r="16" spans="1:16" x14ac:dyDescent="0.25">
      <c r="A16" s="168">
        <v>14</v>
      </c>
      <c r="B16" s="99" t="s">
        <v>420</v>
      </c>
      <c r="C16" s="126">
        <f>'All Costs'!$F$16+0.69</f>
        <v>43.04</v>
      </c>
      <c r="D16" s="124">
        <f>'All Costs'!$I$35</f>
        <v>183.68</v>
      </c>
      <c r="E16" s="124">
        <f>2*'All Costs'!$H$139</f>
        <v>164.86855605009046</v>
      </c>
      <c r="F16" s="124">
        <f>'All Costs'!$L$191</f>
        <v>31.601073918269023</v>
      </c>
      <c r="G16" s="123">
        <f>'All Costs'!$K$195</f>
        <v>12.09599458066679</v>
      </c>
      <c r="H16" s="124">
        <f>'All Costs'!$H$21</f>
        <v>177.6</v>
      </c>
      <c r="I16" s="124">
        <f>'All Costs'!$C$428</f>
        <v>197.89</v>
      </c>
      <c r="J16" s="126">
        <f>'All Costs'!$C$427</f>
        <v>129.80000000000001</v>
      </c>
      <c r="K16" s="124">
        <f>'All Costs'!$F$23</f>
        <v>12.63</v>
      </c>
      <c r="L16" s="124">
        <f>'All Costs'!$J$392</f>
        <v>554.1899028215372</v>
      </c>
      <c r="M16" s="124">
        <f>'All Costs'!$F$375</f>
        <v>69.576260573741138</v>
      </c>
      <c r="N16" s="124">
        <f>'All Costs'!$F$225</f>
        <v>65.54284050699296</v>
      </c>
      <c r="O16" s="123">
        <f>'All Costs'!$J$322</f>
        <v>1864.7540549971263</v>
      </c>
      <c r="P16" s="182">
        <f>'All Costs'!$F$64</f>
        <v>427</v>
      </c>
    </row>
    <row r="17" spans="1:16" x14ac:dyDescent="0.25">
      <c r="A17" s="168">
        <v>15</v>
      </c>
      <c r="B17" s="99" t="s">
        <v>420</v>
      </c>
      <c r="C17" s="126">
        <f>'All Costs'!$F$16+0.69</f>
        <v>43.04</v>
      </c>
      <c r="D17" s="124">
        <f>'All Costs'!$I$35</f>
        <v>183.68</v>
      </c>
      <c r="E17" s="124">
        <f>2*'All Costs'!$H$139</f>
        <v>164.86855605009046</v>
      </c>
      <c r="F17" s="124">
        <f>'All Costs'!$L$191</f>
        <v>31.601073918269023</v>
      </c>
      <c r="G17" s="123">
        <f>'All Costs'!$K$195</f>
        <v>12.09599458066679</v>
      </c>
      <c r="H17" s="124">
        <f>'All Costs'!$H$21</f>
        <v>177.6</v>
      </c>
      <c r="I17" s="124">
        <f>'All Costs'!$C$428</f>
        <v>197.89</v>
      </c>
      <c r="J17" s="126">
        <f>'All Costs'!$C$427</f>
        <v>129.80000000000001</v>
      </c>
      <c r="K17" s="124">
        <f>'All Costs'!$F$23</f>
        <v>12.63</v>
      </c>
      <c r="L17" s="124">
        <f>'All Costs'!$J$392</f>
        <v>554.1899028215372</v>
      </c>
      <c r="M17" s="124">
        <f>'All Costs'!$F$375</f>
        <v>69.576260573741138</v>
      </c>
      <c r="N17" s="124">
        <f>'All Costs'!$F$225</f>
        <v>65.54284050699296</v>
      </c>
      <c r="O17" s="123">
        <f>'All Costs'!$J$322</f>
        <v>1864.7540549971263</v>
      </c>
      <c r="P17" s="182">
        <f>'All Costs'!$F$64</f>
        <v>427</v>
      </c>
    </row>
    <row r="18" spans="1:16" x14ac:dyDescent="0.25">
      <c r="A18" s="168">
        <v>16</v>
      </c>
      <c r="B18" s="99" t="s">
        <v>420</v>
      </c>
      <c r="C18" s="126">
        <f>'All Costs'!$F$16+0.69</f>
        <v>43.04</v>
      </c>
      <c r="D18" s="124">
        <f>'All Costs'!$I$35</f>
        <v>183.68</v>
      </c>
      <c r="E18" s="124">
        <f>2*'All Costs'!$H$139</f>
        <v>164.86855605009046</v>
      </c>
      <c r="F18" s="124">
        <f>'All Costs'!$L$191</f>
        <v>31.601073918269023</v>
      </c>
      <c r="G18" s="123">
        <f>'All Costs'!$K$195</f>
        <v>12.09599458066679</v>
      </c>
      <c r="H18" s="124">
        <f>'All Costs'!$H$21</f>
        <v>177.6</v>
      </c>
      <c r="I18" s="124">
        <f>'All Costs'!$C$428</f>
        <v>197.89</v>
      </c>
      <c r="J18" s="126">
        <f>'All Costs'!$C$427</f>
        <v>129.80000000000001</v>
      </c>
      <c r="K18" s="124">
        <f>'All Costs'!$F$23</f>
        <v>12.63</v>
      </c>
      <c r="L18" s="124">
        <f>'All Costs'!$J$392</f>
        <v>554.1899028215372</v>
      </c>
      <c r="M18" s="124">
        <f>'All Costs'!$F$375</f>
        <v>69.576260573741138</v>
      </c>
      <c r="N18" s="124">
        <f>'All Costs'!$F$225</f>
        <v>65.54284050699296</v>
      </c>
      <c r="O18" s="123">
        <f>'All Costs'!$J$322</f>
        <v>1864.7540549971263</v>
      </c>
      <c r="P18" s="182">
        <f>'All Costs'!$F$64</f>
        <v>427</v>
      </c>
    </row>
    <row r="19" spans="1:16" x14ac:dyDescent="0.25">
      <c r="A19" s="168">
        <v>17</v>
      </c>
      <c r="B19" s="99" t="s">
        <v>420</v>
      </c>
      <c r="C19" s="126">
        <f>'All Costs'!$F$16+0.69</f>
        <v>43.04</v>
      </c>
      <c r="D19" s="124">
        <f>'All Costs'!$I$35</f>
        <v>183.68</v>
      </c>
      <c r="E19" s="124">
        <f>2*'All Costs'!$H$139</f>
        <v>164.86855605009046</v>
      </c>
      <c r="F19" s="124">
        <f>'All Costs'!$L$191</f>
        <v>31.601073918269023</v>
      </c>
      <c r="G19" s="123">
        <f>'All Costs'!$K$195</f>
        <v>12.09599458066679</v>
      </c>
      <c r="H19" s="124">
        <f>'All Costs'!$H$21</f>
        <v>177.6</v>
      </c>
      <c r="I19" s="124">
        <f>'All Costs'!$C$428</f>
        <v>197.89</v>
      </c>
      <c r="J19" s="126">
        <f>'All Costs'!$C$427</f>
        <v>129.80000000000001</v>
      </c>
      <c r="K19" s="124">
        <f>'All Costs'!$F$23</f>
        <v>12.63</v>
      </c>
      <c r="L19" s="124">
        <f>'All Costs'!$J$392</f>
        <v>554.1899028215372</v>
      </c>
      <c r="M19" s="124">
        <f>'All Costs'!$F$375</f>
        <v>69.576260573741138</v>
      </c>
      <c r="N19" s="124">
        <f>'All Costs'!$F$225</f>
        <v>65.54284050699296</v>
      </c>
      <c r="O19" s="123">
        <f>'All Costs'!$J$322</f>
        <v>1864.7540549971263</v>
      </c>
      <c r="P19" s="182">
        <f>'All Costs'!$F$64</f>
        <v>427</v>
      </c>
    </row>
    <row r="20" spans="1:16" x14ac:dyDescent="0.25">
      <c r="A20" s="168">
        <v>18</v>
      </c>
      <c r="B20" s="99" t="s">
        <v>420</v>
      </c>
      <c r="C20" s="126">
        <f>'All Costs'!$F$16+0.69</f>
        <v>43.04</v>
      </c>
      <c r="D20" s="124">
        <f>'All Costs'!$I$35</f>
        <v>183.68</v>
      </c>
      <c r="E20" s="124">
        <f>2*'All Costs'!$H$139</f>
        <v>164.86855605009046</v>
      </c>
      <c r="F20" s="124">
        <f>'All Costs'!$L$191</f>
        <v>31.601073918269023</v>
      </c>
      <c r="G20" s="123">
        <f>'All Costs'!$K$195</f>
        <v>12.09599458066679</v>
      </c>
      <c r="H20" s="124">
        <f>'All Costs'!$H$21</f>
        <v>177.6</v>
      </c>
      <c r="I20" s="124">
        <f>'All Costs'!$C$428</f>
        <v>197.89</v>
      </c>
      <c r="J20" s="126">
        <f>'All Costs'!$C$427</f>
        <v>129.80000000000001</v>
      </c>
      <c r="K20" s="124">
        <f>'All Costs'!$F$23</f>
        <v>12.63</v>
      </c>
      <c r="L20" s="124">
        <f>'All Costs'!$J$392</f>
        <v>554.1899028215372</v>
      </c>
      <c r="M20" s="124">
        <f>'All Costs'!$F$375</f>
        <v>69.576260573741138</v>
      </c>
      <c r="N20" s="124">
        <f>'All Costs'!$F$225</f>
        <v>65.54284050699296</v>
      </c>
      <c r="O20" s="123">
        <f>'All Costs'!$J$322</f>
        <v>1864.7540549971263</v>
      </c>
      <c r="P20" s="182">
        <f>'All Costs'!$F$64</f>
        <v>427</v>
      </c>
    </row>
    <row r="21" spans="1:16" x14ac:dyDescent="0.25">
      <c r="A21" s="168">
        <v>19</v>
      </c>
      <c r="B21" s="99" t="s">
        <v>420</v>
      </c>
      <c r="C21" s="126">
        <f>'All Costs'!$F$16+0.69</f>
        <v>43.04</v>
      </c>
      <c r="D21" s="124">
        <f>'All Costs'!$I$35</f>
        <v>183.68</v>
      </c>
      <c r="E21" s="124">
        <f>2*'All Costs'!$H$139</f>
        <v>164.86855605009046</v>
      </c>
      <c r="F21" s="124">
        <f>'All Costs'!$L$191</f>
        <v>31.601073918269023</v>
      </c>
      <c r="G21" s="123">
        <f>'All Costs'!$K$195</f>
        <v>12.09599458066679</v>
      </c>
      <c r="H21" s="124">
        <f>'All Costs'!$H$21</f>
        <v>177.6</v>
      </c>
      <c r="I21" s="124">
        <f>'All Costs'!$C$428</f>
        <v>197.89</v>
      </c>
      <c r="J21" s="126">
        <f>'All Costs'!$C$427</f>
        <v>129.80000000000001</v>
      </c>
      <c r="K21" s="124">
        <f>'All Costs'!$F$23</f>
        <v>12.63</v>
      </c>
      <c r="L21" s="124">
        <f>'All Costs'!$J$392</f>
        <v>554.1899028215372</v>
      </c>
      <c r="M21" s="124">
        <f>'All Costs'!$F$375</f>
        <v>69.576260573741138</v>
      </c>
      <c r="N21" s="124">
        <f>'All Costs'!$F$225</f>
        <v>65.54284050699296</v>
      </c>
      <c r="O21" s="123">
        <f>'All Costs'!$J$322</f>
        <v>1864.7540549971263</v>
      </c>
      <c r="P21" s="182">
        <f>'All Costs'!$F$64</f>
        <v>427</v>
      </c>
    </row>
    <row r="22" spans="1:16" ht="16.5" thickBot="1" x14ac:dyDescent="0.3">
      <c r="A22" s="167">
        <v>20</v>
      </c>
      <c r="B22" s="127" t="s">
        <v>420</v>
      </c>
      <c r="C22" s="130">
        <f>'All Costs'!$F$16+0.69</f>
        <v>43.04</v>
      </c>
      <c r="D22" s="128">
        <f>'All Costs'!$I$35</f>
        <v>183.68</v>
      </c>
      <c r="E22" s="128">
        <f>2*'All Costs'!$H$139</f>
        <v>164.86855605009046</v>
      </c>
      <c r="F22" s="128">
        <f>'All Costs'!$L$191</f>
        <v>31.601073918269023</v>
      </c>
      <c r="G22" s="129">
        <f>'All Costs'!$K$195</f>
        <v>12.09599458066679</v>
      </c>
      <c r="H22" s="128">
        <f>'All Costs'!$H$21</f>
        <v>177.6</v>
      </c>
      <c r="I22" s="128">
        <f>'All Costs'!$C$428</f>
        <v>197.89</v>
      </c>
      <c r="J22" s="130">
        <f>'All Costs'!$C$427</f>
        <v>129.80000000000001</v>
      </c>
      <c r="K22" s="128">
        <f>'All Costs'!$F$23</f>
        <v>12.63</v>
      </c>
      <c r="L22" s="128">
        <f>'All Costs'!$J$392</f>
        <v>554.1899028215372</v>
      </c>
      <c r="M22" s="128">
        <f>'All Costs'!$F$375</f>
        <v>69.576260573741138</v>
      </c>
      <c r="N22" s="128">
        <f>'All Costs'!$F$225</f>
        <v>65.54284050699296</v>
      </c>
      <c r="O22" s="129">
        <f>'All Costs'!$J$322</f>
        <v>1864.7540549971263</v>
      </c>
      <c r="P22" s="183">
        <f>'All Costs'!$F$64</f>
        <v>427</v>
      </c>
    </row>
    <row r="28" spans="1:16" x14ac:dyDescent="0.25">
      <c r="C28" s="169"/>
    </row>
    <row r="30" spans="1:16" x14ac:dyDescent="0.25">
      <c r="A30" s="3"/>
      <c r="B30" s="3"/>
    </row>
    <row r="31" spans="1:16" x14ac:dyDescent="0.25">
      <c r="A31" s="3"/>
      <c r="B31" s="3"/>
    </row>
    <row r="32" spans="1:16" x14ac:dyDescent="0.25">
      <c r="A32" s="3"/>
      <c r="B32" s="3"/>
    </row>
    <row r="33" spans="1:2" x14ac:dyDescent="0.25">
      <c r="A33" s="3"/>
      <c r="B33" s="3"/>
    </row>
    <row r="34" spans="1:2" x14ac:dyDescent="0.25">
      <c r="A34" s="3"/>
      <c r="B34" s="3"/>
    </row>
    <row r="35" spans="1:2" x14ac:dyDescent="0.25">
      <c r="A35" s="3"/>
      <c r="B35" s="3"/>
    </row>
    <row r="36" spans="1:2" x14ac:dyDescent="0.25">
      <c r="A36" s="3"/>
      <c r="B36" s="3"/>
    </row>
    <row r="37" spans="1:2" x14ac:dyDescent="0.25">
      <c r="A37" s="3"/>
      <c r="B37" s="3"/>
    </row>
    <row r="38" spans="1:2" x14ac:dyDescent="0.25">
      <c r="A38" s="3"/>
      <c r="B38" s="3"/>
    </row>
    <row r="39" spans="1:2" x14ac:dyDescent="0.25">
      <c r="A39" s="3"/>
      <c r="B39" s="3"/>
    </row>
    <row r="40" spans="1:2" x14ac:dyDescent="0.25">
      <c r="A40" s="3"/>
      <c r="B40" s="3"/>
    </row>
    <row r="41" spans="1:2" x14ac:dyDescent="0.25">
      <c r="A41" s="3"/>
      <c r="B41" s="3"/>
    </row>
    <row r="42" spans="1:2" x14ac:dyDescent="0.25">
      <c r="A42" s="3"/>
      <c r="B42" s="3"/>
    </row>
    <row r="43" spans="1:2" x14ac:dyDescent="0.25">
      <c r="A43" s="3"/>
      <c r="B43" s="3"/>
    </row>
  </sheetData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Q76"/>
  <sheetViews>
    <sheetView topLeftCell="T7" zoomScale="80" zoomScaleNormal="80" workbookViewId="0">
      <selection activeCell="AG30" sqref="AG30:AI30"/>
    </sheetView>
  </sheetViews>
  <sheetFormatPr defaultColWidth="11" defaultRowHeight="15.75" x14ac:dyDescent="0.25"/>
  <cols>
    <col min="1" max="1" width="16.875" bestFit="1" customWidth="1"/>
    <col min="2" max="2" width="12.125" bestFit="1" customWidth="1"/>
    <col min="3" max="3" width="15.5" bestFit="1" customWidth="1"/>
    <col min="4" max="7" width="13.125" bestFit="1" customWidth="1"/>
    <col min="8" max="8" width="14.625" bestFit="1" customWidth="1"/>
    <col min="9" max="11" width="13.125" bestFit="1" customWidth="1"/>
    <col min="12" max="12" width="13.125" customWidth="1"/>
    <col min="13" max="13" width="14.5" bestFit="1" customWidth="1"/>
    <col min="14" max="14" width="13.125" bestFit="1" customWidth="1"/>
    <col min="15" max="15" width="13.25" bestFit="1" customWidth="1"/>
    <col min="16" max="16" width="13.125" bestFit="1" customWidth="1"/>
    <col min="17" max="17" width="14.625" bestFit="1" customWidth="1"/>
    <col min="18" max="18" width="14.625" customWidth="1"/>
    <col min="21" max="21" width="14.125" bestFit="1" customWidth="1"/>
    <col min="31" max="32" width="12.625" bestFit="1" customWidth="1"/>
  </cols>
  <sheetData>
    <row r="1" spans="1:43" ht="18.75" x14ac:dyDescent="0.3">
      <c r="A1" s="2" t="s">
        <v>424</v>
      </c>
    </row>
    <row r="2" spans="1:43" x14ac:dyDescent="0.25">
      <c r="A2" s="86" t="s">
        <v>47</v>
      </c>
    </row>
    <row r="3" spans="1:43" x14ac:dyDescent="0.25">
      <c r="A3" s="86"/>
    </row>
    <row r="4" spans="1:43" ht="21.75" thickBot="1" x14ac:dyDescent="0.4">
      <c r="A4" s="85" t="s">
        <v>564</v>
      </c>
      <c r="S4" s="85" t="s">
        <v>568</v>
      </c>
      <c r="U4" s="85"/>
      <c r="AE4" s="85" t="s">
        <v>567</v>
      </c>
    </row>
    <row r="5" spans="1:43" ht="48" thickBot="1" x14ac:dyDescent="0.3">
      <c r="A5" s="105" t="s">
        <v>38</v>
      </c>
      <c r="B5" s="106" t="s">
        <v>419</v>
      </c>
      <c r="C5" s="107" t="s">
        <v>86</v>
      </c>
      <c r="D5" s="108" t="s">
        <v>82</v>
      </c>
      <c r="E5" s="108" t="s">
        <v>83</v>
      </c>
      <c r="F5" s="108" t="s">
        <v>90</v>
      </c>
      <c r="G5" s="108" t="s">
        <v>92</v>
      </c>
      <c r="H5" s="108" t="s">
        <v>94</v>
      </c>
      <c r="I5" s="109" t="s">
        <v>476</v>
      </c>
      <c r="J5" s="108" t="s">
        <v>97</v>
      </c>
      <c r="K5" s="108" t="s">
        <v>100</v>
      </c>
      <c r="L5" s="108" t="s">
        <v>101</v>
      </c>
      <c r="M5" s="108" t="s">
        <v>102</v>
      </c>
      <c r="N5" s="110" t="s">
        <v>103</v>
      </c>
      <c r="O5" s="103" t="s">
        <v>59</v>
      </c>
      <c r="P5" s="103" t="s">
        <v>566</v>
      </c>
      <c r="Q5" s="86"/>
      <c r="R5" s="86"/>
      <c r="S5" s="134" t="s">
        <v>38</v>
      </c>
      <c r="T5" s="106">
        <v>1</v>
      </c>
      <c r="U5" s="106">
        <v>2</v>
      </c>
      <c r="V5" s="106">
        <v>3</v>
      </c>
      <c r="W5" s="106">
        <v>4</v>
      </c>
      <c r="X5" s="106">
        <v>5</v>
      </c>
      <c r="Y5" s="106">
        <v>6</v>
      </c>
      <c r="Z5" s="106">
        <v>7</v>
      </c>
      <c r="AA5" s="106">
        <v>8</v>
      </c>
      <c r="AB5" s="106">
        <v>9</v>
      </c>
      <c r="AC5" s="106">
        <v>10</v>
      </c>
      <c r="AD5" s="165" t="s">
        <v>473</v>
      </c>
      <c r="AF5" s="134" t="s">
        <v>38</v>
      </c>
      <c r="AG5" s="106">
        <v>1</v>
      </c>
      <c r="AH5" s="106">
        <v>2</v>
      </c>
      <c r="AI5" s="106">
        <v>3</v>
      </c>
      <c r="AJ5" s="106">
        <v>4</v>
      </c>
      <c r="AK5" s="106">
        <v>5</v>
      </c>
      <c r="AL5" s="106">
        <v>6</v>
      </c>
      <c r="AM5" s="106">
        <v>7</v>
      </c>
      <c r="AN5" s="106">
        <v>8</v>
      </c>
      <c r="AO5" s="106">
        <v>9</v>
      </c>
      <c r="AP5" s="106">
        <v>10</v>
      </c>
      <c r="AQ5" s="165" t="s">
        <v>473</v>
      </c>
    </row>
    <row r="6" spans="1:43" x14ac:dyDescent="0.25">
      <c r="A6" s="116">
        <v>0</v>
      </c>
      <c r="B6" s="100" t="s">
        <v>417</v>
      </c>
      <c r="C6" s="101">
        <f>Incidence!D2*Cost!C2</f>
        <v>37.995430446197005</v>
      </c>
      <c r="D6" s="102">
        <f>Incidence!E2*Cost!D2</f>
        <v>119.73545</v>
      </c>
      <c r="E6" s="102">
        <f>Incidence!F2*Cost!E2</f>
        <v>25.637060465789066</v>
      </c>
      <c r="F6" s="102">
        <f>Incidence!G2*Cost!F2</f>
        <v>12.914927390506389</v>
      </c>
      <c r="G6" s="102">
        <f>Incidence!H2*Cost!G2</f>
        <v>4.5964779406533802</v>
      </c>
      <c r="H6" s="102">
        <f>Incidence!I2*Cost!H2</f>
        <v>45.524780745875788</v>
      </c>
      <c r="I6" s="102">
        <f>IF(Inputs!$C$11="Male",Incidence!J2*Cost!J2,Incidence!J2*Cost!I2)</f>
        <v>18.704180000000001</v>
      </c>
      <c r="J6" s="102">
        <f>Incidence!K2*Cost!K2</f>
        <v>1.4031930000000004</v>
      </c>
      <c r="K6" s="102">
        <f>Incidence!L2*Cost!L2</f>
        <v>47.660331642652196</v>
      </c>
      <c r="L6" s="102">
        <f>Incidence!M2*Cost!M2</f>
        <v>4.5085416851784252</v>
      </c>
      <c r="M6" s="102">
        <f>Incidence!N2*Cost!N2</f>
        <v>3.2443706050961518</v>
      </c>
      <c r="N6" s="102">
        <f>Incidence!O2*Cost!O2</f>
        <v>87.270489773865521</v>
      </c>
      <c r="O6" s="104">
        <f>SUM(C6:N6)</f>
        <v>409.1952336958139</v>
      </c>
      <c r="P6" s="237">
        <f>SUM(C6:H6,J6:N6)</f>
        <v>390.49105369581389</v>
      </c>
      <c r="S6" s="56">
        <v>0</v>
      </c>
      <c r="T6" s="102">
        <f t="shared" ref="T6:T26" si="0">O6*$AH$32</f>
        <v>107.82294407884697</v>
      </c>
      <c r="U6" s="102">
        <f t="shared" ref="U6:U26" si="1">$U$5*O6*$AH$33</f>
        <v>139.12637945657673</v>
      </c>
      <c r="V6" s="102">
        <f t="shared" ref="V6:V26" si="2">$V$5*O6*$AH$34</f>
        <v>42.965499538060463</v>
      </c>
      <c r="W6" s="102">
        <f t="shared" ref="W6:W26" si="3">4*O6*$AH$35</f>
        <v>4.9103428043497672</v>
      </c>
      <c r="X6" s="102">
        <f t="shared" ref="X6:X26" si="4">$X$5*O6*$AH$36</f>
        <v>5.1149404211976739</v>
      </c>
      <c r="Y6" s="102">
        <f t="shared" ref="Y6:Y26" si="5">$Y$5*O6*$AH$37</f>
        <v>2.4551714021748836</v>
      </c>
      <c r="Z6" s="102">
        <f t="shared" ref="Z6:Z26" si="6">O6*$Z$5*$AH$38</f>
        <v>2.2914933086965581</v>
      </c>
      <c r="AA6" s="102">
        <f t="shared" ref="AA6:AA26" si="7">O6*$AA$5*$AH$39</f>
        <v>0.98206856086995331</v>
      </c>
      <c r="AB6" s="102">
        <f t="shared" ref="AB6:AB26" si="8">O6*$AB$5*$AH$40</f>
        <v>0.73655142065246504</v>
      </c>
      <c r="AC6" s="102">
        <f t="shared" ref="AC6:AC26" si="9">O6*$AC$5*$AH$41</f>
        <v>0.4091952336958139</v>
      </c>
      <c r="AD6" s="136">
        <f>SUM(T6:AC6)</f>
        <v>306.81458622512122</v>
      </c>
      <c r="AF6" s="56">
        <v>0</v>
      </c>
      <c r="AG6" s="102">
        <f t="shared" ref="AG6:AG26" si="10">P6*$AH$32</f>
        <v>102.89439264884696</v>
      </c>
      <c r="AH6" s="102">
        <f t="shared" ref="AH6:AH26" si="11">P6*$U$5*$AH$33</f>
        <v>132.76695825657674</v>
      </c>
      <c r="AI6" s="102">
        <f t="shared" ref="AI6:AI26" si="12">$V$5*P6*$AH$34</f>
        <v>41.001560638060461</v>
      </c>
      <c r="AJ6" s="102">
        <f t="shared" ref="AJ6:AJ26" si="13">4*P6*$AH$35</f>
        <v>4.6858926443497664</v>
      </c>
      <c r="AK6" s="102">
        <f t="shared" ref="AK6:AK26" si="14">$X$5*P6*$AH$36</f>
        <v>4.8811381711976738</v>
      </c>
      <c r="AL6" s="102">
        <f t="shared" ref="AL6:AL26" si="15">$Y$5*P6*$AH$37</f>
        <v>2.3429463221748832</v>
      </c>
      <c r="AM6" s="102">
        <f t="shared" ref="AM6:AM26" si="16">P6*$Z$5*$AH$38</f>
        <v>2.1867499006965576</v>
      </c>
      <c r="AN6" s="102">
        <f t="shared" ref="AN6:AN26" si="17">P6*$AA$5*$AH$39</f>
        <v>0.93717852886995323</v>
      </c>
      <c r="AO6" s="102">
        <f t="shared" ref="AO6:AO26" si="18">P6*$AB$5*$AH$40</f>
        <v>0.70288389665246509</v>
      </c>
      <c r="AP6" s="102">
        <f>P6*$AC$5*$AH$41</f>
        <v>0.39049105369581388</v>
      </c>
      <c r="AQ6" s="136">
        <f>SUM(AG6:AP6)</f>
        <v>292.79019206112133</v>
      </c>
    </row>
    <row r="7" spans="1:43" x14ac:dyDescent="0.25">
      <c r="A7" s="116">
        <v>1</v>
      </c>
      <c r="B7" s="100" t="s">
        <v>417</v>
      </c>
      <c r="C7" s="101">
        <f>Incidence!D3*Cost!C3</f>
        <v>37.995430446197005</v>
      </c>
      <c r="D7" s="102">
        <f>Incidence!E3*Cost!D3</f>
        <v>119.73545</v>
      </c>
      <c r="E7" s="102">
        <f>Incidence!F3*Cost!E3</f>
        <v>25.637060465789066</v>
      </c>
      <c r="F7" s="102">
        <f>Incidence!G3*Cost!F3</f>
        <v>13.060611850636183</v>
      </c>
      <c r="G7" s="102">
        <f>Incidence!H3*Cost!G3</f>
        <v>4.5964779406533802</v>
      </c>
      <c r="H7" s="102">
        <f>Incidence!I3*Cost!H3</f>
        <v>46.038314651638629</v>
      </c>
      <c r="I7" s="102">
        <f>IF(Inputs!$C$11="Male",Incidence!J3*Cost!J3,Incidence!J3*Cost!I3)</f>
        <v>18.53155258883249</v>
      </c>
      <c r="J7" s="102">
        <f>Incidence!K3*Cost!K3</f>
        <v>1.3902424416243657</v>
      </c>
      <c r="K7" s="102">
        <f>Incidence!L3*Cost!L3</f>
        <v>47.660331642652196</v>
      </c>
      <c r="L7" s="102">
        <f>Incidence!M3*Cost!M3</f>
        <v>4.5593994594049168</v>
      </c>
      <c r="M7" s="102">
        <f>Incidence!N3*Cost!N3</f>
        <v>3.2809681302523406</v>
      </c>
      <c r="N7" s="102">
        <f>Incidence!O3*Cost!O3</f>
        <v>88.254928462798006</v>
      </c>
      <c r="O7" s="104">
        <f>SUM(C7:N7)</f>
        <v>410.74076808047857</v>
      </c>
      <c r="P7" s="237">
        <f t="shared" ref="P7:P26" si="19">SUM(C7:H7,J7:N7)</f>
        <v>392.20921549164609</v>
      </c>
      <c r="S7" s="56">
        <v>1</v>
      </c>
      <c r="T7" s="102">
        <f t="shared" si="0"/>
        <v>108.23019238920611</v>
      </c>
      <c r="U7" s="102">
        <f t="shared" si="1"/>
        <v>139.65186114736272</v>
      </c>
      <c r="V7" s="102">
        <f t="shared" si="2"/>
        <v>43.127780648450255</v>
      </c>
      <c r="W7" s="102">
        <f t="shared" si="3"/>
        <v>4.928889216965743</v>
      </c>
      <c r="X7" s="102">
        <f t="shared" si="4"/>
        <v>5.134259601005982</v>
      </c>
      <c r="Y7" s="102">
        <f t="shared" si="5"/>
        <v>2.4644446084828715</v>
      </c>
      <c r="Z7" s="102">
        <f t="shared" si="6"/>
        <v>2.30014830125068</v>
      </c>
      <c r="AA7" s="102">
        <f t="shared" si="7"/>
        <v>0.98577784339314845</v>
      </c>
      <c r="AB7" s="102">
        <f t="shared" si="8"/>
        <v>0.73933338254486147</v>
      </c>
      <c r="AC7" s="102">
        <f t="shared" si="9"/>
        <v>0.4107407680804786</v>
      </c>
      <c r="AD7" s="136">
        <f t="shared" ref="AD7:AD26" si="20">SUM(T7:AC7)</f>
        <v>307.97342790674281</v>
      </c>
      <c r="AF7" s="56">
        <v>1</v>
      </c>
      <c r="AG7" s="102">
        <f t="shared" si="10"/>
        <v>103.34712828204874</v>
      </c>
      <c r="AH7" s="102">
        <f t="shared" si="11"/>
        <v>133.35113326715967</v>
      </c>
      <c r="AI7" s="102">
        <f t="shared" si="12"/>
        <v>41.181967626622843</v>
      </c>
      <c r="AJ7" s="102">
        <f t="shared" si="13"/>
        <v>4.7065105858997534</v>
      </c>
      <c r="AK7" s="102">
        <f t="shared" si="14"/>
        <v>4.902615193645576</v>
      </c>
      <c r="AL7" s="102">
        <f t="shared" si="15"/>
        <v>2.3532552929498767</v>
      </c>
      <c r="AM7" s="102">
        <f t="shared" si="16"/>
        <v>2.196371606753218</v>
      </c>
      <c r="AN7" s="102">
        <f t="shared" si="17"/>
        <v>0.94130211717995049</v>
      </c>
      <c r="AO7" s="102">
        <f t="shared" si="18"/>
        <v>0.70597658788496309</v>
      </c>
      <c r="AP7" s="102">
        <f t="shared" ref="AP7:AP26" si="21">P7*$AC$5*$AH$41</f>
        <v>0.39220921549164611</v>
      </c>
      <c r="AQ7" s="136">
        <f t="shared" ref="AQ7:AQ26" si="22">SUM(AG7:AP7)</f>
        <v>294.07846977563622</v>
      </c>
    </row>
    <row r="8" spans="1:43" x14ac:dyDescent="0.25">
      <c r="A8" s="116">
        <v>2</v>
      </c>
      <c r="B8" s="100" t="s">
        <v>418</v>
      </c>
      <c r="C8" s="101">
        <f>Incidence!D4*Cost!C4</f>
        <v>38.624735463188756</v>
      </c>
      <c r="D8" s="102">
        <f>Incidence!E4*Cost!D4</f>
        <v>138.67840000000001</v>
      </c>
      <c r="E8" s="102">
        <f>Incidence!F4*Cost!E4</f>
        <v>25.637060465789066</v>
      </c>
      <c r="F8" s="102">
        <f>Incidence!G4*Cost!F4</f>
        <v>13.206296310765978</v>
      </c>
      <c r="G8" s="102">
        <f>Incidence!H4*Cost!G4</f>
        <v>4.5964779406533802</v>
      </c>
      <c r="H8" s="102">
        <f>Incidence!I4*Cost!H4</f>
        <v>46.551848557401463</v>
      </c>
      <c r="I8" s="102">
        <f>IF(Inputs!$C$11="Male",Incidence!J4*Cost!J4,Incidence!J4*Cost!I4)</f>
        <v>18.358925177664975</v>
      </c>
      <c r="J8" s="102">
        <f>Incidence!K4*Cost!K4</f>
        <v>1.3772918832487311</v>
      </c>
      <c r="K8" s="102">
        <f>Incidence!L4*Cost!L4</f>
        <v>47.660331642652196</v>
      </c>
      <c r="L8" s="102">
        <f>Incidence!M4*Cost!M4</f>
        <v>4.6102572336314074</v>
      </c>
      <c r="M8" s="102">
        <f>Incidence!N4*Cost!N4</f>
        <v>3.3175656554085293</v>
      </c>
      <c r="N8" s="102">
        <f>Incidence!O4*Cost!O4</f>
        <v>89.239367151730491</v>
      </c>
      <c r="O8" s="104">
        <f t="shared" ref="O8:O26" si="23">SUM(C8:N8)</f>
        <v>431.85855748213498</v>
      </c>
      <c r="P8" s="237">
        <f t="shared" si="19"/>
        <v>413.49963230447003</v>
      </c>
      <c r="S8" s="56">
        <v>2</v>
      </c>
      <c r="T8" s="102">
        <f t="shared" si="0"/>
        <v>113.79472989654258</v>
      </c>
      <c r="U8" s="102">
        <f t="shared" si="1"/>
        <v>146.83190954392592</v>
      </c>
      <c r="V8" s="102">
        <f t="shared" si="2"/>
        <v>45.345148535624176</v>
      </c>
      <c r="W8" s="102">
        <f t="shared" si="3"/>
        <v>5.1823026897856197</v>
      </c>
      <c r="X8" s="102">
        <f t="shared" si="4"/>
        <v>5.3982319685266873</v>
      </c>
      <c r="Y8" s="102">
        <f t="shared" si="5"/>
        <v>2.5911513448928098</v>
      </c>
      <c r="Z8" s="102">
        <f t="shared" si="6"/>
        <v>2.4184079218999561</v>
      </c>
      <c r="AA8" s="102">
        <f t="shared" si="7"/>
        <v>1.0364605379571239</v>
      </c>
      <c r="AB8" s="102">
        <f t="shared" si="8"/>
        <v>0.77734540346784298</v>
      </c>
      <c r="AC8" s="102">
        <f t="shared" si="9"/>
        <v>0.43185855748213503</v>
      </c>
      <c r="AD8" s="136">
        <f t="shared" si="20"/>
        <v>323.80754640010485</v>
      </c>
      <c r="AF8" s="56">
        <v>2</v>
      </c>
      <c r="AG8" s="102">
        <f t="shared" si="10"/>
        <v>108.95715311222786</v>
      </c>
      <c r="AH8" s="102">
        <f t="shared" si="11"/>
        <v>140.58987498351982</v>
      </c>
      <c r="AI8" s="102">
        <f t="shared" si="12"/>
        <v>43.417461391969361</v>
      </c>
      <c r="AJ8" s="102">
        <f t="shared" si="13"/>
        <v>4.9619955876536403</v>
      </c>
      <c r="AK8" s="102">
        <f t="shared" si="14"/>
        <v>5.1687454038058753</v>
      </c>
      <c r="AL8" s="102">
        <f t="shared" si="15"/>
        <v>2.4809977938268202</v>
      </c>
      <c r="AM8" s="102">
        <f t="shared" si="16"/>
        <v>2.315597940905032</v>
      </c>
      <c r="AN8" s="102">
        <f t="shared" si="17"/>
        <v>0.99239911753072796</v>
      </c>
      <c r="AO8" s="102">
        <f t="shared" si="18"/>
        <v>0.74429933814804616</v>
      </c>
      <c r="AP8" s="102">
        <f t="shared" si="21"/>
        <v>0.41349963230447001</v>
      </c>
      <c r="AQ8" s="136">
        <f t="shared" si="22"/>
        <v>310.04202430189167</v>
      </c>
    </row>
    <row r="9" spans="1:43" x14ac:dyDescent="0.25">
      <c r="A9" s="116">
        <v>3</v>
      </c>
      <c r="B9" s="100" t="s">
        <v>418</v>
      </c>
      <c r="C9" s="101">
        <f>Incidence!D5*Cost!C5</f>
        <v>38.624735463188756</v>
      </c>
      <c r="D9" s="102">
        <f>Incidence!E5*Cost!D5</f>
        <v>138.67840000000001</v>
      </c>
      <c r="E9" s="102">
        <f>Incidence!F5*Cost!E5</f>
        <v>25.637060465789066</v>
      </c>
      <c r="F9" s="102">
        <f>Incidence!G5*Cost!F5</f>
        <v>13.351980770895775</v>
      </c>
      <c r="G9" s="102">
        <f>Incidence!H5*Cost!G5</f>
        <v>4.5964779406533802</v>
      </c>
      <c r="H9" s="102">
        <f>Incidence!I5*Cost!H5</f>
        <v>47.065382463164305</v>
      </c>
      <c r="I9" s="102">
        <f>IF(Inputs!$C$11="Male",Incidence!J5*Cost!J5,Incidence!J5*Cost!I5)</f>
        <v>18.186297766497464</v>
      </c>
      <c r="J9" s="102">
        <f>Incidence!K5*Cost!K5</f>
        <v>1.3643413248730967</v>
      </c>
      <c r="K9" s="102">
        <f>Incidence!L5*Cost!L5</f>
        <v>47.660331642652196</v>
      </c>
      <c r="L9" s="102">
        <f>Incidence!M5*Cost!M5</f>
        <v>4.661115007857898</v>
      </c>
      <c r="M9" s="102">
        <f>Incidence!N5*Cost!N5</f>
        <v>3.3541631805647185</v>
      </c>
      <c r="N9" s="102">
        <f>Incidence!O5*Cost!O5</f>
        <v>90.22380584066299</v>
      </c>
      <c r="O9" s="104">
        <f t="shared" si="23"/>
        <v>433.40409186679972</v>
      </c>
      <c r="P9" s="237">
        <f t="shared" si="19"/>
        <v>415.21779410030223</v>
      </c>
      <c r="S9" s="56">
        <v>3</v>
      </c>
      <c r="T9" s="102">
        <f t="shared" si="0"/>
        <v>114.20197820690173</v>
      </c>
      <c r="U9" s="102">
        <f t="shared" si="1"/>
        <v>147.35739123471191</v>
      </c>
      <c r="V9" s="102">
        <f t="shared" si="2"/>
        <v>45.507429646013975</v>
      </c>
      <c r="W9" s="102">
        <f t="shared" si="3"/>
        <v>5.2008491024015964</v>
      </c>
      <c r="X9" s="102">
        <f t="shared" si="4"/>
        <v>5.4175511483349963</v>
      </c>
      <c r="Y9" s="102">
        <f t="shared" si="5"/>
        <v>2.6004245512007982</v>
      </c>
      <c r="Z9" s="102">
        <f t="shared" si="6"/>
        <v>2.4270629144540785</v>
      </c>
      <c r="AA9" s="102">
        <f t="shared" si="7"/>
        <v>1.0401698204803191</v>
      </c>
      <c r="AB9" s="102">
        <f t="shared" si="8"/>
        <v>0.78012736536023952</v>
      </c>
      <c r="AC9" s="102">
        <f t="shared" si="9"/>
        <v>0.43340409186679973</v>
      </c>
      <c r="AD9" s="136">
        <f t="shared" si="20"/>
        <v>324.96638808172645</v>
      </c>
      <c r="AF9" s="56">
        <v>3</v>
      </c>
      <c r="AG9" s="102">
        <f t="shared" si="10"/>
        <v>109.40988874542964</v>
      </c>
      <c r="AH9" s="102">
        <f t="shared" si="11"/>
        <v>141.17404999410277</v>
      </c>
      <c r="AI9" s="102">
        <f t="shared" si="12"/>
        <v>43.597868380531743</v>
      </c>
      <c r="AJ9" s="102">
        <f t="shared" si="13"/>
        <v>4.9826135292036264</v>
      </c>
      <c r="AK9" s="102">
        <f t="shared" si="14"/>
        <v>5.1902224262537775</v>
      </c>
      <c r="AL9" s="102">
        <f t="shared" si="15"/>
        <v>2.4913067646018137</v>
      </c>
      <c r="AM9" s="102">
        <f t="shared" si="16"/>
        <v>2.3252196469616924</v>
      </c>
      <c r="AN9" s="102">
        <f t="shared" si="17"/>
        <v>0.99652270584072522</v>
      </c>
      <c r="AO9" s="102">
        <f t="shared" si="18"/>
        <v>0.74739202938054405</v>
      </c>
      <c r="AP9" s="102">
        <f t="shared" si="21"/>
        <v>0.41521779410030224</v>
      </c>
      <c r="AQ9" s="136">
        <f t="shared" si="22"/>
        <v>311.33030201640662</v>
      </c>
    </row>
    <row r="10" spans="1:43" x14ac:dyDescent="0.25">
      <c r="A10" s="116">
        <v>4</v>
      </c>
      <c r="B10" s="100" t="s">
        <v>418</v>
      </c>
      <c r="C10" s="101">
        <f>Incidence!D6*Cost!C6</f>
        <v>38.624735463188756</v>
      </c>
      <c r="D10" s="102">
        <f>Incidence!E6*Cost!D6</f>
        <v>138.67840000000001</v>
      </c>
      <c r="E10" s="102">
        <f>Incidence!F6*Cost!E6</f>
        <v>25.637060465789066</v>
      </c>
      <c r="F10" s="102">
        <f>Incidence!G6*Cost!F6</f>
        <v>13.49766523102557</v>
      </c>
      <c r="G10" s="102">
        <f>Incidence!H6*Cost!G6</f>
        <v>4.5964779406533802</v>
      </c>
      <c r="H10" s="102">
        <f>Incidence!I6*Cost!H6</f>
        <v>47.578916368927153</v>
      </c>
      <c r="I10" s="102">
        <f>IF(Inputs!$C$11="Male",Incidence!J6*Cost!J6,Incidence!J6*Cost!I6)</f>
        <v>18.013670355329953</v>
      </c>
      <c r="J10" s="102">
        <f>Incidence!K6*Cost!K6</f>
        <v>1.3513907664974625</v>
      </c>
      <c r="K10" s="102">
        <f>Incidence!L6*Cost!L6</f>
        <v>47.660331642652196</v>
      </c>
      <c r="L10" s="102">
        <f>Incidence!M6*Cost!M6</f>
        <v>4.7119727820843895</v>
      </c>
      <c r="M10" s="102">
        <f>Incidence!N6*Cost!N6</f>
        <v>3.3907607057209073</v>
      </c>
      <c r="N10" s="102">
        <f>Incidence!O6*Cost!O6</f>
        <v>91.208244529595476</v>
      </c>
      <c r="O10" s="104">
        <f t="shared" si="23"/>
        <v>434.94962625146422</v>
      </c>
      <c r="P10" s="237">
        <f t="shared" si="19"/>
        <v>416.93595589613426</v>
      </c>
      <c r="S10" s="56">
        <v>4</v>
      </c>
      <c r="T10" s="102">
        <f t="shared" si="0"/>
        <v>114.60922651726082</v>
      </c>
      <c r="U10" s="102">
        <f t="shared" si="1"/>
        <v>147.88287292549785</v>
      </c>
      <c r="V10" s="102">
        <f t="shared" si="2"/>
        <v>45.669710756403745</v>
      </c>
      <c r="W10" s="102">
        <f t="shared" si="3"/>
        <v>5.2193955150175704</v>
      </c>
      <c r="X10" s="102">
        <f t="shared" si="4"/>
        <v>5.4368703281433026</v>
      </c>
      <c r="Y10" s="102">
        <f t="shared" si="5"/>
        <v>2.6096977575087852</v>
      </c>
      <c r="Z10" s="102">
        <f t="shared" si="6"/>
        <v>2.4357179070082</v>
      </c>
      <c r="AA10" s="102">
        <f t="shared" si="7"/>
        <v>1.0438791030035139</v>
      </c>
      <c r="AB10" s="102">
        <f t="shared" si="8"/>
        <v>0.78290932725263562</v>
      </c>
      <c r="AC10" s="102">
        <f t="shared" si="9"/>
        <v>0.43494962625146422</v>
      </c>
      <c r="AD10" s="136">
        <f t="shared" si="20"/>
        <v>326.12522976334793</v>
      </c>
      <c r="AF10" s="56">
        <v>4</v>
      </c>
      <c r="AG10" s="102">
        <f t="shared" si="10"/>
        <v>109.86262437863138</v>
      </c>
      <c r="AH10" s="102">
        <f t="shared" si="11"/>
        <v>141.75822500468567</v>
      </c>
      <c r="AI10" s="102">
        <f t="shared" si="12"/>
        <v>43.778275369094104</v>
      </c>
      <c r="AJ10" s="102">
        <f t="shared" si="13"/>
        <v>5.0032314707536116</v>
      </c>
      <c r="AK10" s="102">
        <f t="shared" si="14"/>
        <v>5.2116994487016779</v>
      </c>
      <c r="AL10" s="102">
        <f t="shared" si="15"/>
        <v>2.5016157353768058</v>
      </c>
      <c r="AM10" s="102">
        <f t="shared" si="16"/>
        <v>2.3348413530183523</v>
      </c>
      <c r="AN10" s="102">
        <f t="shared" si="17"/>
        <v>1.0006462941507221</v>
      </c>
      <c r="AO10" s="102">
        <f t="shared" si="18"/>
        <v>0.75048472061304172</v>
      </c>
      <c r="AP10" s="102">
        <f t="shared" si="21"/>
        <v>0.41693595589613425</v>
      </c>
      <c r="AQ10" s="136">
        <f t="shared" si="22"/>
        <v>312.61857973092145</v>
      </c>
    </row>
    <row r="11" spans="1:43" x14ac:dyDescent="0.25">
      <c r="A11" s="116">
        <v>5</v>
      </c>
      <c r="B11" s="100" t="s">
        <v>418</v>
      </c>
      <c r="C11" s="101">
        <f>Incidence!D7*Cost!C7</f>
        <v>38.624735463188756</v>
      </c>
      <c r="D11" s="102">
        <f>Incidence!E7*Cost!D7</f>
        <v>138.67840000000001</v>
      </c>
      <c r="E11" s="102">
        <f>Incidence!F7*Cost!E7</f>
        <v>25.637060465789066</v>
      </c>
      <c r="F11" s="102">
        <f>Incidence!G7*Cost!F7</f>
        <v>13.643349691155366</v>
      </c>
      <c r="G11" s="102">
        <f>Incidence!H7*Cost!G7</f>
        <v>4.5964779406533802</v>
      </c>
      <c r="H11" s="102">
        <f>Incidence!I7*Cost!H7</f>
        <v>48.092450274689988</v>
      </c>
      <c r="I11" s="102">
        <f>IF(Inputs!$C$11="Male",Incidence!J7*Cost!J7,Incidence!J7*Cost!I7)</f>
        <v>17.841042944162442</v>
      </c>
      <c r="J11" s="102">
        <f>Incidence!K7*Cost!K7</f>
        <v>1.3384402081218276</v>
      </c>
      <c r="K11" s="102">
        <f>Incidence!L7*Cost!L7</f>
        <v>47.660331642652196</v>
      </c>
      <c r="L11" s="102">
        <f>Incidence!M7*Cost!M7</f>
        <v>4.762830556310881</v>
      </c>
      <c r="M11" s="102">
        <f>Incidence!N7*Cost!N7</f>
        <v>3.4273582308770969</v>
      </c>
      <c r="N11" s="102">
        <f>Incidence!O7*Cost!O7</f>
        <v>92.192683218527975</v>
      </c>
      <c r="O11" s="104">
        <f t="shared" si="23"/>
        <v>436.49516063612896</v>
      </c>
      <c r="P11" s="237">
        <f t="shared" si="19"/>
        <v>418.65411769196652</v>
      </c>
      <c r="S11" s="56">
        <v>5</v>
      </c>
      <c r="T11" s="102">
        <f t="shared" si="0"/>
        <v>115.01647482761999</v>
      </c>
      <c r="U11" s="102">
        <f t="shared" si="1"/>
        <v>148.40835461628384</v>
      </c>
      <c r="V11" s="102">
        <f t="shared" si="2"/>
        <v>45.831991866793544</v>
      </c>
      <c r="W11" s="102">
        <f t="shared" si="3"/>
        <v>5.2379419276335479</v>
      </c>
      <c r="X11" s="102">
        <f t="shared" si="4"/>
        <v>5.4561895079516125</v>
      </c>
      <c r="Y11" s="102">
        <f t="shared" si="5"/>
        <v>2.618970963816774</v>
      </c>
      <c r="Z11" s="102">
        <f t="shared" si="6"/>
        <v>2.444372899562322</v>
      </c>
      <c r="AA11" s="102">
        <f t="shared" si="7"/>
        <v>1.0475883855267094</v>
      </c>
      <c r="AB11" s="102">
        <f t="shared" si="8"/>
        <v>0.78569128914503217</v>
      </c>
      <c r="AC11" s="102">
        <f t="shared" si="9"/>
        <v>0.43649516063612903</v>
      </c>
      <c r="AD11" s="136">
        <f t="shared" si="20"/>
        <v>327.28407144496941</v>
      </c>
      <c r="AF11" s="56">
        <v>5</v>
      </c>
      <c r="AG11" s="102">
        <f t="shared" si="10"/>
        <v>110.31536001183318</v>
      </c>
      <c r="AH11" s="102">
        <f t="shared" si="11"/>
        <v>142.34240001526862</v>
      </c>
      <c r="AI11" s="102">
        <f t="shared" si="12"/>
        <v>43.958682357656485</v>
      </c>
      <c r="AJ11" s="102">
        <f t="shared" si="13"/>
        <v>5.0238494123035986</v>
      </c>
      <c r="AK11" s="102">
        <f t="shared" si="14"/>
        <v>5.2331764711495818</v>
      </c>
      <c r="AL11" s="102">
        <f t="shared" si="15"/>
        <v>2.5119247061517989</v>
      </c>
      <c r="AM11" s="102">
        <f t="shared" si="16"/>
        <v>2.3444630590750126</v>
      </c>
      <c r="AN11" s="102">
        <f t="shared" si="17"/>
        <v>1.0047698824607196</v>
      </c>
      <c r="AO11" s="102">
        <f t="shared" si="18"/>
        <v>0.75357741184553972</v>
      </c>
      <c r="AP11" s="102">
        <f t="shared" si="21"/>
        <v>0.41865411769196653</v>
      </c>
      <c r="AQ11" s="136">
        <f t="shared" si="22"/>
        <v>313.90685744543646</v>
      </c>
    </row>
    <row r="12" spans="1:43" x14ac:dyDescent="0.25">
      <c r="A12" s="116">
        <v>6</v>
      </c>
      <c r="B12" s="100" t="s">
        <v>418</v>
      </c>
      <c r="C12" s="101">
        <f>Incidence!D8*Cost!C8</f>
        <v>38.624735463188756</v>
      </c>
      <c r="D12" s="102">
        <f>Incidence!E8*Cost!D8</f>
        <v>138.67840000000001</v>
      </c>
      <c r="E12" s="102">
        <f>Incidence!F8*Cost!E8</f>
        <v>25.637060465789066</v>
      </c>
      <c r="F12" s="102">
        <f>Incidence!G8*Cost!F8</f>
        <v>13.789034151285161</v>
      </c>
      <c r="G12" s="102">
        <f>Incidence!H8*Cost!G8</f>
        <v>4.5964779406533802</v>
      </c>
      <c r="H12" s="102">
        <f>Incidence!I8*Cost!H8</f>
        <v>48.605984180452829</v>
      </c>
      <c r="I12" s="102">
        <f>IF(Inputs!$C$11="Male",Incidence!J8*Cost!J8,Incidence!J8*Cost!I8)</f>
        <v>17.668415532994928</v>
      </c>
      <c r="J12" s="102">
        <f>Incidence!K8*Cost!K8</f>
        <v>1.3254896497461932</v>
      </c>
      <c r="K12" s="102">
        <f>Incidence!L8*Cost!L8</f>
        <v>47.660331642652196</v>
      </c>
      <c r="L12" s="102">
        <f>Incidence!M8*Cost!M8</f>
        <v>4.8136883305373717</v>
      </c>
      <c r="M12" s="102">
        <f>Incidence!N8*Cost!N8</f>
        <v>3.4639557560332852</v>
      </c>
      <c r="N12" s="102">
        <f>Incidence!O8*Cost!O8</f>
        <v>93.17712190746046</v>
      </c>
      <c r="O12" s="104">
        <f t="shared" si="23"/>
        <v>438.04069502079363</v>
      </c>
      <c r="P12" s="237">
        <f t="shared" si="19"/>
        <v>420.37227948779872</v>
      </c>
      <c r="S12" s="56">
        <v>6</v>
      </c>
      <c r="T12" s="102">
        <f t="shared" si="0"/>
        <v>115.42372313797912</v>
      </c>
      <c r="U12" s="102">
        <f t="shared" si="1"/>
        <v>148.93383630706984</v>
      </c>
      <c r="V12" s="102">
        <f t="shared" si="2"/>
        <v>45.994272977183336</v>
      </c>
      <c r="W12" s="102">
        <f t="shared" si="3"/>
        <v>5.2564883402495237</v>
      </c>
      <c r="X12" s="102">
        <f t="shared" si="4"/>
        <v>5.4755086877599206</v>
      </c>
      <c r="Y12" s="102">
        <f t="shared" si="5"/>
        <v>2.6282441701247619</v>
      </c>
      <c r="Z12" s="102">
        <f t="shared" si="6"/>
        <v>2.4530278921164448</v>
      </c>
      <c r="AA12" s="102">
        <f t="shared" si="7"/>
        <v>1.0512976680499047</v>
      </c>
      <c r="AB12" s="102">
        <f t="shared" si="8"/>
        <v>0.78847325103742849</v>
      </c>
      <c r="AC12" s="102">
        <f t="shared" si="9"/>
        <v>0.43804069502079368</v>
      </c>
      <c r="AD12" s="136">
        <f t="shared" si="20"/>
        <v>328.44291312659118</v>
      </c>
      <c r="AF12" s="56">
        <v>6</v>
      </c>
      <c r="AG12" s="102">
        <f t="shared" si="10"/>
        <v>110.76809564503496</v>
      </c>
      <c r="AH12" s="102">
        <f t="shared" si="11"/>
        <v>142.92657502585158</v>
      </c>
      <c r="AI12" s="102">
        <f t="shared" si="12"/>
        <v>44.139089346218867</v>
      </c>
      <c r="AJ12" s="102">
        <f t="shared" si="13"/>
        <v>5.0444673538535847</v>
      </c>
      <c r="AK12" s="102">
        <f t="shared" si="14"/>
        <v>5.254653493597484</v>
      </c>
      <c r="AL12" s="102">
        <f t="shared" si="15"/>
        <v>2.5222336769267923</v>
      </c>
      <c r="AM12" s="102">
        <f t="shared" si="16"/>
        <v>2.354084765131673</v>
      </c>
      <c r="AN12" s="102">
        <f t="shared" si="17"/>
        <v>1.0088934707707169</v>
      </c>
      <c r="AO12" s="102">
        <f t="shared" si="18"/>
        <v>0.75667010307803773</v>
      </c>
      <c r="AP12" s="102">
        <f t="shared" si="21"/>
        <v>0.42037227948779876</v>
      </c>
      <c r="AQ12" s="136">
        <f t="shared" si="22"/>
        <v>315.19513515995152</v>
      </c>
    </row>
    <row r="13" spans="1:43" x14ac:dyDescent="0.25">
      <c r="A13" s="116">
        <v>7</v>
      </c>
      <c r="B13" s="100" t="s">
        <v>418</v>
      </c>
      <c r="C13" s="101">
        <f>Incidence!D9*Cost!C9</f>
        <v>38.624735463188756</v>
      </c>
      <c r="D13" s="102">
        <f>Incidence!E9*Cost!D9</f>
        <v>138.67840000000001</v>
      </c>
      <c r="E13" s="102">
        <f>Incidence!F9*Cost!E9</f>
        <v>25.637060465789066</v>
      </c>
      <c r="F13" s="102">
        <f>Incidence!G9*Cost!F9</f>
        <v>13.934718611414958</v>
      </c>
      <c r="G13" s="102">
        <f>Incidence!H9*Cost!G9</f>
        <v>4.5964779406533802</v>
      </c>
      <c r="H13" s="102">
        <f>Incidence!I9*Cost!H9</f>
        <v>49.11951808621567</v>
      </c>
      <c r="I13" s="102">
        <f>IF(Inputs!$C$11="Male",Incidence!J9*Cost!J9,Incidence!J9*Cost!I9)</f>
        <v>17.495788121827417</v>
      </c>
      <c r="J13" s="102">
        <f>Incidence!K9*Cost!K9</f>
        <v>1.3125390913705588</v>
      </c>
      <c r="K13" s="102">
        <f>Incidence!L9*Cost!L9</f>
        <v>47.660331642652196</v>
      </c>
      <c r="L13" s="102">
        <f>Incidence!M9*Cost!M9</f>
        <v>4.8645461047638623</v>
      </c>
      <c r="M13" s="102">
        <f>Incidence!N9*Cost!N9</f>
        <v>3.5005532811894744</v>
      </c>
      <c r="N13" s="102">
        <f>Incidence!O9*Cost!O9</f>
        <v>94.16156059639296</v>
      </c>
      <c r="O13" s="104">
        <f t="shared" si="23"/>
        <v>439.58622940545837</v>
      </c>
      <c r="P13" s="237">
        <f t="shared" si="19"/>
        <v>422.09044128363092</v>
      </c>
      <c r="S13" s="56">
        <v>7</v>
      </c>
      <c r="T13" s="102">
        <f t="shared" si="0"/>
        <v>115.83097144833829</v>
      </c>
      <c r="U13" s="102">
        <f t="shared" si="1"/>
        <v>149.45931799785586</v>
      </c>
      <c r="V13" s="102">
        <f t="shared" si="2"/>
        <v>46.156554087573134</v>
      </c>
      <c r="W13" s="102">
        <f t="shared" si="3"/>
        <v>5.2750347528655004</v>
      </c>
      <c r="X13" s="102">
        <f t="shared" si="4"/>
        <v>5.4948278675682296</v>
      </c>
      <c r="Y13" s="102">
        <f t="shared" si="5"/>
        <v>2.6375173764327502</v>
      </c>
      <c r="Z13" s="102">
        <f t="shared" si="6"/>
        <v>2.4616828846705672</v>
      </c>
      <c r="AA13" s="102">
        <f t="shared" si="7"/>
        <v>1.0550069505730999</v>
      </c>
      <c r="AB13" s="102">
        <f t="shared" si="8"/>
        <v>0.79125521292982504</v>
      </c>
      <c r="AC13" s="102">
        <f t="shared" si="9"/>
        <v>0.43958622940545838</v>
      </c>
      <c r="AD13" s="136">
        <f t="shared" si="20"/>
        <v>329.60175480821266</v>
      </c>
      <c r="AF13" s="56">
        <v>7</v>
      </c>
      <c r="AG13" s="102">
        <f t="shared" si="10"/>
        <v>111.22083127823676</v>
      </c>
      <c r="AH13" s="102">
        <f t="shared" si="11"/>
        <v>143.51075003643453</v>
      </c>
      <c r="AI13" s="102">
        <f t="shared" si="12"/>
        <v>44.319496334781249</v>
      </c>
      <c r="AJ13" s="102">
        <f t="shared" si="13"/>
        <v>5.0650852954035708</v>
      </c>
      <c r="AK13" s="102">
        <f t="shared" si="14"/>
        <v>5.2761305160453871</v>
      </c>
      <c r="AL13" s="102">
        <f t="shared" si="15"/>
        <v>2.5325426477017854</v>
      </c>
      <c r="AM13" s="102">
        <f t="shared" si="16"/>
        <v>2.3637064711883333</v>
      </c>
      <c r="AN13" s="102">
        <f t="shared" si="17"/>
        <v>1.0130170590807142</v>
      </c>
      <c r="AO13" s="102">
        <f t="shared" si="18"/>
        <v>0.75976279431053562</v>
      </c>
      <c r="AP13" s="102">
        <f t="shared" si="21"/>
        <v>0.42209044128363093</v>
      </c>
      <c r="AQ13" s="136">
        <f t="shared" si="22"/>
        <v>316.48341287446647</v>
      </c>
    </row>
    <row r="14" spans="1:43" x14ac:dyDescent="0.25">
      <c r="A14" s="116">
        <v>8</v>
      </c>
      <c r="B14" s="100" t="s">
        <v>418</v>
      </c>
      <c r="C14" s="101">
        <f>Incidence!D10*Cost!C10</f>
        <v>38.624735463188756</v>
      </c>
      <c r="D14" s="102">
        <f>Incidence!E10*Cost!D10</f>
        <v>138.67840000000001</v>
      </c>
      <c r="E14" s="102">
        <f>Incidence!F10*Cost!E10</f>
        <v>25.637060465789066</v>
      </c>
      <c r="F14" s="102">
        <f>Incidence!G10*Cost!F10</f>
        <v>14.080403071544755</v>
      </c>
      <c r="G14" s="102">
        <f>Incidence!H10*Cost!G10</f>
        <v>4.5964779406533802</v>
      </c>
      <c r="H14" s="102">
        <f>Incidence!I10*Cost!H10</f>
        <v>49.633051991978505</v>
      </c>
      <c r="I14" s="102">
        <f>IF(Inputs!$C$11="Male",Incidence!J10*Cost!J10,Incidence!J10*Cost!I10)</f>
        <v>17.323160710659902</v>
      </c>
      <c r="J14" s="102">
        <f>Incidence!K10*Cost!K10</f>
        <v>1.2995885329949242</v>
      </c>
      <c r="K14" s="102">
        <f>Incidence!L10*Cost!L10</f>
        <v>47.660331642652196</v>
      </c>
      <c r="L14" s="102">
        <f>Incidence!M10*Cost!M10</f>
        <v>4.9154038789903529</v>
      </c>
      <c r="M14" s="102">
        <f>Incidence!N10*Cost!N10</f>
        <v>3.5371508063456631</v>
      </c>
      <c r="N14" s="102">
        <f>Incidence!O10*Cost!O10</f>
        <v>95.145999285325459</v>
      </c>
      <c r="O14" s="104">
        <f t="shared" si="23"/>
        <v>441.13176379012293</v>
      </c>
      <c r="P14" s="237">
        <f t="shared" si="19"/>
        <v>423.80860307946301</v>
      </c>
      <c r="S14" s="56">
        <v>8</v>
      </c>
      <c r="T14" s="102">
        <f t="shared" si="0"/>
        <v>116.2382197586974</v>
      </c>
      <c r="U14" s="102">
        <f t="shared" si="1"/>
        <v>149.9847996886418</v>
      </c>
      <c r="V14" s="102">
        <f t="shared" si="2"/>
        <v>46.318835197962912</v>
      </c>
      <c r="W14" s="102">
        <f t="shared" si="3"/>
        <v>5.2935811654814753</v>
      </c>
      <c r="X14" s="102">
        <f t="shared" si="4"/>
        <v>5.5141470473765368</v>
      </c>
      <c r="Y14" s="102">
        <f t="shared" si="5"/>
        <v>2.6467905827407376</v>
      </c>
      <c r="Z14" s="102">
        <f t="shared" si="6"/>
        <v>2.4703378772246887</v>
      </c>
      <c r="AA14" s="102">
        <f t="shared" si="7"/>
        <v>1.0587162330962949</v>
      </c>
      <c r="AB14" s="102">
        <f t="shared" si="8"/>
        <v>0.79403717482222136</v>
      </c>
      <c r="AC14" s="102">
        <f t="shared" si="9"/>
        <v>0.44113176379012298</v>
      </c>
      <c r="AD14" s="136">
        <f t="shared" si="20"/>
        <v>330.76059648983414</v>
      </c>
      <c r="AF14" s="56">
        <v>8</v>
      </c>
      <c r="AG14" s="102">
        <f t="shared" si="10"/>
        <v>111.67356691143851</v>
      </c>
      <c r="AH14" s="102">
        <f t="shared" si="11"/>
        <v>144.09492504701743</v>
      </c>
      <c r="AI14" s="102">
        <f t="shared" si="12"/>
        <v>44.499903323343624</v>
      </c>
      <c r="AJ14" s="102">
        <f t="shared" si="13"/>
        <v>5.085703236953556</v>
      </c>
      <c r="AK14" s="102">
        <f t="shared" si="14"/>
        <v>5.2976075384932884</v>
      </c>
      <c r="AL14" s="102">
        <f t="shared" si="15"/>
        <v>2.5428516184767784</v>
      </c>
      <c r="AM14" s="102">
        <f t="shared" si="16"/>
        <v>2.3733281772449932</v>
      </c>
      <c r="AN14" s="102">
        <f t="shared" si="17"/>
        <v>1.0171406473907112</v>
      </c>
      <c r="AO14" s="102">
        <f t="shared" si="18"/>
        <v>0.7628554855430334</v>
      </c>
      <c r="AP14" s="102">
        <f t="shared" si="21"/>
        <v>0.42380860307946305</v>
      </c>
      <c r="AQ14" s="136">
        <f t="shared" si="22"/>
        <v>317.77169058898141</v>
      </c>
    </row>
    <row r="15" spans="1:43" x14ac:dyDescent="0.25">
      <c r="A15" s="116">
        <v>9</v>
      </c>
      <c r="B15" s="100" t="s">
        <v>418</v>
      </c>
      <c r="C15" s="101">
        <f>Incidence!D11*Cost!C11</f>
        <v>38.624735463188756</v>
      </c>
      <c r="D15" s="102">
        <f>Incidence!E11*Cost!D11</f>
        <v>138.67840000000001</v>
      </c>
      <c r="E15" s="102">
        <f>Incidence!F11*Cost!E11</f>
        <v>25.637060465789066</v>
      </c>
      <c r="F15" s="102">
        <f>Incidence!G11*Cost!F11</f>
        <v>14.226087531674549</v>
      </c>
      <c r="G15" s="102">
        <f>Incidence!H11*Cost!G11</f>
        <v>4.5964779406533802</v>
      </c>
      <c r="H15" s="102">
        <f>Incidence!I11*Cost!H11</f>
        <v>50.146585897741353</v>
      </c>
      <c r="I15" s="102">
        <f>IF(Inputs!$C$11="Male",Incidence!J11*Cost!J11,Incidence!J11*Cost!I11)</f>
        <v>17.150533299492391</v>
      </c>
      <c r="J15" s="102">
        <f>Incidence!K11*Cost!K11</f>
        <v>1.2866379746192895</v>
      </c>
      <c r="K15" s="102">
        <f>Incidence!L11*Cost!L11</f>
        <v>47.660331642652196</v>
      </c>
      <c r="L15" s="102">
        <f>Incidence!M11*Cost!M11</f>
        <v>4.9662616532168453</v>
      </c>
      <c r="M15" s="102">
        <f>Incidence!N11*Cost!N11</f>
        <v>3.5737483315018523</v>
      </c>
      <c r="N15" s="102">
        <f>Incidence!O11*Cost!O11</f>
        <v>96.130437974257958</v>
      </c>
      <c r="O15" s="104">
        <f t="shared" si="23"/>
        <v>442.67729817478767</v>
      </c>
      <c r="P15" s="237">
        <f t="shared" si="19"/>
        <v>425.52676487529527</v>
      </c>
      <c r="S15" s="56">
        <v>9</v>
      </c>
      <c r="T15" s="102">
        <f t="shared" si="0"/>
        <v>116.64546806905655</v>
      </c>
      <c r="U15" s="102">
        <f t="shared" si="1"/>
        <v>150.51028137942782</v>
      </c>
      <c r="V15" s="102">
        <f t="shared" si="2"/>
        <v>46.481116308352711</v>
      </c>
      <c r="W15" s="102">
        <f t="shared" si="3"/>
        <v>5.312127578097452</v>
      </c>
      <c r="X15" s="102">
        <f t="shared" si="4"/>
        <v>5.5334662271848458</v>
      </c>
      <c r="Y15" s="102">
        <f t="shared" si="5"/>
        <v>2.656063789048726</v>
      </c>
      <c r="Z15" s="102">
        <f t="shared" si="6"/>
        <v>2.4789928697788111</v>
      </c>
      <c r="AA15" s="102">
        <f t="shared" si="7"/>
        <v>1.0624255156194904</v>
      </c>
      <c r="AB15" s="102">
        <f t="shared" si="8"/>
        <v>0.79681913671461779</v>
      </c>
      <c r="AC15" s="102">
        <f t="shared" si="9"/>
        <v>0.44267729817478768</v>
      </c>
      <c r="AD15" s="136">
        <f t="shared" si="20"/>
        <v>331.91943817145591</v>
      </c>
      <c r="AF15" s="56">
        <v>9</v>
      </c>
      <c r="AG15" s="102">
        <f t="shared" si="10"/>
        <v>112.12630254464031</v>
      </c>
      <c r="AH15" s="102">
        <f t="shared" si="11"/>
        <v>144.67910005760041</v>
      </c>
      <c r="AI15" s="102">
        <f t="shared" si="12"/>
        <v>44.680310311906013</v>
      </c>
      <c r="AJ15" s="102">
        <f t="shared" si="13"/>
        <v>5.1063211785035429</v>
      </c>
      <c r="AK15" s="102">
        <f t="shared" si="14"/>
        <v>5.3190845609411905</v>
      </c>
      <c r="AL15" s="102">
        <f t="shared" si="15"/>
        <v>2.5531605892517719</v>
      </c>
      <c r="AM15" s="102">
        <f t="shared" si="16"/>
        <v>2.3829498833016536</v>
      </c>
      <c r="AN15" s="102">
        <f t="shared" si="17"/>
        <v>1.0212642357007085</v>
      </c>
      <c r="AO15" s="102">
        <f t="shared" si="18"/>
        <v>0.76594817677553151</v>
      </c>
      <c r="AP15" s="102">
        <f t="shared" si="21"/>
        <v>0.42552676487529528</v>
      </c>
      <c r="AQ15" s="136">
        <f t="shared" si="22"/>
        <v>319.05996830349642</v>
      </c>
    </row>
    <row r="16" spans="1:43" x14ac:dyDescent="0.25">
      <c r="A16" s="116">
        <v>10</v>
      </c>
      <c r="B16" s="100" t="s">
        <v>418</v>
      </c>
      <c r="C16" s="101">
        <f>Incidence!D12*Cost!C12</f>
        <v>38.624735463188756</v>
      </c>
      <c r="D16" s="102">
        <f>Incidence!E12*Cost!D12</f>
        <v>138.67840000000001</v>
      </c>
      <c r="E16" s="102">
        <f>Incidence!F12*Cost!E12</f>
        <v>25.637060465789066</v>
      </c>
      <c r="F16" s="102">
        <f>Incidence!G12*Cost!F12</f>
        <v>14.371771991804344</v>
      </c>
      <c r="G16" s="102">
        <f>Incidence!H12*Cost!G12</f>
        <v>4.5964779406533802</v>
      </c>
      <c r="H16" s="102">
        <f>Incidence!I12*Cost!H12</f>
        <v>50.66011980350418</v>
      </c>
      <c r="I16" s="102">
        <f>IF(Inputs!$C$11="Male",Incidence!J12*Cost!J12,Incidence!J12*Cost!I12)</f>
        <v>16.977905888324877</v>
      </c>
      <c r="J16" s="102">
        <f>Incidence!K12*Cost!K12</f>
        <v>1.2736874162436551</v>
      </c>
      <c r="K16" s="102">
        <f>Incidence!L12*Cost!L12</f>
        <v>47.660331642652196</v>
      </c>
      <c r="L16" s="102">
        <f>Incidence!M12*Cost!M12</f>
        <v>5.0171194274433351</v>
      </c>
      <c r="M16" s="102">
        <f>Incidence!N12*Cost!N12</f>
        <v>3.6103458566580411</v>
      </c>
      <c r="N16" s="102">
        <f>Incidence!O12*Cost!O12</f>
        <v>97.114876663190429</v>
      </c>
      <c r="O16" s="104">
        <f t="shared" si="23"/>
        <v>444.22283255945229</v>
      </c>
      <c r="P16" s="237">
        <f t="shared" si="19"/>
        <v>427.24492667112742</v>
      </c>
      <c r="S16" s="56">
        <v>10</v>
      </c>
      <c r="T16" s="102">
        <f t="shared" si="0"/>
        <v>117.05271637941568</v>
      </c>
      <c r="U16" s="102">
        <f t="shared" si="1"/>
        <v>151.03576307021379</v>
      </c>
      <c r="V16" s="102">
        <f t="shared" si="2"/>
        <v>46.643397418742488</v>
      </c>
      <c r="W16" s="102">
        <f t="shared" si="3"/>
        <v>5.3306739907134277</v>
      </c>
      <c r="X16" s="102">
        <f t="shared" si="4"/>
        <v>5.5527854069931539</v>
      </c>
      <c r="Y16" s="102">
        <f t="shared" si="5"/>
        <v>2.6653369953567134</v>
      </c>
      <c r="Z16" s="102">
        <f t="shared" si="6"/>
        <v>2.487647862332933</v>
      </c>
      <c r="AA16" s="102">
        <f t="shared" si="7"/>
        <v>1.0661347981426854</v>
      </c>
      <c r="AB16" s="102">
        <f t="shared" si="8"/>
        <v>0.79960109860701423</v>
      </c>
      <c r="AC16" s="102">
        <f t="shared" si="9"/>
        <v>0.44422283255945233</v>
      </c>
      <c r="AD16" s="136">
        <f t="shared" si="20"/>
        <v>333.07827985307733</v>
      </c>
      <c r="AF16" s="56">
        <v>10</v>
      </c>
      <c r="AG16" s="102">
        <f t="shared" si="10"/>
        <v>112.57903817784208</v>
      </c>
      <c r="AH16" s="102">
        <f t="shared" si="11"/>
        <v>145.26327506818333</v>
      </c>
      <c r="AI16" s="102">
        <f t="shared" si="12"/>
        <v>44.860717300468387</v>
      </c>
      <c r="AJ16" s="102">
        <f t="shared" si="13"/>
        <v>5.126939120053529</v>
      </c>
      <c r="AK16" s="102">
        <f t="shared" si="14"/>
        <v>5.3405615833890936</v>
      </c>
      <c r="AL16" s="102">
        <f t="shared" si="15"/>
        <v>2.5634695600267645</v>
      </c>
      <c r="AM16" s="102">
        <f t="shared" si="16"/>
        <v>2.3925715893583135</v>
      </c>
      <c r="AN16" s="102">
        <f t="shared" si="17"/>
        <v>1.0253878240107057</v>
      </c>
      <c r="AO16" s="102">
        <f t="shared" si="18"/>
        <v>0.7690408680080294</v>
      </c>
      <c r="AP16" s="102">
        <f t="shared" si="21"/>
        <v>0.42724492667112746</v>
      </c>
      <c r="AQ16" s="136">
        <f t="shared" si="22"/>
        <v>320.34824601801131</v>
      </c>
    </row>
    <row r="17" spans="1:43" x14ac:dyDescent="0.25">
      <c r="A17" s="116">
        <v>11</v>
      </c>
      <c r="B17" s="100" t="s">
        <v>420</v>
      </c>
      <c r="C17" s="101">
        <f>Incidence!D13*Cost!C13</f>
        <v>39.254040480180493</v>
      </c>
      <c r="D17" s="102">
        <f>Incidence!E13*Cost!D13</f>
        <v>138.67840000000001</v>
      </c>
      <c r="E17" s="102">
        <f>Incidence!F13*Cost!E13</f>
        <v>51.274120931578132</v>
      </c>
      <c r="F17" s="102">
        <f>Incidence!G13*Cost!F13</f>
        <v>14.517456451934141</v>
      </c>
      <c r="G17" s="102">
        <f>Incidence!H13*Cost!G13</f>
        <v>4.5964779406533802</v>
      </c>
      <c r="H17" s="102">
        <f>Incidence!I13*Cost!H13</f>
        <v>51.173653709267036</v>
      </c>
      <c r="I17" s="102">
        <f>IF(Inputs!$C$11="Male",Incidence!J13*Cost!J13,Incidence!J13*Cost!I13)</f>
        <v>16.805278477157366</v>
      </c>
      <c r="J17" s="102">
        <f>Incidence!K13*Cost!K13</f>
        <v>1.2607368578680207</v>
      </c>
      <c r="K17" s="102">
        <f>Incidence!L13*Cost!L13</f>
        <v>47.660331642652196</v>
      </c>
      <c r="L17" s="102">
        <f>Incidence!M13*Cost!M13</f>
        <v>5.0679772016698266</v>
      </c>
      <c r="M17" s="102">
        <f>Incidence!N13*Cost!N13</f>
        <v>3.6469433818142303</v>
      </c>
      <c r="N17" s="102">
        <f>Incidence!O13*Cost!O13</f>
        <v>98.099315352122943</v>
      </c>
      <c r="O17" s="104">
        <f t="shared" si="23"/>
        <v>472.03473242689779</v>
      </c>
      <c r="P17" s="237">
        <f t="shared" si="19"/>
        <v>455.22945394974045</v>
      </c>
      <c r="S17" s="56">
        <v>11</v>
      </c>
      <c r="T17" s="102">
        <f t="shared" si="0"/>
        <v>124.38115199448757</v>
      </c>
      <c r="U17" s="102">
        <f t="shared" si="1"/>
        <v>160.49180902514527</v>
      </c>
      <c r="V17" s="102">
        <f t="shared" si="2"/>
        <v>49.563646904824274</v>
      </c>
      <c r="W17" s="102">
        <f t="shared" si="3"/>
        <v>5.6644167891227735</v>
      </c>
      <c r="X17" s="102">
        <f t="shared" si="4"/>
        <v>5.9004341553362227</v>
      </c>
      <c r="Y17" s="102">
        <f t="shared" si="5"/>
        <v>2.8322083945613867</v>
      </c>
      <c r="Z17" s="102">
        <f t="shared" si="6"/>
        <v>2.6433945015906279</v>
      </c>
      <c r="AA17" s="102">
        <f t="shared" si="7"/>
        <v>1.1328833578245545</v>
      </c>
      <c r="AB17" s="102">
        <f t="shared" si="8"/>
        <v>0.84966251836841611</v>
      </c>
      <c r="AC17" s="102">
        <f t="shared" si="9"/>
        <v>0.47203473242689781</v>
      </c>
      <c r="AD17" s="136">
        <f t="shared" si="20"/>
        <v>353.93164237368796</v>
      </c>
      <c r="AF17" s="56">
        <v>11</v>
      </c>
      <c r="AG17" s="102">
        <f t="shared" si="10"/>
        <v>119.95296111575661</v>
      </c>
      <c r="AH17" s="102">
        <f t="shared" si="11"/>
        <v>154.77801434291177</v>
      </c>
      <c r="AI17" s="102">
        <f t="shared" si="12"/>
        <v>47.79909266472275</v>
      </c>
      <c r="AJ17" s="102">
        <f t="shared" si="13"/>
        <v>5.4627534473968851</v>
      </c>
      <c r="AK17" s="102">
        <f t="shared" si="14"/>
        <v>5.6903681743717565</v>
      </c>
      <c r="AL17" s="102">
        <f t="shared" si="15"/>
        <v>2.7313767236984425</v>
      </c>
      <c r="AM17" s="102">
        <f t="shared" si="16"/>
        <v>2.5492849421185464</v>
      </c>
      <c r="AN17" s="102">
        <f t="shared" si="17"/>
        <v>1.0925506894793771</v>
      </c>
      <c r="AO17" s="102">
        <f t="shared" si="18"/>
        <v>0.81941301710953285</v>
      </c>
      <c r="AP17" s="102">
        <f t="shared" si="21"/>
        <v>0.45522945394974051</v>
      </c>
      <c r="AQ17" s="136">
        <f t="shared" si="22"/>
        <v>341.33104457151541</v>
      </c>
    </row>
    <row r="18" spans="1:43" x14ac:dyDescent="0.25">
      <c r="A18" s="116">
        <v>12</v>
      </c>
      <c r="B18" s="100" t="s">
        <v>420</v>
      </c>
      <c r="C18" s="101">
        <f>Incidence!D14*Cost!C14</f>
        <v>39.254040480180493</v>
      </c>
      <c r="D18" s="102">
        <f>Incidence!E14*Cost!D14</f>
        <v>138.67840000000001</v>
      </c>
      <c r="E18" s="102">
        <f>Incidence!F14*Cost!E14</f>
        <v>51.274120931578132</v>
      </c>
      <c r="F18" s="102">
        <f>Incidence!G14*Cost!F14</f>
        <v>14.663140912063936</v>
      </c>
      <c r="G18" s="102">
        <f>Incidence!H14*Cost!G14</f>
        <v>4.5964779406533802</v>
      </c>
      <c r="H18" s="102">
        <f>Incidence!I14*Cost!H14</f>
        <v>51.68718761502987</v>
      </c>
      <c r="I18" s="102">
        <f>IF(Inputs!$C$11="Male",Incidence!J14*Cost!J14,Incidence!J14*Cost!I14)</f>
        <v>16.632651065989851</v>
      </c>
      <c r="J18" s="102">
        <f>Incidence!K14*Cost!K14</f>
        <v>1.2477862994923858</v>
      </c>
      <c r="K18" s="102">
        <f>Incidence!L14*Cost!L14</f>
        <v>47.660331642652196</v>
      </c>
      <c r="L18" s="102">
        <f>Incidence!M14*Cost!M14</f>
        <v>5.1188349758963172</v>
      </c>
      <c r="M18" s="102">
        <f>Incidence!N14*Cost!N14</f>
        <v>3.683540906970419</v>
      </c>
      <c r="N18" s="102">
        <f>Incidence!O14*Cost!O14</f>
        <v>99.083754041055428</v>
      </c>
      <c r="O18" s="104">
        <f t="shared" si="23"/>
        <v>473.58026681156241</v>
      </c>
      <c r="P18" s="237">
        <f t="shared" si="19"/>
        <v>456.94761574557253</v>
      </c>
      <c r="S18" s="56">
        <v>12</v>
      </c>
      <c r="T18" s="102">
        <f t="shared" si="0"/>
        <v>124.7884003048467</v>
      </c>
      <c r="U18" s="102">
        <f t="shared" si="1"/>
        <v>161.01729071593124</v>
      </c>
      <c r="V18" s="102">
        <f t="shared" si="2"/>
        <v>49.725928015214052</v>
      </c>
      <c r="W18" s="102">
        <f t="shared" si="3"/>
        <v>5.6829632017387492</v>
      </c>
      <c r="X18" s="102">
        <f t="shared" si="4"/>
        <v>5.9197533351445308</v>
      </c>
      <c r="Y18" s="102">
        <f t="shared" si="5"/>
        <v>2.8414816008693742</v>
      </c>
      <c r="Z18" s="102">
        <f t="shared" si="6"/>
        <v>2.6520494941447494</v>
      </c>
      <c r="AA18" s="102">
        <f t="shared" si="7"/>
        <v>1.1365926403477498</v>
      </c>
      <c r="AB18" s="102">
        <f t="shared" si="8"/>
        <v>0.85244448026081232</v>
      </c>
      <c r="AC18" s="102">
        <f t="shared" si="9"/>
        <v>0.47358026681156246</v>
      </c>
      <c r="AD18" s="136">
        <f t="shared" si="20"/>
        <v>355.09048405530956</v>
      </c>
      <c r="AF18" s="56">
        <v>12</v>
      </c>
      <c r="AG18" s="102">
        <f t="shared" si="10"/>
        <v>120.40569674895836</v>
      </c>
      <c r="AH18" s="102">
        <f t="shared" si="11"/>
        <v>155.36218935349467</v>
      </c>
      <c r="AI18" s="102">
        <f t="shared" si="12"/>
        <v>47.979499653285124</v>
      </c>
      <c r="AJ18" s="102">
        <f t="shared" si="13"/>
        <v>5.4833713889468703</v>
      </c>
      <c r="AK18" s="102">
        <f t="shared" si="14"/>
        <v>5.7118451968196569</v>
      </c>
      <c r="AL18" s="102">
        <f t="shared" si="15"/>
        <v>2.7416856944734356</v>
      </c>
      <c r="AM18" s="102">
        <f t="shared" si="16"/>
        <v>2.5589066481752063</v>
      </c>
      <c r="AN18" s="102">
        <f t="shared" si="17"/>
        <v>1.0966742777893741</v>
      </c>
      <c r="AO18" s="102">
        <f t="shared" si="18"/>
        <v>0.82250570834203063</v>
      </c>
      <c r="AP18" s="102">
        <f t="shared" si="21"/>
        <v>0.45694761574557252</v>
      </c>
      <c r="AQ18" s="136">
        <f t="shared" si="22"/>
        <v>342.61932228603024</v>
      </c>
    </row>
    <row r="19" spans="1:43" x14ac:dyDescent="0.25">
      <c r="A19" s="116">
        <v>13</v>
      </c>
      <c r="B19" s="100" t="s">
        <v>420</v>
      </c>
      <c r="C19" s="101">
        <f>Incidence!D15*Cost!C15</f>
        <v>39.254040480180493</v>
      </c>
      <c r="D19" s="102">
        <f>Incidence!E15*Cost!D15</f>
        <v>138.67840000000001</v>
      </c>
      <c r="E19" s="102">
        <f>Incidence!F15*Cost!E15</f>
        <v>51.274120931578132</v>
      </c>
      <c r="F19" s="102">
        <f>Incidence!G15*Cost!F15</f>
        <v>14.808825372193732</v>
      </c>
      <c r="G19" s="102">
        <f>Incidence!H15*Cost!G15</f>
        <v>4.5964779406533802</v>
      </c>
      <c r="H19" s="102">
        <f>Incidence!I15*Cost!H15</f>
        <v>52.200721520792712</v>
      </c>
      <c r="I19" s="102">
        <f>IF(Inputs!$C$11="Male",Incidence!J15*Cost!J15,Incidence!J15*Cost!I15)</f>
        <v>16.46002365482234</v>
      </c>
      <c r="J19" s="102">
        <f>Incidence!K15*Cost!K15</f>
        <v>1.2348357411167517</v>
      </c>
      <c r="K19" s="102">
        <f>Incidence!L15*Cost!L15</f>
        <v>47.660331642652196</v>
      </c>
      <c r="L19" s="102">
        <f>Incidence!M15*Cost!M15</f>
        <v>5.1696927501228087</v>
      </c>
      <c r="M19" s="102">
        <f>Incidence!N15*Cost!N15</f>
        <v>3.7201384321266082</v>
      </c>
      <c r="N19" s="102">
        <f>Incidence!O15*Cost!O15</f>
        <v>100.06819272998793</v>
      </c>
      <c r="O19" s="104">
        <f t="shared" si="23"/>
        <v>475.12580119622703</v>
      </c>
      <c r="P19" s="237">
        <f t="shared" si="19"/>
        <v>458.66577754140468</v>
      </c>
      <c r="S19" s="56">
        <v>13</v>
      </c>
      <c r="T19" s="102">
        <f t="shared" si="0"/>
        <v>125.19564861520583</v>
      </c>
      <c r="U19" s="102">
        <f t="shared" si="1"/>
        <v>161.54277240671721</v>
      </c>
      <c r="V19" s="102">
        <f t="shared" si="2"/>
        <v>49.888209125603844</v>
      </c>
      <c r="W19" s="102">
        <f t="shared" si="3"/>
        <v>5.7015096143547241</v>
      </c>
      <c r="X19" s="102">
        <f t="shared" si="4"/>
        <v>5.9390725149528389</v>
      </c>
      <c r="Y19" s="102">
        <f t="shared" si="5"/>
        <v>2.8507548071773621</v>
      </c>
      <c r="Z19" s="102">
        <f t="shared" si="6"/>
        <v>2.6607044866988714</v>
      </c>
      <c r="AA19" s="102">
        <f t="shared" si="7"/>
        <v>1.1403019228709448</v>
      </c>
      <c r="AB19" s="102">
        <f t="shared" si="8"/>
        <v>0.85522644215320875</v>
      </c>
      <c r="AC19" s="102">
        <f t="shared" si="9"/>
        <v>0.4751258011962271</v>
      </c>
      <c r="AD19" s="136">
        <f t="shared" si="20"/>
        <v>356.24932573693104</v>
      </c>
      <c r="AF19" s="56">
        <v>13</v>
      </c>
      <c r="AG19" s="102">
        <f t="shared" si="10"/>
        <v>120.85843238216013</v>
      </c>
      <c r="AH19" s="102">
        <f t="shared" si="11"/>
        <v>155.9463643640776</v>
      </c>
      <c r="AI19" s="102">
        <f t="shared" si="12"/>
        <v>48.159906641847499</v>
      </c>
      <c r="AJ19" s="102">
        <f t="shared" si="13"/>
        <v>5.5039893304968563</v>
      </c>
      <c r="AK19" s="102">
        <f t="shared" si="14"/>
        <v>5.733322219267559</v>
      </c>
      <c r="AL19" s="102">
        <f t="shared" si="15"/>
        <v>2.7519946652484282</v>
      </c>
      <c r="AM19" s="102">
        <f t="shared" si="16"/>
        <v>2.5685283542318662</v>
      </c>
      <c r="AN19" s="102">
        <f t="shared" si="17"/>
        <v>1.1007978660993711</v>
      </c>
      <c r="AO19" s="102">
        <f t="shared" si="18"/>
        <v>0.82559839957452841</v>
      </c>
      <c r="AP19" s="102">
        <f t="shared" si="21"/>
        <v>0.45866577754140475</v>
      </c>
      <c r="AQ19" s="136">
        <f t="shared" si="22"/>
        <v>343.90760000054524</v>
      </c>
    </row>
    <row r="20" spans="1:43" x14ac:dyDescent="0.25">
      <c r="A20" s="116">
        <v>14</v>
      </c>
      <c r="B20" s="100" t="s">
        <v>420</v>
      </c>
      <c r="C20" s="101">
        <f>Incidence!D16*Cost!C16</f>
        <v>39.254040480180493</v>
      </c>
      <c r="D20" s="102">
        <f>Incidence!E16*Cost!D16</f>
        <v>138.67840000000001</v>
      </c>
      <c r="E20" s="102">
        <f>Incidence!F16*Cost!E16</f>
        <v>51.274120931578132</v>
      </c>
      <c r="F20" s="102">
        <f>Incidence!G16*Cost!F16</f>
        <v>14.954509832323527</v>
      </c>
      <c r="G20" s="102">
        <f>Incidence!H16*Cost!G16</f>
        <v>4.5964779406533802</v>
      </c>
      <c r="H20" s="102">
        <f>Incidence!I16*Cost!H16</f>
        <v>52.71425542655556</v>
      </c>
      <c r="I20" s="102">
        <f>IF(Inputs!$C$11="Male",Incidence!J16*Cost!J16,Incidence!J16*Cost!I16)</f>
        <v>16.287396243654825</v>
      </c>
      <c r="J20" s="102">
        <f>Incidence!K16*Cost!K16</f>
        <v>1.221885182741117</v>
      </c>
      <c r="K20" s="102">
        <f>Incidence!L16*Cost!L16</f>
        <v>47.660331642652196</v>
      </c>
      <c r="L20" s="102">
        <f>Incidence!M16*Cost!M16</f>
        <v>5.2205505243492993</v>
      </c>
      <c r="M20" s="102">
        <f>Incidence!N16*Cost!N16</f>
        <v>3.7567359572827974</v>
      </c>
      <c r="N20" s="102">
        <f>Incidence!O16*Cost!O16</f>
        <v>101.05263141892043</v>
      </c>
      <c r="O20" s="104">
        <f t="shared" si="23"/>
        <v>476.67133558089176</v>
      </c>
      <c r="P20" s="237">
        <f t="shared" si="19"/>
        <v>460.38393933723694</v>
      </c>
      <c r="S20" s="56">
        <v>14</v>
      </c>
      <c r="T20" s="102">
        <f t="shared" si="0"/>
        <v>125.60289692556499</v>
      </c>
      <c r="U20" s="102">
        <f t="shared" si="1"/>
        <v>162.0682540975032</v>
      </c>
      <c r="V20" s="102">
        <f t="shared" si="2"/>
        <v>50.050490235993642</v>
      </c>
      <c r="W20" s="102">
        <f t="shared" si="3"/>
        <v>5.7200560269707017</v>
      </c>
      <c r="X20" s="102">
        <f t="shared" si="4"/>
        <v>5.9583916947611462</v>
      </c>
      <c r="Y20" s="102">
        <f t="shared" si="5"/>
        <v>2.8600280134853509</v>
      </c>
      <c r="Z20" s="102">
        <f t="shared" si="6"/>
        <v>2.6693594792529942</v>
      </c>
      <c r="AA20" s="102">
        <f t="shared" si="7"/>
        <v>1.14401120539414</v>
      </c>
      <c r="AB20" s="102">
        <f t="shared" si="8"/>
        <v>0.85800840404560519</v>
      </c>
      <c r="AC20" s="102">
        <f t="shared" si="9"/>
        <v>0.47667133558089175</v>
      </c>
      <c r="AD20" s="136">
        <f t="shared" si="20"/>
        <v>357.40816741855269</v>
      </c>
      <c r="AF20" s="56">
        <v>14</v>
      </c>
      <c r="AG20" s="102">
        <f t="shared" si="10"/>
        <v>121.31116801536194</v>
      </c>
      <c r="AH20" s="102">
        <f t="shared" si="11"/>
        <v>156.53053937466058</v>
      </c>
      <c r="AI20" s="102">
        <f t="shared" si="12"/>
        <v>48.340313630409888</v>
      </c>
      <c r="AJ20" s="102">
        <f t="shared" si="13"/>
        <v>5.5246072720468433</v>
      </c>
      <c r="AK20" s="102">
        <f t="shared" si="14"/>
        <v>5.7547992417154612</v>
      </c>
      <c r="AL20" s="102">
        <f t="shared" si="15"/>
        <v>2.7623036360234221</v>
      </c>
      <c r="AM20" s="102">
        <f t="shared" si="16"/>
        <v>2.578150060288527</v>
      </c>
      <c r="AN20" s="102">
        <f t="shared" si="17"/>
        <v>1.1049214544093686</v>
      </c>
      <c r="AO20" s="102">
        <f t="shared" si="18"/>
        <v>0.82869109080702663</v>
      </c>
      <c r="AP20" s="102">
        <f t="shared" si="21"/>
        <v>0.46038393933723692</v>
      </c>
      <c r="AQ20" s="136">
        <f t="shared" si="22"/>
        <v>345.19587771506031</v>
      </c>
    </row>
    <row r="21" spans="1:43" x14ac:dyDescent="0.25">
      <c r="A21" s="116">
        <v>15</v>
      </c>
      <c r="B21" s="100" t="s">
        <v>420</v>
      </c>
      <c r="C21" s="101">
        <f>Incidence!D17*Cost!C17</f>
        <v>39.254040480180493</v>
      </c>
      <c r="D21" s="102">
        <f>Incidence!E17*Cost!D17</f>
        <v>138.67840000000001</v>
      </c>
      <c r="E21" s="102">
        <f>Incidence!F17*Cost!E17</f>
        <v>51.274120931578132</v>
      </c>
      <c r="F21" s="102">
        <f>Incidence!G17*Cost!F17</f>
        <v>15.100194292453326</v>
      </c>
      <c r="G21" s="102">
        <f>Incidence!H17*Cost!G17</f>
        <v>4.5964779406533802</v>
      </c>
      <c r="H21" s="102">
        <f>Incidence!I17*Cost!H17</f>
        <v>53.227789332318395</v>
      </c>
      <c r="I21" s="102">
        <f>IF(Inputs!$C$11="Male",Incidence!J17*Cost!J17,Incidence!J17*Cost!I17)</f>
        <v>16.114768832487314</v>
      </c>
      <c r="J21" s="102">
        <f>Incidence!K17*Cost!K17</f>
        <v>1.2089346243654826</v>
      </c>
      <c r="K21" s="102">
        <f>Incidence!L17*Cost!L17</f>
        <v>47.660331642652196</v>
      </c>
      <c r="L21" s="102">
        <f>Incidence!M17*Cost!M17</f>
        <v>5.2714082985757909</v>
      </c>
      <c r="M21" s="102">
        <f>Incidence!N17*Cost!N17</f>
        <v>3.7933334824389866</v>
      </c>
      <c r="N21" s="102">
        <f>Incidence!O17*Cost!O17</f>
        <v>102.03707010785291</v>
      </c>
      <c r="O21" s="104">
        <f t="shared" si="23"/>
        <v>478.21686996555644</v>
      </c>
      <c r="P21" s="237">
        <f t="shared" si="19"/>
        <v>462.10210113306914</v>
      </c>
      <c r="S21" s="56">
        <v>15</v>
      </c>
      <c r="T21" s="102">
        <f t="shared" si="0"/>
        <v>126.01014523592413</v>
      </c>
      <c r="U21" s="102">
        <f t="shared" si="1"/>
        <v>162.59373578828919</v>
      </c>
      <c r="V21" s="102">
        <f t="shared" si="2"/>
        <v>50.212771346383427</v>
      </c>
      <c r="W21" s="102">
        <f t="shared" si="3"/>
        <v>5.7386024395866775</v>
      </c>
      <c r="X21" s="102">
        <f t="shared" si="4"/>
        <v>5.977710874569456</v>
      </c>
      <c r="Y21" s="102">
        <f t="shared" si="5"/>
        <v>2.8693012197933387</v>
      </c>
      <c r="Z21" s="102">
        <f t="shared" si="6"/>
        <v>2.6780144718071162</v>
      </c>
      <c r="AA21" s="102">
        <f t="shared" si="7"/>
        <v>1.1477204879173353</v>
      </c>
      <c r="AB21" s="102">
        <f t="shared" si="8"/>
        <v>0.86079036593800162</v>
      </c>
      <c r="AC21" s="102">
        <f t="shared" si="9"/>
        <v>0.47821686996555646</v>
      </c>
      <c r="AD21" s="136">
        <f t="shared" si="20"/>
        <v>358.56700910017418</v>
      </c>
      <c r="AF21" s="56">
        <v>15</v>
      </c>
      <c r="AG21" s="102">
        <f t="shared" si="10"/>
        <v>121.76390364856373</v>
      </c>
      <c r="AH21" s="102">
        <f t="shared" si="11"/>
        <v>157.11471438524353</v>
      </c>
      <c r="AI21" s="102">
        <f t="shared" si="12"/>
        <v>48.52072061897227</v>
      </c>
      <c r="AJ21" s="102">
        <f t="shared" si="13"/>
        <v>5.5452252135968294</v>
      </c>
      <c r="AK21" s="102">
        <f t="shared" si="14"/>
        <v>5.7762762641633643</v>
      </c>
      <c r="AL21" s="102">
        <f t="shared" si="15"/>
        <v>2.7726126067984151</v>
      </c>
      <c r="AM21" s="102">
        <f t="shared" si="16"/>
        <v>2.5877717663451874</v>
      </c>
      <c r="AN21" s="102">
        <f t="shared" si="17"/>
        <v>1.1090450427193659</v>
      </c>
      <c r="AO21" s="102">
        <f t="shared" si="18"/>
        <v>0.83178378203952452</v>
      </c>
      <c r="AP21" s="102">
        <f t="shared" si="21"/>
        <v>0.46210210113306915</v>
      </c>
      <c r="AQ21" s="136">
        <f t="shared" si="22"/>
        <v>346.48415542957525</v>
      </c>
    </row>
    <row r="22" spans="1:43" x14ac:dyDescent="0.25">
      <c r="A22" s="116">
        <v>16</v>
      </c>
      <c r="B22" s="100" t="s">
        <v>420</v>
      </c>
      <c r="C22" s="101">
        <f>Incidence!D18*Cost!C18</f>
        <v>39.254040480180493</v>
      </c>
      <c r="D22" s="102">
        <f>Incidence!E18*Cost!D18</f>
        <v>138.67840000000001</v>
      </c>
      <c r="E22" s="102">
        <f>Incidence!F18*Cost!E18</f>
        <v>51.274120931578132</v>
      </c>
      <c r="F22" s="102">
        <f>Incidence!G18*Cost!F18</f>
        <v>15.245878752583119</v>
      </c>
      <c r="G22" s="102">
        <f>Incidence!H18*Cost!G18</f>
        <v>4.5964779406533802</v>
      </c>
      <c r="H22" s="102">
        <f>Incidence!I18*Cost!H18</f>
        <v>53.741323238081229</v>
      </c>
      <c r="I22" s="102">
        <f>IF(Inputs!$C$11="Male",Incidence!J18*Cost!J18,Incidence!J18*Cost!I18)</f>
        <v>15.9421414213198</v>
      </c>
      <c r="J22" s="102">
        <f>Incidence!K18*Cost!K18</f>
        <v>1.195984065989848</v>
      </c>
      <c r="K22" s="102">
        <f>Incidence!L18*Cost!L18</f>
        <v>47.660331642652196</v>
      </c>
      <c r="L22" s="102">
        <f>Incidence!M18*Cost!M18</f>
        <v>5.3222660728022806</v>
      </c>
      <c r="M22" s="102">
        <f>Incidence!N18*Cost!N18</f>
        <v>3.8299310075951749</v>
      </c>
      <c r="N22" s="102">
        <f>Incidence!O18*Cost!O18</f>
        <v>103.0215087967854</v>
      </c>
      <c r="O22" s="104">
        <f t="shared" si="23"/>
        <v>479.762404350221</v>
      </c>
      <c r="P22" s="237">
        <f t="shared" si="19"/>
        <v>463.82026292890123</v>
      </c>
      <c r="S22" s="56">
        <v>16</v>
      </c>
      <c r="T22" s="102">
        <f t="shared" si="0"/>
        <v>126.41739354628324</v>
      </c>
      <c r="U22" s="102">
        <f t="shared" si="1"/>
        <v>163.11921747907516</v>
      </c>
      <c r="V22" s="102">
        <f t="shared" si="2"/>
        <v>50.375052456773211</v>
      </c>
      <c r="W22" s="102">
        <f t="shared" si="3"/>
        <v>5.7571488522026524</v>
      </c>
      <c r="X22" s="102">
        <f t="shared" si="4"/>
        <v>5.9970300543777624</v>
      </c>
      <c r="Y22" s="102">
        <f t="shared" si="5"/>
        <v>2.8785744261013262</v>
      </c>
      <c r="Z22" s="102">
        <f t="shared" si="6"/>
        <v>2.6866694643612377</v>
      </c>
      <c r="AA22" s="102">
        <f t="shared" si="7"/>
        <v>1.1514297704405303</v>
      </c>
      <c r="AB22" s="102">
        <f t="shared" si="8"/>
        <v>0.86357232783039783</v>
      </c>
      <c r="AC22" s="102">
        <f t="shared" si="9"/>
        <v>0.47976240435022105</v>
      </c>
      <c r="AD22" s="136">
        <f t="shared" si="20"/>
        <v>359.72585078179577</v>
      </c>
      <c r="AF22" s="56">
        <v>16</v>
      </c>
      <c r="AG22" s="102">
        <f t="shared" si="10"/>
        <v>122.21663928176548</v>
      </c>
      <c r="AH22" s="102">
        <f t="shared" si="11"/>
        <v>157.69888939582643</v>
      </c>
      <c r="AI22" s="102">
        <f t="shared" si="12"/>
        <v>48.70112760753463</v>
      </c>
      <c r="AJ22" s="102">
        <f t="shared" si="13"/>
        <v>5.5658431551468146</v>
      </c>
      <c r="AK22" s="102">
        <f t="shared" si="14"/>
        <v>5.7977532866112655</v>
      </c>
      <c r="AL22" s="102">
        <f t="shared" si="15"/>
        <v>2.7829215775734073</v>
      </c>
      <c r="AM22" s="102">
        <f t="shared" si="16"/>
        <v>2.5973934724018468</v>
      </c>
      <c r="AN22" s="102">
        <f t="shared" si="17"/>
        <v>1.1131686310293629</v>
      </c>
      <c r="AO22" s="102">
        <f t="shared" si="18"/>
        <v>0.83487647327202219</v>
      </c>
      <c r="AP22" s="102">
        <f t="shared" si="21"/>
        <v>0.46382026292890127</v>
      </c>
      <c r="AQ22" s="136">
        <f t="shared" si="22"/>
        <v>347.77243314409009</v>
      </c>
    </row>
    <row r="23" spans="1:43" x14ac:dyDescent="0.25">
      <c r="A23" s="116">
        <v>17</v>
      </c>
      <c r="B23" s="100" t="s">
        <v>420</v>
      </c>
      <c r="C23" s="101">
        <f>Incidence!D19*Cost!C19</f>
        <v>39.254040480180493</v>
      </c>
      <c r="D23" s="102">
        <f>Incidence!E19*Cost!D19</f>
        <v>138.67840000000001</v>
      </c>
      <c r="E23" s="102">
        <f>Incidence!F19*Cost!E19</f>
        <v>51.274120931578132</v>
      </c>
      <c r="F23" s="102">
        <f>Incidence!G19*Cost!F19</f>
        <v>15.391563212712914</v>
      </c>
      <c r="G23" s="102">
        <f>Incidence!H19*Cost!G19</f>
        <v>4.5964779406533802</v>
      </c>
      <c r="H23" s="102">
        <f>Incidence!I19*Cost!H19</f>
        <v>54.254857143844077</v>
      </c>
      <c r="I23" s="102">
        <f>IF(Inputs!$C$11="Male",Incidence!J19*Cost!J19,Incidence!J19*Cost!I19)</f>
        <v>15.769514010152287</v>
      </c>
      <c r="J23" s="102">
        <f>Incidence!K19*Cost!K19</f>
        <v>1.1830335076142133</v>
      </c>
      <c r="K23" s="102">
        <f>Incidence!L19*Cost!L19</f>
        <v>47.660331642652196</v>
      </c>
      <c r="L23" s="102">
        <f>Incidence!M19*Cost!M19</f>
        <v>5.3731238470287721</v>
      </c>
      <c r="M23" s="102">
        <f>Incidence!N19*Cost!N19</f>
        <v>3.8665285327513637</v>
      </c>
      <c r="N23" s="102">
        <f>Incidence!O19*Cost!O19</f>
        <v>104.00594748571788</v>
      </c>
      <c r="O23" s="104">
        <f t="shared" si="23"/>
        <v>481.30793873488574</v>
      </c>
      <c r="P23" s="237">
        <f t="shared" si="19"/>
        <v>465.53842472473343</v>
      </c>
      <c r="S23" s="56">
        <v>17</v>
      </c>
      <c r="T23" s="102">
        <f t="shared" si="0"/>
        <v>126.8246418566424</v>
      </c>
      <c r="U23" s="102">
        <f t="shared" si="1"/>
        <v>163.64469916986116</v>
      </c>
      <c r="V23" s="102">
        <f t="shared" si="2"/>
        <v>50.53733356716301</v>
      </c>
      <c r="W23" s="102">
        <f t="shared" si="3"/>
        <v>5.775695264818629</v>
      </c>
      <c r="X23" s="102">
        <f t="shared" si="4"/>
        <v>6.0163492341860723</v>
      </c>
      <c r="Y23" s="102">
        <f t="shared" si="5"/>
        <v>2.8878476324093145</v>
      </c>
      <c r="Z23" s="102">
        <f t="shared" si="6"/>
        <v>2.69532445691536</v>
      </c>
      <c r="AA23" s="102">
        <f t="shared" si="7"/>
        <v>1.1551390529637258</v>
      </c>
      <c r="AB23" s="102">
        <f t="shared" si="8"/>
        <v>0.86635428972279449</v>
      </c>
      <c r="AC23" s="102">
        <f t="shared" si="9"/>
        <v>0.48130793873488575</v>
      </c>
      <c r="AD23" s="136">
        <f t="shared" si="20"/>
        <v>360.88469246341731</v>
      </c>
      <c r="AF23" s="56">
        <v>17</v>
      </c>
      <c r="AG23" s="102">
        <f t="shared" si="10"/>
        <v>122.66937491496726</v>
      </c>
      <c r="AH23" s="102">
        <f t="shared" si="11"/>
        <v>158.28306440640938</v>
      </c>
      <c r="AI23" s="102">
        <f t="shared" si="12"/>
        <v>48.881534596097012</v>
      </c>
      <c r="AJ23" s="102">
        <f t="shared" si="13"/>
        <v>5.5864610966968016</v>
      </c>
      <c r="AK23" s="102">
        <f t="shared" si="14"/>
        <v>5.8192303090591677</v>
      </c>
      <c r="AL23" s="102">
        <f t="shared" si="15"/>
        <v>2.7932305483484008</v>
      </c>
      <c r="AM23" s="102">
        <f t="shared" si="16"/>
        <v>2.6070151784585072</v>
      </c>
      <c r="AN23" s="102">
        <f t="shared" si="17"/>
        <v>1.1172922193393602</v>
      </c>
      <c r="AO23" s="102">
        <f t="shared" si="18"/>
        <v>0.83796916450452008</v>
      </c>
      <c r="AP23" s="102">
        <f t="shared" si="21"/>
        <v>0.46553842472473345</v>
      </c>
      <c r="AQ23" s="136">
        <f t="shared" si="22"/>
        <v>349.06071085860503</v>
      </c>
    </row>
    <row r="24" spans="1:43" x14ac:dyDescent="0.25">
      <c r="A24" s="116">
        <v>18</v>
      </c>
      <c r="B24" s="100" t="s">
        <v>420</v>
      </c>
      <c r="C24" s="101">
        <f>Incidence!D20*Cost!C20</f>
        <v>39.254040480180493</v>
      </c>
      <c r="D24" s="102">
        <f>Incidence!E20*Cost!D20</f>
        <v>138.67840000000001</v>
      </c>
      <c r="E24" s="102">
        <f>Incidence!F20*Cost!E20</f>
        <v>51.274120931578132</v>
      </c>
      <c r="F24" s="102">
        <f>Incidence!G20*Cost!F20</f>
        <v>15.53724767284271</v>
      </c>
      <c r="G24" s="102">
        <f>Incidence!H20*Cost!G20</f>
        <v>4.5964779406533802</v>
      </c>
      <c r="H24" s="102">
        <f>Incidence!I20*Cost!H20</f>
        <v>54.768391049606912</v>
      </c>
      <c r="I24" s="102">
        <f>IF(Inputs!$C$11="Male",Incidence!J20*Cost!J20,Incidence!J20*Cost!I20)</f>
        <v>15.596886598984776</v>
      </c>
      <c r="J24" s="102">
        <f>Incidence!K20*Cost!K20</f>
        <v>1.1700829492385789</v>
      </c>
      <c r="K24" s="102">
        <f>Incidence!L20*Cost!L20</f>
        <v>47.660331642652196</v>
      </c>
      <c r="L24" s="102">
        <f>Incidence!M20*Cost!M20</f>
        <v>5.4239816212552636</v>
      </c>
      <c r="M24" s="102">
        <f>Incidence!N20*Cost!N20</f>
        <v>3.9031260579075528</v>
      </c>
      <c r="N24" s="102">
        <f>Incidence!O20*Cost!O20</f>
        <v>104.99038617465038</v>
      </c>
      <c r="O24" s="104">
        <f t="shared" si="23"/>
        <v>482.85347311955042</v>
      </c>
      <c r="P24" s="237">
        <f t="shared" si="19"/>
        <v>467.25658652056563</v>
      </c>
      <c r="S24" s="56">
        <v>18</v>
      </c>
      <c r="T24" s="102">
        <f t="shared" si="0"/>
        <v>127.23189016700154</v>
      </c>
      <c r="U24" s="102">
        <f t="shared" si="1"/>
        <v>164.17018086064715</v>
      </c>
      <c r="V24" s="102">
        <f t="shared" si="2"/>
        <v>50.699614677552795</v>
      </c>
      <c r="W24" s="102">
        <f t="shared" si="3"/>
        <v>5.7942416774346048</v>
      </c>
      <c r="X24" s="102">
        <f t="shared" si="4"/>
        <v>6.0356684139943795</v>
      </c>
      <c r="Y24" s="102">
        <f t="shared" si="5"/>
        <v>2.8971208387173024</v>
      </c>
      <c r="Z24" s="102">
        <f t="shared" si="6"/>
        <v>2.7039794494694824</v>
      </c>
      <c r="AA24" s="102">
        <f t="shared" si="7"/>
        <v>1.1588483354869208</v>
      </c>
      <c r="AB24" s="102">
        <f t="shared" si="8"/>
        <v>0.8691362516151907</v>
      </c>
      <c r="AC24" s="102">
        <f t="shared" si="9"/>
        <v>0.4828534731195504</v>
      </c>
      <c r="AD24" s="136">
        <f t="shared" si="20"/>
        <v>362.04353414503896</v>
      </c>
      <c r="AF24" s="56">
        <v>18</v>
      </c>
      <c r="AG24" s="102">
        <f t="shared" si="10"/>
        <v>123.12211054816905</v>
      </c>
      <c r="AH24" s="102">
        <f t="shared" si="11"/>
        <v>158.86723941699233</v>
      </c>
      <c r="AI24" s="102">
        <f t="shared" si="12"/>
        <v>49.061941584659394</v>
      </c>
      <c r="AJ24" s="102">
        <f t="shared" si="13"/>
        <v>5.6070790382467877</v>
      </c>
      <c r="AK24" s="102">
        <f t="shared" si="14"/>
        <v>5.8407073315070708</v>
      </c>
      <c r="AL24" s="102">
        <f t="shared" si="15"/>
        <v>2.8035395191233938</v>
      </c>
      <c r="AM24" s="102">
        <f t="shared" si="16"/>
        <v>2.6166368845151675</v>
      </c>
      <c r="AN24" s="102">
        <f t="shared" si="17"/>
        <v>1.1214158076493574</v>
      </c>
      <c r="AO24" s="102">
        <f t="shared" si="18"/>
        <v>0.84106185573701808</v>
      </c>
      <c r="AP24" s="102">
        <f t="shared" si="21"/>
        <v>0.46725658652056568</v>
      </c>
      <c r="AQ24" s="136">
        <f t="shared" si="22"/>
        <v>350.34898857312021</v>
      </c>
    </row>
    <row r="25" spans="1:43" x14ac:dyDescent="0.25">
      <c r="A25" s="116">
        <v>19</v>
      </c>
      <c r="B25" s="100" t="s">
        <v>420</v>
      </c>
      <c r="C25" s="101">
        <f>Incidence!D21*Cost!C21</f>
        <v>39.254040480180493</v>
      </c>
      <c r="D25" s="102">
        <f>Incidence!E21*Cost!D21</f>
        <v>138.67840000000001</v>
      </c>
      <c r="E25" s="102">
        <f>Incidence!F21*Cost!E21</f>
        <v>51.274120931578132</v>
      </c>
      <c r="F25" s="102">
        <f>Incidence!G21*Cost!F21</f>
        <v>15.682932132972505</v>
      </c>
      <c r="G25" s="102">
        <f>Incidence!H21*Cost!G21</f>
        <v>4.5964779406533802</v>
      </c>
      <c r="H25" s="102">
        <f>Incidence!I21*Cost!H21</f>
        <v>55.281924955369753</v>
      </c>
      <c r="I25" s="102">
        <f>IF(Inputs!$C$11="Male",Incidence!J21*Cost!J21,Incidence!J21*Cost!I21)</f>
        <v>15.424259187817261</v>
      </c>
      <c r="J25" s="102">
        <f>Incidence!K21*Cost!K21</f>
        <v>1.1571323908629443</v>
      </c>
      <c r="K25" s="102">
        <f>Incidence!L21*Cost!L21</f>
        <v>47.660331642652196</v>
      </c>
      <c r="L25" s="102">
        <f>Incidence!M21*Cost!M21</f>
        <v>5.4748393954817542</v>
      </c>
      <c r="M25" s="102">
        <f>Incidence!N21*Cost!N21</f>
        <v>3.9397235830637416</v>
      </c>
      <c r="N25" s="102">
        <f>Incidence!O21*Cost!O21</f>
        <v>105.97482486358288</v>
      </c>
      <c r="O25" s="104">
        <f t="shared" si="23"/>
        <v>484.39900750421509</v>
      </c>
      <c r="P25" s="237">
        <f t="shared" si="19"/>
        <v>468.97474831639784</v>
      </c>
      <c r="S25" s="56">
        <v>19</v>
      </c>
      <c r="T25" s="102">
        <f t="shared" si="0"/>
        <v>127.63913847736069</v>
      </c>
      <c r="U25" s="102">
        <f t="shared" si="1"/>
        <v>164.69566255143314</v>
      </c>
      <c r="V25" s="102">
        <f t="shared" si="2"/>
        <v>50.861895787942586</v>
      </c>
      <c r="W25" s="102">
        <f t="shared" si="3"/>
        <v>5.8127880900505815</v>
      </c>
      <c r="X25" s="102">
        <f t="shared" si="4"/>
        <v>6.0549875938026894</v>
      </c>
      <c r="Y25" s="102">
        <f t="shared" si="5"/>
        <v>2.9063940450252903</v>
      </c>
      <c r="Z25" s="102">
        <f t="shared" si="6"/>
        <v>2.7126344420236044</v>
      </c>
      <c r="AA25" s="102">
        <f t="shared" si="7"/>
        <v>1.162557618010116</v>
      </c>
      <c r="AB25" s="102">
        <f t="shared" si="8"/>
        <v>0.87191821350758714</v>
      </c>
      <c r="AC25" s="102">
        <f t="shared" si="9"/>
        <v>0.48439900750421516</v>
      </c>
      <c r="AD25" s="136">
        <f t="shared" si="20"/>
        <v>363.20237582666056</v>
      </c>
      <c r="AF25" s="56">
        <v>19</v>
      </c>
      <c r="AG25" s="102">
        <f t="shared" si="10"/>
        <v>123.57484618137083</v>
      </c>
      <c r="AH25" s="102">
        <f t="shared" si="11"/>
        <v>159.45141442757529</v>
      </c>
      <c r="AI25" s="102">
        <f t="shared" si="12"/>
        <v>49.242348573221776</v>
      </c>
      <c r="AJ25" s="102">
        <f t="shared" si="13"/>
        <v>5.6276969797967737</v>
      </c>
      <c r="AK25" s="102">
        <f t="shared" si="14"/>
        <v>5.8621843539549729</v>
      </c>
      <c r="AL25" s="102">
        <f t="shared" si="15"/>
        <v>2.8138484898983869</v>
      </c>
      <c r="AM25" s="102">
        <f t="shared" si="16"/>
        <v>2.6262585905718279</v>
      </c>
      <c r="AN25" s="102">
        <f t="shared" si="17"/>
        <v>1.1255393959593547</v>
      </c>
      <c r="AO25" s="102">
        <f t="shared" si="18"/>
        <v>0.84415454696951608</v>
      </c>
      <c r="AP25" s="102">
        <f t="shared" si="21"/>
        <v>0.46897474831639785</v>
      </c>
      <c r="AQ25" s="136">
        <f t="shared" si="22"/>
        <v>351.6372662876351</v>
      </c>
    </row>
    <row r="26" spans="1:43" ht="16.5" thickBot="1" x14ac:dyDescent="0.3">
      <c r="A26" s="115">
        <v>20</v>
      </c>
      <c r="B26" s="132" t="s">
        <v>420</v>
      </c>
      <c r="C26" s="133">
        <f>Incidence!D22*Cost!C22</f>
        <v>39.254040480180493</v>
      </c>
      <c r="D26" s="112">
        <f>Incidence!E22*Cost!D22</f>
        <v>138.67840000000001</v>
      </c>
      <c r="E26" s="112">
        <f>Incidence!F22*Cost!E22</f>
        <v>51.274120931578132</v>
      </c>
      <c r="F26" s="112">
        <f>Incidence!G22*Cost!F22</f>
        <v>15.828616593102302</v>
      </c>
      <c r="G26" s="112">
        <f>Incidence!H22*Cost!G22</f>
        <v>4.5964779406533802</v>
      </c>
      <c r="H26" s="112">
        <f>Incidence!I22*Cost!H22</f>
        <v>55.795458861132587</v>
      </c>
      <c r="I26" s="112">
        <f>IF(Inputs!$C$11="Male",Incidence!J22*Cost!J22,Incidence!J22*Cost!I22)</f>
        <v>15.251631776649749</v>
      </c>
      <c r="J26" s="112">
        <f>Incidence!K22*Cost!K22</f>
        <v>1.1441818324873099</v>
      </c>
      <c r="K26" s="112">
        <f>Incidence!L22*Cost!L22</f>
        <v>47.660331642652196</v>
      </c>
      <c r="L26" s="112">
        <f>Incidence!M22*Cost!M22</f>
        <v>5.5256971697082449</v>
      </c>
      <c r="M26" s="112">
        <f>Incidence!N22*Cost!N22</f>
        <v>3.9763211082199312</v>
      </c>
      <c r="N26" s="112">
        <f>Incidence!O22*Cost!O22</f>
        <v>106.95926355251538</v>
      </c>
      <c r="O26" s="113">
        <f t="shared" si="23"/>
        <v>485.94454188887966</v>
      </c>
      <c r="P26" s="238">
        <f t="shared" si="19"/>
        <v>470.69291011222992</v>
      </c>
      <c r="S26" s="135">
        <v>20</v>
      </c>
      <c r="T26" s="112">
        <f t="shared" si="0"/>
        <v>128.0463867877198</v>
      </c>
      <c r="U26" s="112">
        <f t="shared" si="1"/>
        <v>165.22114424221908</v>
      </c>
      <c r="V26" s="112">
        <f t="shared" si="2"/>
        <v>51.024176898332364</v>
      </c>
      <c r="W26" s="112">
        <f t="shared" si="3"/>
        <v>5.8313345026665564</v>
      </c>
      <c r="X26" s="112">
        <f t="shared" si="4"/>
        <v>6.0743067736109957</v>
      </c>
      <c r="Y26" s="112">
        <f t="shared" si="5"/>
        <v>2.9156672513332778</v>
      </c>
      <c r="Z26" s="112">
        <f t="shared" si="6"/>
        <v>2.7212894345777263</v>
      </c>
      <c r="AA26" s="112">
        <f t="shared" si="7"/>
        <v>1.1662669005333111</v>
      </c>
      <c r="AB26" s="112">
        <f t="shared" si="8"/>
        <v>0.87470017539998335</v>
      </c>
      <c r="AC26" s="112">
        <f t="shared" si="9"/>
        <v>0.4859445418888797</v>
      </c>
      <c r="AD26" s="201">
        <f t="shared" si="20"/>
        <v>364.36121750828198</v>
      </c>
      <c r="AF26" s="135">
        <v>20</v>
      </c>
      <c r="AG26" s="112">
        <f t="shared" si="10"/>
        <v>124.02758181457259</v>
      </c>
      <c r="AH26" s="112">
        <f t="shared" si="11"/>
        <v>160.03558943815818</v>
      </c>
      <c r="AI26" s="112">
        <f t="shared" si="12"/>
        <v>49.422755561784143</v>
      </c>
      <c r="AJ26" s="112">
        <f t="shared" si="13"/>
        <v>5.6483149213467589</v>
      </c>
      <c r="AK26" s="112">
        <f t="shared" si="14"/>
        <v>5.8836613764028742</v>
      </c>
      <c r="AL26" s="112">
        <f t="shared" si="15"/>
        <v>2.8241574606733795</v>
      </c>
      <c r="AM26" s="112">
        <f t="shared" si="16"/>
        <v>2.6358802966284878</v>
      </c>
      <c r="AN26" s="112">
        <f t="shared" si="17"/>
        <v>1.1296629842693517</v>
      </c>
      <c r="AO26" s="112">
        <f t="shared" si="18"/>
        <v>0.84724723820201386</v>
      </c>
      <c r="AP26" s="112">
        <f t="shared" si="21"/>
        <v>0.47069291011222997</v>
      </c>
      <c r="AQ26" s="201">
        <f t="shared" si="22"/>
        <v>352.92554400214999</v>
      </c>
    </row>
    <row r="27" spans="1:43" x14ac:dyDescent="0.25">
      <c r="B27" s="30"/>
      <c r="C27" s="102"/>
    </row>
    <row r="28" spans="1:43" x14ac:dyDescent="0.25">
      <c r="B28" s="30"/>
      <c r="C28" s="102"/>
    </row>
    <row r="29" spans="1:43" ht="21.75" thickBot="1" x14ac:dyDescent="0.4">
      <c r="A29" s="85" t="s">
        <v>565</v>
      </c>
      <c r="S29" s="85" t="s">
        <v>565</v>
      </c>
    </row>
    <row r="30" spans="1:43" ht="48" thickBot="1" x14ac:dyDescent="0.3">
      <c r="A30" s="105" t="s">
        <v>38</v>
      </c>
      <c r="B30" s="106" t="s">
        <v>419</v>
      </c>
      <c r="C30" s="108" t="s">
        <v>83</v>
      </c>
      <c r="D30" s="108" t="s">
        <v>90</v>
      </c>
      <c r="E30" s="108" t="s">
        <v>94</v>
      </c>
      <c r="F30" s="108" t="s">
        <v>100</v>
      </c>
      <c r="G30" s="108" t="s">
        <v>101</v>
      </c>
      <c r="H30" s="108" t="s">
        <v>102</v>
      </c>
      <c r="I30" s="110" t="s">
        <v>103</v>
      </c>
      <c r="J30" s="103" t="s">
        <v>59</v>
      </c>
      <c r="S30" s="134" t="s">
        <v>38</v>
      </c>
      <c r="T30" s="106">
        <v>1</v>
      </c>
      <c r="U30" s="106">
        <v>2</v>
      </c>
      <c r="V30" s="106">
        <v>3</v>
      </c>
      <c r="W30" s="106">
        <v>4</v>
      </c>
      <c r="X30" s="106">
        <v>5</v>
      </c>
      <c r="Y30" s="106">
        <v>6</v>
      </c>
      <c r="Z30" s="106">
        <v>7</v>
      </c>
      <c r="AA30" s="106">
        <v>8</v>
      </c>
      <c r="AB30" s="106">
        <v>9</v>
      </c>
      <c r="AC30" s="106">
        <v>10</v>
      </c>
      <c r="AD30" s="178" t="s">
        <v>473</v>
      </c>
      <c r="AG30" s="249" t="s">
        <v>635</v>
      </c>
      <c r="AH30" s="250" t="s">
        <v>636</v>
      </c>
      <c r="AI30" s="251" t="s">
        <v>637</v>
      </c>
    </row>
    <row r="31" spans="1:43" x14ac:dyDescent="0.25">
      <c r="A31" s="168">
        <v>0</v>
      </c>
      <c r="B31" s="100" t="s">
        <v>417</v>
      </c>
      <c r="C31" s="124">
        <f>Incidence!F2*Cost!E2</f>
        <v>25.637060465789066</v>
      </c>
      <c r="D31" s="124">
        <f>Incidence!G2*Cost!F2</f>
        <v>12.914927390506389</v>
      </c>
      <c r="E31" s="124">
        <f>Incidence!I2*Cost!H2</f>
        <v>45.524780745875788</v>
      </c>
      <c r="F31" s="124">
        <f>Incidence!L2*Cost!L2</f>
        <v>47.660331642652196</v>
      </c>
      <c r="G31" s="124">
        <f>Incidence!M2*Cost!M2</f>
        <v>4.5085416851784252</v>
      </c>
      <c r="H31" s="124">
        <f>Incidence!N2*Cost!N2</f>
        <v>3.2443706050961518</v>
      </c>
      <c r="I31" s="124">
        <f>Incidence!O2*Cost!O2</f>
        <v>87.270489773865521</v>
      </c>
      <c r="J31" s="179">
        <f t="shared" ref="J31:J51" si="24">SUM(C31:I31)</f>
        <v>226.76050230896351</v>
      </c>
      <c r="S31" s="56">
        <v>0</v>
      </c>
      <c r="T31" s="102">
        <f t="shared" ref="T31:T51" si="25">J31*$AH$32</f>
        <v>59.751392358411884</v>
      </c>
      <c r="U31" s="102">
        <f>$U$30*J31*$AH$33</f>
        <v>77.098570785047599</v>
      </c>
      <c r="V31" s="102">
        <f t="shared" ref="V31:V51" si="26">$V$30*J31*$AH$34</f>
        <v>23.809852742441169</v>
      </c>
      <c r="W31" s="102">
        <f t="shared" ref="W31:W51" si="27">4*J31*$AH$35</f>
        <v>2.721126027707562</v>
      </c>
      <c r="X31" s="102">
        <f t="shared" ref="X31:X51" si="28">$X$30*J31*$AH$36</f>
        <v>2.8345062788620443</v>
      </c>
      <c r="Y31" s="102">
        <f t="shared" ref="Y31:Y51" si="29">$Y$30*J31*$AH$37</f>
        <v>1.360563013853781</v>
      </c>
      <c r="Z31" s="102">
        <f t="shared" ref="Z31:Z51" si="30">J31*$Z$30*$AH$38</f>
        <v>1.2698588129301955</v>
      </c>
      <c r="AA31" s="102">
        <f t="shared" ref="AA31:AA51" si="31">J31*$AA$30*$AH$39</f>
        <v>0.54422520554151232</v>
      </c>
      <c r="AB31" s="102">
        <f t="shared" ref="AB31:AB51" si="32">J31*$AB$30*$AH$40</f>
        <v>0.40816890415613438</v>
      </c>
      <c r="AC31" s="102">
        <f>J31*$AC$30*$AH$41</f>
        <v>0.22676050230896355</v>
      </c>
      <c r="AD31" s="104">
        <f>SUM(T31:AC31)</f>
        <v>170.02502463126086</v>
      </c>
      <c r="AG31" s="12">
        <v>0</v>
      </c>
      <c r="AH31" s="239">
        <v>0.52359999999999995</v>
      </c>
      <c r="AI31" s="14">
        <f>AH31*AG31</f>
        <v>0</v>
      </c>
    </row>
    <row r="32" spans="1:43" x14ac:dyDescent="0.25">
      <c r="A32" s="168">
        <v>1</v>
      </c>
      <c r="B32" s="100" t="s">
        <v>417</v>
      </c>
      <c r="C32" s="124">
        <f>Incidence!F3*Cost!E3</f>
        <v>25.637060465789066</v>
      </c>
      <c r="D32" s="124">
        <f>Incidence!G3*Cost!F3</f>
        <v>13.060611850636183</v>
      </c>
      <c r="E32" s="124">
        <f>Incidence!I3*Cost!H3</f>
        <v>46.038314651638629</v>
      </c>
      <c r="F32" s="124">
        <f>Incidence!L3*Cost!L3</f>
        <v>47.660331642652196</v>
      </c>
      <c r="G32" s="124">
        <f>Incidence!M3*Cost!M3</f>
        <v>4.5593994594049168</v>
      </c>
      <c r="H32" s="124">
        <f>Incidence!N3*Cost!N3</f>
        <v>3.2809681302523406</v>
      </c>
      <c r="I32" s="124">
        <f>Incidence!O3*Cost!O3</f>
        <v>88.254928462798006</v>
      </c>
      <c r="J32" s="179">
        <f t="shared" si="24"/>
        <v>228.49161466317136</v>
      </c>
      <c r="S32" s="56">
        <v>1</v>
      </c>
      <c r="T32" s="102">
        <f t="shared" si="25"/>
        <v>60.207540463745659</v>
      </c>
      <c r="U32" s="102">
        <f t="shared" ref="U32:U51" si="33">$U$5*J32*$AH$33</f>
        <v>77.687148985478274</v>
      </c>
      <c r="V32" s="102">
        <f t="shared" si="26"/>
        <v>23.991619539632993</v>
      </c>
      <c r="W32" s="102">
        <f t="shared" si="27"/>
        <v>2.7418993759580563</v>
      </c>
      <c r="X32" s="102">
        <f t="shared" si="28"/>
        <v>2.8561451832896423</v>
      </c>
      <c r="Y32" s="102">
        <f t="shared" si="29"/>
        <v>1.3709496879790282</v>
      </c>
      <c r="Z32" s="102">
        <f t="shared" si="30"/>
        <v>1.2795530421137598</v>
      </c>
      <c r="AA32" s="102">
        <f t="shared" si="31"/>
        <v>0.54837987519161124</v>
      </c>
      <c r="AB32" s="102">
        <f t="shared" si="32"/>
        <v>0.41128490639370852</v>
      </c>
      <c r="AC32" s="102">
        <f t="shared" ref="AC32:AC51" si="34">J32*$AC$30*$AH$41</f>
        <v>0.22849161466317139</v>
      </c>
      <c r="AD32" s="104">
        <f t="shared" ref="AD32:AD51" si="35">SUM(T32:AC32)</f>
        <v>171.32301267444589</v>
      </c>
      <c r="AG32" s="12">
        <v>1</v>
      </c>
      <c r="AH32" s="239">
        <v>0.26350000000000001</v>
      </c>
      <c r="AI32" s="14">
        <f t="shared" ref="AI32:AI41" si="36">AH32*AG32</f>
        <v>0.26350000000000001</v>
      </c>
    </row>
    <row r="33" spans="1:35" x14ac:dyDescent="0.25">
      <c r="A33" s="168">
        <v>2</v>
      </c>
      <c r="B33" s="100" t="s">
        <v>418</v>
      </c>
      <c r="C33" s="124">
        <f>Incidence!F4*Cost!E4</f>
        <v>25.637060465789066</v>
      </c>
      <c r="D33" s="124">
        <f>Incidence!G4*Cost!F4</f>
        <v>13.206296310765978</v>
      </c>
      <c r="E33" s="124">
        <f>Incidence!I4*Cost!H4</f>
        <v>46.551848557401463</v>
      </c>
      <c r="F33" s="124">
        <f>Incidence!L4*Cost!L4</f>
        <v>47.660331642652196</v>
      </c>
      <c r="G33" s="124">
        <f>Incidence!M4*Cost!M4</f>
        <v>4.6102572336314074</v>
      </c>
      <c r="H33" s="124">
        <f>Incidence!N4*Cost!N4</f>
        <v>3.3175656554085293</v>
      </c>
      <c r="I33" s="124">
        <f>Incidence!O4*Cost!O4</f>
        <v>89.239367151730491</v>
      </c>
      <c r="J33" s="179">
        <f t="shared" si="24"/>
        <v>230.22272701737916</v>
      </c>
      <c r="P33" s="114"/>
      <c r="Q33" s="114"/>
      <c r="R33" s="114"/>
      <c r="S33" s="56">
        <v>2</v>
      </c>
      <c r="T33" s="102">
        <f t="shared" si="25"/>
        <v>60.663688569079412</v>
      </c>
      <c r="U33" s="102">
        <f t="shared" si="33"/>
        <v>78.27572718590892</v>
      </c>
      <c r="V33" s="102">
        <f t="shared" si="26"/>
        <v>24.173386336824812</v>
      </c>
      <c r="W33" s="102">
        <f t="shared" si="27"/>
        <v>2.7626727242085498</v>
      </c>
      <c r="X33" s="102">
        <f t="shared" si="28"/>
        <v>2.8777840877172394</v>
      </c>
      <c r="Y33" s="102">
        <f t="shared" si="29"/>
        <v>1.3813363621042749</v>
      </c>
      <c r="Z33" s="102">
        <f t="shared" si="30"/>
        <v>1.2892472712973233</v>
      </c>
      <c r="AA33" s="102">
        <f t="shared" si="31"/>
        <v>0.55253454484170994</v>
      </c>
      <c r="AB33" s="102">
        <f t="shared" si="32"/>
        <v>0.41440090863128248</v>
      </c>
      <c r="AC33" s="102">
        <f t="shared" si="34"/>
        <v>0.23022272701737917</v>
      </c>
      <c r="AD33" s="104">
        <f t="shared" si="35"/>
        <v>172.62100071763086</v>
      </c>
      <c r="AG33" s="12">
        <v>2</v>
      </c>
      <c r="AH33" s="239">
        <v>0.17</v>
      </c>
      <c r="AI33" s="14">
        <f t="shared" si="36"/>
        <v>0.34</v>
      </c>
    </row>
    <row r="34" spans="1:35" x14ac:dyDescent="0.25">
      <c r="A34" s="168">
        <v>3</v>
      </c>
      <c r="B34" s="100" t="s">
        <v>418</v>
      </c>
      <c r="C34" s="124">
        <f>Incidence!F5*Cost!E5</f>
        <v>25.637060465789066</v>
      </c>
      <c r="D34" s="124">
        <f>Incidence!G5*Cost!F5</f>
        <v>13.351980770895775</v>
      </c>
      <c r="E34" s="124">
        <f>Incidence!I5*Cost!H5</f>
        <v>47.065382463164305</v>
      </c>
      <c r="F34" s="124">
        <f>Incidence!L5*Cost!L5</f>
        <v>47.660331642652196</v>
      </c>
      <c r="G34" s="124">
        <f>Incidence!M5*Cost!M5</f>
        <v>4.661115007857898</v>
      </c>
      <c r="H34" s="124">
        <f>Incidence!N5*Cost!N5</f>
        <v>3.3541631805647185</v>
      </c>
      <c r="I34" s="124">
        <f>Incidence!O5*Cost!O5</f>
        <v>90.22380584066299</v>
      </c>
      <c r="J34" s="179">
        <f t="shared" si="24"/>
        <v>231.95383937158692</v>
      </c>
      <c r="S34" s="56">
        <v>3</v>
      </c>
      <c r="T34" s="102">
        <f t="shared" si="25"/>
        <v>61.119836674413158</v>
      </c>
      <c r="U34" s="102">
        <f t="shared" si="33"/>
        <v>78.864305386339566</v>
      </c>
      <c r="V34" s="102">
        <f t="shared" si="26"/>
        <v>24.355153134016629</v>
      </c>
      <c r="W34" s="102">
        <f t="shared" si="27"/>
        <v>2.7834460724590433</v>
      </c>
      <c r="X34" s="102">
        <f t="shared" si="28"/>
        <v>2.8994229921448369</v>
      </c>
      <c r="Y34" s="102">
        <f t="shared" si="29"/>
        <v>1.3917230362295216</v>
      </c>
      <c r="Z34" s="102">
        <f t="shared" si="30"/>
        <v>1.2989415004808866</v>
      </c>
      <c r="AA34" s="102">
        <f t="shared" si="31"/>
        <v>0.55668921449180853</v>
      </c>
      <c r="AB34" s="102">
        <f t="shared" si="32"/>
        <v>0.41751691086885651</v>
      </c>
      <c r="AC34" s="102">
        <f t="shared" si="34"/>
        <v>0.23195383937158695</v>
      </c>
      <c r="AD34" s="104">
        <f t="shared" si="35"/>
        <v>173.91898876081592</v>
      </c>
      <c r="AG34" s="12">
        <v>3</v>
      </c>
      <c r="AH34" s="247">
        <v>3.5000000000000003E-2</v>
      </c>
      <c r="AI34" s="14">
        <f t="shared" si="36"/>
        <v>0.10500000000000001</v>
      </c>
    </row>
    <row r="35" spans="1:35" x14ac:dyDescent="0.25">
      <c r="A35" s="168">
        <v>4</v>
      </c>
      <c r="B35" s="100" t="s">
        <v>418</v>
      </c>
      <c r="C35" s="124">
        <f>Incidence!F6*Cost!E6</f>
        <v>25.637060465789066</v>
      </c>
      <c r="D35" s="124">
        <f>Incidence!G6*Cost!F6</f>
        <v>13.49766523102557</v>
      </c>
      <c r="E35" s="124">
        <f>Incidence!I6*Cost!H6</f>
        <v>47.578916368927153</v>
      </c>
      <c r="F35" s="124">
        <f>Incidence!L6*Cost!L6</f>
        <v>47.660331642652196</v>
      </c>
      <c r="G35" s="124">
        <f>Incidence!M6*Cost!M6</f>
        <v>4.7119727820843895</v>
      </c>
      <c r="H35" s="124">
        <f>Incidence!N6*Cost!N6</f>
        <v>3.3907607057209073</v>
      </c>
      <c r="I35" s="124">
        <f>Incidence!O6*Cost!O6</f>
        <v>91.208244529595476</v>
      </c>
      <c r="J35" s="179">
        <f t="shared" si="24"/>
        <v>233.68495172579475</v>
      </c>
      <c r="S35" s="56">
        <v>4</v>
      </c>
      <c r="T35" s="102">
        <f t="shared" si="25"/>
        <v>61.575984779746918</v>
      </c>
      <c r="U35" s="102">
        <f t="shared" si="33"/>
        <v>79.452883586770213</v>
      </c>
      <c r="V35" s="102">
        <f t="shared" si="26"/>
        <v>24.536919931208452</v>
      </c>
      <c r="W35" s="102">
        <f t="shared" si="27"/>
        <v>2.8042194207095372</v>
      </c>
      <c r="X35" s="102">
        <f t="shared" si="28"/>
        <v>2.9210618965724344</v>
      </c>
      <c r="Y35" s="102">
        <f t="shared" si="29"/>
        <v>1.4021097103547686</v>
      </c>
      <c r="Z35" s="102">
        <f t="shared" si="30"/>
        <v>1.3086357296644506</v>
      </c>
      <c r="AA35" s="102">
        <f t="shared" si="31"/>
        <v>0.56084388414190733</v>
      </c>
      <c r="AB35" s="102">
        <f t="shared" si="32"/>
        <v>0.42063291310643053</v>
      </c>
      <c r="AC35" s="102">
        <f t="shared" si="34"/>
        <v>0.23368495172579476</v>
      </c>
      <c r="AD35" s="104">
        <f t="shared" si="35"/>
        <v>175.21697680400092</v>
      </c>
      <c r="AG35" s="12">
        <v>4</v>
      </c>
      <c r="AH35" s="247">
        <v>3.0000000000000001E-3</v>
      </c>
      <c r="AI35" s="14">
        <f t="shared" si="36"/>
        <v>1.2E-2</v>
      </c>
    </row>
    <row r="36" spans="1:35" x14ac:dyDescent="0.25">
      <c r="A36" s="168">
        <v>5</v>
      </c>
      <c r="B36" s="100" t="s">
        <v>418</v>
      </c>
      <c r="C36" s="124">
        <f>Incidence!F7*Cost!E7</f>
        <v>25.637060465789066</v>
      </c>
      <c r="D36" s="124">
        <f>Incidence!G7*Cost!F7</f>
        <v>13.643349691155366</v>
      </c>
      <c r="E36" s="124">
        <f>Incidence!I7*Cost!H7</f>
        <v>48.092450274689988</v>
      </c>
      <c r="F36" s="124">
        <f>Incidence!L7*Cost!L7</f>
        <v>47.660331642652196</v>
      </c>
      <c r="G36" s="124">
        <f>Incidence!M7*Cost!M7</f>
        <v>4.762830556310881</v>
      </c>
      <c r="H36" s="124">
        <f>Incidence!N7*Cost!N7</f>
        <v>3.4273582308770969</v>
      </c>
      <c r="I36" s="124">
        <f>Incidence!O7*Cost!O7</f>
        <v>92.192683218527975</v>
      </c>
      <c r="J36" s="179">
        <f t="shared" si="24"/>
        <v>235.41606408000257</v>
      </c>
      <c r="S36" s="56">
        <v>5</v>
      </c>
      <c r="T36" s="102">
        <f t="shared" si="25"/>
        <v>62.032132885080678</v>
      </c>
      <c r="U36" s="102">
        <f t="shared" si="33"/>
        <v>80.041461787200873</v>
      </c>
      <c r="V36" s="102">
        <f t="shared" si="26"/>
        <v>24.718686728400272</v>
      </c>
      <c r="W36" s="102">
        <f t="shared" si="27"/>
        <v>2.8249927689600307</v>
      </c>
      <c r="X36" s="102">
        <f t="shared" si="28"/>
        <v>2.9427008010000324</v>
      </c>
      <c r="Y36" s="102">
        <f t="shared" si="29"/>
        <v>1.4124963844800154</v>
      </c>
      <c r="Z36" s="102">
        <f t="shared" si="30"/>
        <v>1.3183299588480144</v>
      </c>
      <c r="AA36" s="102">
        <f t="shared" si="31"/>
        <v>0.56499855379200614</v>
      </c>
      <c r="AB36" s="102">
        <f t="shared" si="32"/>
        <v>0.42374891534400472</v>
      </c>
      <c r="AC36" s="102">
        <f t="shared" si="34"/>
        <v>0.23541606408000257</v>
      </c>
      <c r="AD36" s="104">
        <f t="shared" si="35"/>
        <v>176.51496484718592</v>
      </c>
      <c r="AG36" s="12">
        <v>5</v>
      </c>
      <c r="AH36" s="247">
        <v>2.5000000000000001E-3</v>
      </c>
      <c r="AI36" s="14">
        <f t="shared" si="36"/>
        <v>1.2500000000000001E-2</v>
      </c>
    </row>
    <row r="37" spans="1:35" x14ac:dyDescent="0.25">
      <c r="A37" s="168">
        <v>6</v>
      </c>
      <c r="B37" s="100" t="s">
        <v>418</v>
      </c>
      <c r="C37" s="124">
        <f>Incidence!F8*Cost!E8</f>
        <v>25.637060465789066</v>
      </c>
      <c r="D37" s="124">
        <f>Incidence!G8*Cost!F8</f>
        <v>13.789034151285161</v>
      </c>
      <c r="E37" s="124">
        <f>Incidence!I8*Cost!H8</f>
        <v>48.605984180452829</v>
      </c>
      <c r="F37" s="124">
        <f>Incidence!L8*Cost!L8</f>
        <v>47.660331642652196</v>
      </c>
      <c r="G37" s="124">
        <f>Incidence!M8*Cost!M8</f>
        <v>4.8136883305373717</v>
      </c>
      <c r="H37" s="124">
        <f>Incidence!N8*Cost!N8</f>
        <v>3.4639557560332852</v>
      </c>
      <c r="I37" s="124">
        <f>Incidence!O8*Cost!O8</f>
        <v>93.17712190746046</v>
      </c>
      <c r="J37" s="179">
        <f t="shared" si="24"/>
        <v>237.14717643421034</v>
      </c>
      <c r="S37" s="56">
        <v>6</v>
      </c>
      <c r="T37" s="102">
        <f t="shared" si="25"/>
        <v>62.488280990414424</v>
      </c>
      <c r="U37" s="102">
        <f t="shared" si="33"/>
        <v>80.63003998763152</v>
      </c>
      <c r="V37" s="102">
        <f t="shared" si="26"/>
        <v>24.900453525592088</v>
      </c>
      <c r="W37" s="102">
        <f t="shared" si="27"/>
        <v>2.8457661172105242</v>
      </c>
      <c r="X37" s="102">
        <f t="shared" si="28"/>
        <v>2.9643397054276295</v>
      </c>
      <c r="Y37" s="102">
        <f t="shared" si="29"/>
        <v>1.4228830586052621</v>
      </c>
      <c r="Z37" s="102">
        <f t="shared" si="30"/>
        <v>1.328024188031578</v>
      </c>
      <c r="AA37" s="102">
        <f t="shared" si="31"/>
        <v>0.56915322344210473</v>
      </c>
      <c r="AB37" s="102">
        <f t="shared" si="32"/>
        <v>0.42686491758157863</v>
      </c>
      <c r="AC37" s="102">
        <f t="shared" si="34"/>
        <v>0.23714717643421038</v>
      </c>
      <c r="AD37" s="104">
        <f t="shared" si="35"/>
        <v>177.81295289037092</v>
      </c>
      <c r="AG37" s="12">
        <v>6</v>
      </c>
      <c r="AH37" s="247">
        <v>1E-3</v>
      </c>
      <c r="AI37" s="14">
        <f t="shared" si="36"/>
        <v>6.0000000000000001E-3</v>
      </c>
    </row>
    <row r="38" spans="1:35" x14ac:dyDescent="0.25">
      <c r="A38" s="168">
        <v>7</v>
      </c>
      <c r="B38" s="100" t="s">
        <v>418</v>
      </c>
      <c r="C38" s="124">
        <f>Incidence!F9*Cost!E9</f>
        <v>25.637060465789066</v>
      </c>
      <c r="D38" s="124">
        <f>Incidence!G9*Cost!F9</f>
        <v>13.934718611414958</v>
      </c>
      <c r="E38" s="124">
        <f>Incidence!I9*Cost!H9</f>
        <v>49.11951808621567</v>
      </c>
      <c r="F38" s="124">
        <f>Incidence!L9*Cost!L9</f>
        <v>47.660331642652196</v>
      </c>
      <c r="G38" s="124">
        <f>Incidence!M9*Cost!M9</f>
        <v>4.8645461047638623</v>
      </c>
      <c r="H38" s="124">
        <f>Incidence!N9*Cost!N9</f>
        <v>3.5005532811894744</v>
      </c>
      <c r="I38" s="124">
        <f>Incidence!O9*Cost!O9</f>
        <v>94.16156059639296</v>
      </c>
      <c r="J38" s="179">
        <f t="shared" si="24"/>
        <v>238.87828878841822</v>
      </c>
      <c r="S38" s="56">
        <v>7</v>
      </c>
      <c r="T38" s="102">
        <f t="shared" si="25"/>
        <v>62.944429095748205</v>
      </c>
      <c r="U38" s="102">
        <f t="shared" si="33"/>
        <v>81.218618188062194</v>
      </c>
      <c r="V38" s="102">
        <f t="shared" si="26"/>
        <v>25.082220322783915</v>
      </c>
      <c r="W38" s="102">
        <f t="shared" si="27"/>
        <v>2.8665394654610186</v>
      </c>
      <c r="X38" s="102">
        <f t="shared" si="28"/>
        <v>2.9859786098552275</v>
      </c>
      <c r="Y38" s="102">
        <f t="shared" si="29"/>
        <v>1.4332697327305093</v>
      </c>
      <c r="Z38" s="102">
        <f t="shared" si="30"/>
        <v>1.3377184172151422</v>
      </c>
      <c r="AA38" s="102">
        <f t="shared" si="31"/>
        <v>0.57330789309220365</v>
      </c>
      <c r="AB38" s="102">
        <f t="shared" si="32"/>
        <v>0.42998091981915276</v>
      </c>
      <c r="AC38" s="102">
        <f t="shared" si="34"/>
        <v>0.23887828878841821</v>
      </c>
      <c r="AD38" s="104">
        <f t="shared" si="35"/>
        <v>179.11094093355595</v>
      </c>
      <c r="AG38" s="12">
        <v>7</v>
      </c>
      <c r="AH38" s="247">
        <v>8.0000000000000004E-4</v>
      </c>
      <c r="AI38" s="14">
        <f t="shared" si="36"/>
        <v>5.5999999999999999E-3</v>
      </c>
    </row>
    <row r="39" spans="1:35" x14ac:dyDescent="0.25">
      <c r="A39" s="168">
        <v>8</v>
      </c>
      <c r="B39" s="100" t="s">
        <v>418</v>
      </c>
      <c r="C39" s="124">
        <f>Incidence!F10*Cost!E10</f>
        <v>25.637060465789066</v>
      </c>
      <c r="D39" s="124">
        <f>Incidence!G10*Cost!F10</f>
        <v>14.080403071544755</v>
      </c>
      <c r="E39" s="124">
        <f>Incidence!I10*Cost!H10</f>
        <v>49.633051991978505</v>
      </c>
      <c r="F39" s="124">
        <f>Incidence!L10*Cost!L10</f>
        <v>47.660331642652196</v>
      </c>
      <c r="G39" s="124">
        <f>Incidence!M10*Cost!M10</f>
        <v>4.9154038789903529</v>
      </c>
      <c r="H39" s="124">
        <f>Incidence!N10*Cost!N10</f>
        <v>3.5371508063456631</v>
      </c>
      <c r="I39" s="124">
        <f>Incidence!O10*Cost!O10</f>
        <v>95.145999285325459</v>
      </c>
      <c r="J39" s="179">
        <f t="shared" si="24"/>
        <v>240.60940114262604</v>
      </c>
      <c r="S39" s="56">
        <v>8</v>
      </c>
      <c r="T39" s="102">
        <f t="shared" si="25"/>
        <v>63.400577201081965</v>
      </c>
      <c r="U39" s="102">
        <f t="shared" si="33"/>
        <v>81.807196388492855</v>
      </c>
      <c r="V39" s="102">
        <f t="shared" si="26"/>
        <v>25.263987119975738</v>
      </c>
      <c r="W39" s="102">
        <f t="shared" si="27"/>
        <v>2.8873128137115125</v>
      </c>
      <c r="X39" s="102">
        <f t="shared" si="28"/>
        <v>3.0076175142828254</v>
      </c>
      <c r="Y39" s="102">
        <f t="shared" si="29"/>
        <v>1.4436564068557565</v>
      </c>
      <c r="Z39" s="102">
        <f t="shared" si="30"/>
        <v>1.3474126463987059</v>
      </c>
      <c r="AA39" s="102">
        <f t="shared" si="31"/>
        <v>0.57746256274230245</v>
      </c>
      <c r="AB39" s="102">
        <f t="shared" si="32"/>
        <v>0.43309692205672695</v>
      </c>
      <c r="AC39" s="102">
        <f t="shared" si="34"/>
        <v>0.24060940114262605</v>
      </c>
      <c r="AD39" s="104">
        <f t="shared" si="35"/>
        <v>180.40892897674101</v>
      </c>
      <c r="AG39" s="12">
        <v>8</v>
      </c>
      <c r="AH39" s="247">
        <v>2.9999999999999997E-4</v>
      </c>
      <c r="AI39" s="14">
        <f t="shared" si="36"/>
        <v>2.3999999999999998E-3</v>
      </c>
    </row>
    <row r="40" spans="1:35" x14ac:dyDescent="0.25">
      <c r="A40" s="168">
        <v>9</v>
      </c>
      <c r="B40" s="100" t="s">
        <v>418</v>
      </c>
      <c r="C40" s="124">
        <f>Incidence!F11*Cost!E11</f>
        <v>25.637060465789066</v>
      </c>
      <c r="D40" s="124">
        <f>Incidence!G11*Cost!F11</f>
        <v>14.226087531674549</v>
      </c>
      <c r="E40" s="124">
        <f>Incidence!I11*Cost!H11</f>
        <v>50.146585897741353</v>
      </c>
      <c r="F40" s="124">
        <f>Incidence!L11*Cost!L11</f>
        <v>47.660331642652196</v>
      </c>
      <c r="G40" s="124">
        <f>Incidence!M11*Cost!M11</f>
        <v>4.9662616532168453</v>
      </c>
      <c r="H40" s="124">
        <f>Incidence!N11*Cost!N11</f>
        <v>3.5737483315018523</v>
      </c>
      <c r="I40" s="124">
        <f>Incidence!O11*Cost!O11</f>
        <v>96.130437974257958</v>
      </c>
      <c r="J40" s="179">
        <f t="shared" si="24"/>
        <v>242.34051349683381</v>
      </c>
      <c r="S40" s="56">
        <v>9</v>
      </c>
      <c r="T40" s="102">
        <f t="shared" si="25"/>
        <v>63.856725306415711</v>
      </c>
      <c r="U40" s="102">
        <f t="shared" si="33"/>
        <v>82.395774588923501</v>
      </c>
      <c r="V40" s="102">
        <f t="shared" si="26"/>
        <v>25.445753917167551</v>
      </c>
      <c r="W40" s="102">
        <f t="shared" si="27"/>
        <v>2.9080861619620055</v>
      </c>
      <c r="X40" s="102">
        <f t="shared" si="28"/>
        <v>3.0292564187104229</v>
      </c>
      <c r="Y40" s="102">
        <f t="shared" si="29"/>
        <v>1.4540430809810028</v>
      </c>
      <c r="Z40" s="102">
        <f t="shared" si="30"/>
        <v>1.3571068755822693</v>
      </c>
      <c r="AA40" s="102">
        <f t="shared" si="31"/>
        <v>0.58161723239240104</v>
      </c>
      <c r="AB40" s="102">
        <f t="shared" si="32"/>
        <v>0.43621292429430086</v>
      </c>
      <c r="AC40" s="102">
        <f t="shared" si="34"/>
        <v>0.24234051349683383</v>
      </c>
      <c r="AD40" s="104">
        <f t="shared" si="35"/>
        <v>181.70691701992601</v>
      </c>
      <c r="AG40" s="12">
        <v>9</v>
      </c>
      <c r="AH40" s="247">
        <v>2.0000000000000001E-4</v>
      </c>
      <c r="AI40" s="14">
        <f t="shared" si="36"/>
        <v>1.8000000000000002E-3</v>
      </c>
    </row>
    <row r="41" spans="1:35" ht="16.5" thickBot="1" x14ac:dyDescent="0.3">
      <c r="A41" s="168">
        <v>10</v>
      </c>
      <c r="B41" s="100" t="s">
        <v>418</v>
      </c>
      <c r="C41" s="124">
        <f>Incidence!F12*Cost!E12</f>
        <v>25.637060465789066</v>
      </c>
      <c r="D41" s="124">
        <f>Incidence!G12*Cost!F12</f>
        <v>14.371771991804344</v>
      </c>
      <c r="E41" s="124">
        <f>Incidence!I12*Cost!H12</f>
        <v>50.66011980350418</v>
      </c>
      <c r="F41" s="124">
        <f>Incidence!L12*Cost!L12</f>
        <v>47.660331642652196</v>
      </c>
      <c r="G41" s="124">
        <f>Incidence!M12*Cost!M12</f>
        <v>5.0171194274433351</v>
      </c>
      <c r="H41" s="124">
        <f>Incidence!N12*Cost!N12</f>
        <v>3.6103458566580411</v>
      </c>
      <c r="I41" s="124">
        <f>Incidence!O12*Cost!O12</f>
        <v>97.114876663190429</v>
      </c>
      <c r="J41" s="179">
        <f t="shared" si="24"/>
        <v>244.07162585104157</v>
      </c>
      <c r="S41" s="56">
        <v>10</v>
      </c>
      <c r="T41" s="102">
        <f t="shared" si="25"/>
        <v>64.312873411749464</v>
      </c>
      <c r="U41" s="102">
        <f t="shared" si="33"/>
        <v>82.984352789354148</v>
      </c>
      <c r="V41" s="102">
        <f t="shared" si="26"/>
        <v>25.62752071435937</v>
      </c>
      <c r="W41" s="102">
        <f t="shared" si="27"/>
        <v>2.928859510212499</v>
      </c>
      <c r="X41" s="102">
        <f t="shared" si="28"/>
        <v>3.0508953231380196</v>
      </c>
      <c r="Y41" s="102">
        <f t="shared" si="29"/>
        <v>1.4644297551062495</v>
      </c>
      <c r="Z41" s="102">
        <f t="shared" si="30"/>
        <v>1.3668011047658328</v>
      </c>
      <c r="AA41" s="102">
        <f t="shared" si="31"/>
        <v>0.58577190204249974</v>
      </c>
      <c r="AB41" s="102">
        <f t="shared" si="32"/>
        <v>0.43932892653187483</v>
      </c>
      <c r="AC41" s="102">
        <f t="shared" si="34"/>
        <v>0.24407162585104158</v>
      </c>
      <c r="AD41" s="104">
        <f t="shared" si="35"/>
        <v>183.00490506311101</v>
      </c>
      <c r="AG41" s="31">
        <v>10</v>
      </c>
      <c r="AH41" s="248">
        <v>1E-4</v>
      </c>
      <c r="AI41" s="33">
        <f t="shared" si="36"/>
        <v>1E-3</v>
      </c>
    </row>
    <row r="42" spans="1:35" x14ac:dyDescent="0.25">
      <c r="A42" s="168">
        <v>11</v>
      </c>
      <c r="B42" s="100" t="s">
        <v>420</v>
      </c>
      <c r="C42" s="124">
        <f>Incidence!F13*Cost!E13</f>
        <v>51.274120931578132</v>
      </c>
      <c r="D42" s="124">
        <f>Incidence!G13*Cost!F13</f>
        <v>14.517456451934141</v>
      </c>
      <c r="E42" s="124">
        <f>Incidence!I13*Cost!H13</f>
        <v>51.173653709267036</v>
      </c>
      <c r="F42" s="124">
        <f>Incidence!L13*Cost!L13</f>
        <v>47.660331642652196</v>
      </c>
      <c r="G42" s="124">
        <f>Incidence!M13*Cost!M13</f>
        <v>5.0679772016698266</v>
      </c>
      <c r="H42" s="124">
        <f>Incidence!N13*Cost!N13</f>
        <v>3.6469433818142303</v>
      </c>
      <c r="I42" s="124">
        <f>Incidence!O13*Cost!O13</f>
        <v>98.099315352122943</v>
      </c>
      <c r="J42" s="179">
        <f t="shared" si="24"/>
        <v>271.43979867103849</v>
      </c>
      <c r="S42" s="56">
        <v>11</v>
      </c>
      <c r="T42" s="102">
        <f t="shared" si="25"/>
        <v>71.524386949818648</v>
      </c>
      <c r="U42" s="102">
        <f t="shared" si="33"/>
        <v>92.289531548153093</v>
      </c>
      <c r="V42" s="102">
        <f t="shared" si="26"/>
        <v>28.501178860459046</v>
      </c>
      <c r="W42" s="102">
        <f t="shared" si="27"/>
        <v>3.2572775840524621</v>
      </c>
      <c r="X42" s="102">
        <f t="shared" si="28"/>
        <v>3.392997483387981</v>
      </c>
      <c r="Y42" s="102">
        <f t="shared" si="29"/>
        <v>1.6286387920262311</v>
      </c>
      <c r="Z42" s="102">
        <f t="shared" si="30"/>
        <v>1.5200628725578156</v>
      </c>
      <c r="AA42" s="102">
        <f t="shared" si="31"/>
        <v>0.6514555168104923</v>
      </c>
      <c r="AB42" s="102">
        <f t="shared" si="32"/>
        <v>0.48859163760786928</v>
      </c>
      <c r="AC42" s="102">
        <f t="shared" si="34"/>
        <v>0.27143979867103851</v>
      </c>
      <c r="AD42" s="104">
        <f t="shared" si="35"/>
        <v>203.52556104354468</v>
      </c>
    </row>
    <row r="43" spans="1:35" x14ac:dyDescent="0.25">
      <c r="A43" s="168">
        <v>12</v>
      </c>
      <c r="B43" s="100" t="s">
        <v>420</v>
      </c>
      <c r="C43" s="124">
        <f>Incidence!F14*Cost!E14</f>
        <v>51.274120931578132</v>
      </c>
      <c r="D43" s="124">
        <f>Incidence!G14*Cost!F14</f>
        <v>14.663140912063936</v>
      </c>
      <c r="E43" s="124">
        <f>Incidence!I14*Cost!H14</f>
        <v>51.68718761502987</v>
      </c>
      <c r="F43" s="124">
        <f>Incidence!L14*Cost!L14</f>
        <v>47.660331642652196</v>
      </c>
      <c r="G43" s="124">
        <f>Incidence!M14*Cost!M14</f>
        <v>5.1188349758963172</v>
      </c>
      <c r="H43" s="124">
        <f>Incidence!N14*Cost!N14</f>
        <v>3.683540906970419</v>
      </c>
      <c r="I43" s="124">
        <f>Incidence!O14*Cost!O14</f>
        <v>99.083754041055428</v>
      </c>
      <c r="J43" s="179">
        <f t="shared" si="24"/>
        <v>273.17091102524631</v>
      </c>
      <c r="S43" s="56">
        <v>12</v>
      </c>
      <c r="T43" s="102">
        <f t="shared" si="25"/>
        <v>71.980535055152401</v>
      </c>
      <c r="U43" s="102">
        <f t="shared" si="33"/>
        <v>92.878109748583753</v>
      </c>
      <c r="V43" s="102">
        <f t="shared" si="26"/>
        <v>28.682945657650862</v>
      </c>
      <c r="W43" s="102">
        <f t="shared" si="27"/>
        <v>3.2780509323029556</v>
      </c>
      <c r="X43" s="102">
        <f t="shared" si="28"/>
        <v>3.414636387815579</v>
      </c>
      <c r="Y43" s="102">
        <f t="shared" si="29"/>
        <v>1.6390254661514778</v>
      </c>
      <c r="Z43" s="102">
        <f t="shared" si="30"/>
        <v>1.5297571017413794</v>
      </c>
      <c r="AA43" s="102">
        <f t="shared" si="31"/>
        <v>0.6556101864605911</v>
      </c>
      <c r="AB43" s="102">
        <f t="shared" si="32"/>
        <v>0.49170763984544341</v>
      </c>
      <c r="AC43" s="102">
        <f t="shared" si="34"/>
        <v>0.27317091102524632</v>
      </c>
      <c r="AD43" s="104">
        <f t="shared" si="35"/>
        <v>204.82354908672968</v>
      </c>
    </row>
    <row r="44" spans="1:35" x14ac:dyDescent="0.25">
      <c r="A44" s="168">
        <v>13</v>
      </c>
      <c r="B44" s="100" t="s">
        <v>420</v>
      </c>
      <c r="C44" s="124">
        <f>Incidence!F15*Cost!E15</f>
        <v>51.274120931578132</v>
      </c>
      <c r="D44" s="124">
        <f>Incidence!G15*Cost!F15</f>
        <v>14.808825372193732</v>
      </c>
      <c r="E44" s="124">
        <f>Incidence!I15*Cost!H15</f>
        <v>52.200721520792712</v>
      </c>
      <c r="F44" s="124">
        <f>Incidence!L15*Cost!L15</f>
        <v>47.660331642652196</v>
      </c>
      <c r="G44" s="124">
        <f>Incidence!M15*Cost!M15</f>
        <v>5.1696927501228087</v>
      </c>
      <c r="H44" s="124">
        <f>Incidence!N15*Cost!N15</f>
        <v>3.7201384321266082</v>
      </c>
      <c r="I44" s="124">
        <f>Incidence!O15*Cost!O15</f>
        <v>100.06819272998793</v>
      </c>
      <c r="J44" s="179">
        <f t="shared" si="24"/>
        <v>274.90202337945414</v>
      </c>
      <c r="S44" s="56">
        <v>13</v>
      </c>
      <c r="T44" s="102">
        <f t="shared" si="25"/>
        <v>72.436683160486169</v>
      </c>
      <c r="U44" s="102">
        <f t="shared" si="33"/>
        <v>93.466687949014414</v>
      </c>
      <c r="V44" s="102">
        <f t="shared" si="26"/>
        <v>28.864712454842685</v>
      </c>
      <c r="W44" s="102">
        <f t="shared" si="27"/>
        <v>3.2988242805534496</v>
      </c>
      <c r="X44" s="102">
        <f t="shared" si="28"/>
        <v>3.4362752922431765</v>
      </c>
      <c r="Y44" s="102">
        <f t="shared" si="29"/>
        <v>1.6494121402767248</v>
      </c>
      <c r="Z44" s="102">
        <f t="shared" si="30"/>
        <v>1.5394513309249434</v>
      </c>
      <c r="AA44" s="102">
        <f t="shared" si="31"/>
        <v>0.65976485611068991</v>
      </c>
      <c r="AB44" s="102">
        <f t="shared" si="32"/>
        <v>0.49482364208301743</v>
      </c>
      <c r="AC44" s="102">
        <f t="shared" si="34"/>
        <v>0.27490202337945413</v>
      </c>
      <c r="AD44" s="104">
        <f t="shared" si="35"/>
        <v>206.12153712991474</v>
      </c>
    </row>
    <row r="45" spans="1:35" x14ac:dyDescent="0.25">
      <c r="A45" s="168">
        <v>14</v>
      </c>
      <c r="B45" s="100" t="s">
        <v>420</v>
      </c>
      <c r="C45" s="124">
        <f>Incidence!F16*Cost!E16</f>
        <v>51.274120931578132</v>
      </c>
      <c r="D45" s="124">
        <f>Incidence!G16*Cost!F16</f>
        <v>14.954509832323527</v>
      </c>
      <c r="E45" s="124">
        <f>Incidence!I16*Cost!H16</f>
        <v>52.71425542655556</v>
      </c>
      <c r="F45" s="124">
        <f>Incidence!L16*Cost!L16</f>
        <v>47.660331642652196</v>
      </c>
      <c r="G45" s="124">
        <f>Incidence!M16*Cost!M16</f>
        <v>5.2205505243492993</v>
      </c>
      <c r="H45" s="124">
        <f>Incidence!N16*Cost!N16</f>
        <v>3.7567359572827974</v>
      </c>
      <c r="I45" s="124">
        <f>Incidence!O16*Cost!O16</f>
        <v>101.05263141892043</v>
      </c>
      <c r="J45" s="179">
        <f t="shared" si="24"/>
        <v>276.6331357336619</v>
      </c>
      <c r="S45" s="56">
        <v>14</v>
      </c>
      <c r="T45" s="102">
        <f t="shared" si="25"/>
        <v>72.892831265819908</v>
      </c>
      <c r="U45" s="102">
        <f t="shared" si="33"/>
        <v>94.05526614944506</v>
      </c>
      <c r="V45" s="102">
        <f t="shared" si="26"/>
        <v>29.046479252034501</v>
      </c>
      <c r="W45" s="102">
        <f t="shared" si="27"/>
        <v>3.319597628803943</v>
      </c>
      <c r="X45" s="102">
        <f t="shared" si="28"/>
        <v>3.457914196670774</v>
      </c>
      <c r="Y45" s="102">
        <f t="shared" si="29"/>
        <v>1.6597988144019715</v>
      </c>
      <c r="Z45" s="102">
        <f t="shared" si="30"/>
        <v>1.5491455601085067</v>
      </c>
      <c r="AA45" s="102">
        <f t="shared" si="31"/>
        <v>0.6639195257607885</v>
      </c>
      <c r="AB45" s="102">
        <f t="shared" si="32"/>
        <v>0.49793964432059151</v>
      </c>
      <c r="AC45" s="102">
        <f t="shared" si="34"/>
        <v>0.27663313573366194</v>
      </c>
      <c r="AD45" s="104">
        <f t="shared" si="35"/>
        <v>207.41952517309966</v>
      </c>
    </row>
    <row r="46" spans="1:35" x14ac:dyDescent="0.25">
      <c r="A46" s="168">
        <v>15</v>
      </c>
      <c r="B46" s="100" t="s">
        <v>420</v>
      </c>
      <c r="C46" s="124">
        <f>Incidence!F17*Cost!E17</f>
        <v>51.274120931578132</v>
      </c>
      <c r="D46" s="124">
        <f>Incidence!G17*Cost!F17</f>
        <v>15.100194292453326</v>
      </c>
      <c r="E46" s="124">
        <f>Incidence!I17*Cost!H17</f>
        <v>53.227789332318395</v>
      </c>
      <c r="F46" s="124">
        <f>Incidence!L17*Cost!L17</f>
        <v>47.660331642652196</v>
      </c>
      <c r="G46" s="124">
        <f>Incidence!M17*Cost!M17</f>
        <v>5.2714082985757909</v>
      </c>
      <c r="H46" s="124">
        <f>Incidence!N17*Cost!N17</f>
        <v>3.7933334824389866</v>
      </c>
      <c r="I46" s="124">
        <f>Incidence!O17*Cost!O17</f>
        <v>102.03707010785291</v>
      </c>
      <c r="J46" s="179">
        <f t="shared" si="24"/>
        <v>278.36424808786973</v>
      </c>
      <c r="S46" s="56">
        <v>15</v>
      </c>
      <c r="T46" s="102">
        <f t="shared" si="25"/>
        <v>73.348979371153675</v>
      </c>
      <c r="U46" s="102">
        <f t="shared" si="33"/>
        <v>94.643844349875707</v>
      </c>
      <c r="V46" s="102">
        <f t="shared" si="26"/>
        <v>29.228246049226321</v>
      </c>
      <c r="W46" s="102">
        <f t="shared" si="27"/>
        <v>3.340370977054437</v>
      </c>
      <c r="X46" s="102">
        <f t="shared" si="28"/>
        <v>3.4795531010983716</v>
      </c>
      <c r="Y46" s="102">
        <f t="shared" si="29"/>
        <v>1.6701854885272183</v>
      </c>
      <c r="Z46" s="102">
        <f t="shared" si="30"/>
        <v>1.5588397892920705</v>
      </c>
      <c r="AA46" s="102">
        <f t="shared" si="31"/>
        <v>0.66807419541088731</v>
      </c>
      <c r="AB46" s="102">
        <f t="shared" si="32"/>
        <v>0.50105564655816559</v>
      </c>
      <c r="AC46" s="102">
        <f t="shared" si="34"/>
        <v>0.27836424808786975</v>
      </c>
      <c r="AD46" s="104">
        <f t="shared" si="35"/>
        <v>208.71751321628474</v>
      </c>
    </row>
    <row r="47" spans="1:35" x14ac:dyDescent="0.25">
      <c r="A47" s="168">
        <v>16</v>
      </c>
      <c r="B47" s="100" t="s">
        <v>420</v>
      </c>
      <c r="C47" s="124">
        <f>Incidence!F18*Cost!E18</f>
        <v>51.274120931578132</v>
      </c>
      <c r="D47" s="124">
        <f>Incidence!G18*Cost!F18</f>
        <v>15.245878752583119</v>
      </c>
      <c r="E47" s="124">
        <f>Incidence!I18*Cost!H18</f>
        <v>53.741323238081229</v>
      </c>
      <c r="F47" s="124">
        <f>Incidence!L18*Cost!L18</f>
        <v>47.660331642652196</v>
      </c>
      <c r="G47" s="124">
        <f>Incidence!M18*Cost!M18</f>
        <v>5.3222660728022806</v>
      </c>
      <c r="H47" s="124">
        <f>Incidence!N18*Cost!N18</f>
        <v>3.8299310075951749</v>
      </c>
      <c r="I47" s="124">
        <f>Incidence!O18*Cost!O18</f>
        <v>103.0215087967854</v>
      </c>
      <c r="J47" s="179">
        <f t="shared" si="24"/>
        <v>280.09536044207749</v>
      </c>
      <c r="S47" s="56">
        <v>16</v>
      </c>
      <c r="T47" s="102">
        <f t="shared" si="25"/>
        <v>73.805127476487428</v>
      </c>
      <c r="U47" s="102">
        <f t="shared" si="33"/>
        <v>95.232422550306353</v>
      </c>
      <c r="V47" s="102">
        <f t="shared" si="26"/>
        <v>29.410012846418141</v>
      </c>
      <c r="W47" s="102">
        <f t="shared" si="27"/>
        <v>3.36114432530493</v>
      </c>
      <c r="X47" s="102">
        <f t="shared" si="28"/>
        <v>3.5011920055259687</v>
      </c>
      <c r="Y47" s="102">
        <f t="shared" si="29"/>
        <v>1.680572162652465</v>
      </c>
      <c r="Z47" s="102">
        <f t="shared" si="30"/>
        <v>1.568534018475634</v>
      </c>
      <c r="AA47" s="102">
        <f t="shared" si="31"/>
        <v>0.67222886506098589</v>
      </c>
      <c r="AB47" s="102">
        <f t="shared" si="32"/>
        <v>0.5041716487957395</v>
      </c>
      <c r="AC47" s="102">
        <f t="shared" si="34"/>
        <v>0.2800953604420775</v>
      </c>
      <c r="AD47" s="104">
        <f t="shared" si="35"/>
        <v>210.01550125946974</v>
      </c>
    </row>
    <row r="48" spans="1:35" x14ac:dyDescent="0.25">
      <c r="A48" s="168">
        <v>17</v>
      </c>
      <c r="B48" s="100" t="s">
        <v>420</v>
      </c>
      <c r="C48" s="124">
        <f>Incidence!F19*Cost!E19</f>
        <v>51.274120931578132</v>
      </c>
      <c r="D48" s="124">
        <f>Incidence!G19*Cost!F19</f>
        <v>15.391563212712914</v>
      </c>
      <c r="E48" s="124">
        <f>Incidence!I19*Cost!H19</f>
        <v>54.254857143844077</v>
      </c>
      <c r="F48" s="124">
        <f>Incidence!L19*Cost!L19</f>
        <v>47.660331642652196</v>
      </c>
      <c r="G48" s="124">
        <f>Incidence!M19*Cost!M19</f>
        <v>5.3731238470287721</v>
      </c>
      <c r="H48" s="124">
        <f>Incidence!N19*Cost!N19</f>
        <v>3.8665285327513637</v>
      </c>
      <c r="I48" s="124">
        <f>Incidence!O19*Cost!O19</f>
        <v>104.00594748571788</v>
      </c>
      <c r="J48" s="179">
        <f t="shared" si="24"/>
        <v>281.82647279628537</v>
      </c>
      <c r="S48" s="56">
        <v>17</v>
      </c>
      <c r="T48" s="102">
        <f t="shared" si="25"/>
        <v>74.261275581821195</v>
      </c>
      <c r="U48" s="102">
        <f t="shared" si="33"/>
        <v>95.821000750737028</v>
      </c>
      <c r="V48" s="102">
        <f t="shared" si="26"/>
        <v>29.591779643609968</v>
      </c>
      <c r="W48" s="102">
        <f t="shared" si="27"/>
        <v>3.3819176735554244</v>
      </c>
      <c r="X48" s="102">
        <f t="shared" si="28"/>
        <v>3.5228309099535671</v>
      </c>
      <c r="Y48" s="102">
        <f t="shared" si="29"/>
        <v>1.6909588367777124</v>
      </c>
      <c r="Z48" s="102">
        <f t="shared" si="30"/>
        <v>1.5782282476591982</v>
      </c>
      <c r="AA48" s="102">
        <f t="shared" si="31"/>
        <v>0.67638353471108481</v>
      </c>
      <c r="AB48" s="102">
        <f t="shared" si="32"/>
        <v>0.50728765103331375</v>
      </c>
      <c r="AC48" s="102">
        <f t="shared" si="34"/>
        <v>0.28182647279628537</v>
      </c>
      <c r="AD48" s="104">
        <f t="shared" si="35"/>
        <v>211.3134893026548</v>
      </c>
    </row>
    <row r="49" spans="1:43" x14ac:dyDescent="0.25">
      <c r="A49" s="168">
        <v>18</v>
      </c>
      <c r="B49" s="100" t="s">
        <v>420</v>
      </c>
      <c r="C49" s="124">
        <f>Incidence!F20*Cost!E20</f>
        <v>51.274120931578132</v>
      </c>
      <c r="D49" s="124">
        <f>Incidence!G20*Cost!F20</f>
        <v>15.53724767284271</v>
      </c>
      <c r="E49" s="124">
        <f>Incidence!I20*Cost!H20</f>
        <v>54.768391049606912</v>
      </c>
      <c r="F49" s="124">
        <f>Incidence!L20*Cost!L20</f>
        <v>47.660331642652196</v>
      </c>
      <c r="G49" s="124">
        <f>Incidence!M20*Cost!M20</f>
        <v>5.4239816212552636</v>
      </c>
      <c r="H49" s="124">
        <f>Incidence!N20*Cost!N20</f>
        <v>3.9031260579075528</v>
      </c>
      <c r="I49" s="124">
        <f>Incidence!O20*Cost!O20</f>
        <v>104.99038617465038</v>
      </c>
      <c r="J49" s="179">
        <f t="shared" si="24"/>
        <v>283.55758515049314</v>
      </c>
      <c r="S49" s="56">
        <v>18</v>
      </c>
      <c r="T49" s="102">
        <f t="shared" si="25"/>
        <v>74.717423687154948</v>
      </c>
      <c r="U49" s="102">
        <f t="shared" si="33"/>
        <v>96.409578951167674</v>
      </c>
      <c r="V49" s="102">
        <f t="shared" si="26"/>
        <v>29.77354644080178</v>
      </c>
      <c r="W49" s="102">
        <f t="shared" si="27"/>
        <v>3.4026910218059179</v>
      </c>
      <c r="X49" s="102">
        <f t="shared" si="28"/>
        <v>3.5444698143811646</v>
      </c>
      <c r="Y49" s="102">
        <f t="shared" si="29"/>
        <v>1.7013455109029587</v>
      </c>
      <c r="Z49" s="102">
        <f t="shared" si="30"/>
        <v>1.5879224768427616</v>
      </c>
      <c r="AA49" s="102">
        <f t="shared" si="31"/>
        <v>0.68053820436118351</v>
      </c>
      <c r="AB49" s="102">
        <f t="shared" si="32"/>
        <v>0.51040365327088766</v>
      </c>
      <c r="AC49" s="102">
        <f t="shared" si="34"/>
        <v>0.28355758515049317</v>
      </c>
      <c r="AD49" s="104">
        <f t="shared" si="35"/>
        <v>212.61147734583975</v>
      </c>
    </row>
    <row r="50" spans="1:43" x14ac:dyDescent="0.25">
      <c r="A50" s="168">
        <v>19</v>
      </c>
      <c r="B50" s="100" t="s">
        <v>420</v>
      </c>
      <c r="C50" s="124">
        <f>Incidence!F21*Cost!E21</f>
        <v>51.274120931578132</v>
      </c>
      <c r="D50" s="124">
        <f>Incidence!G21*Cost!F21</f>
        <v>15.682932132972505</v>
      </c>
      <c r="E50" s="124">
        <f>Incidence!I21*Cost!H21</f>
        <v>55.281924955369753</v>
      </c>
      <c r="F50" s="124">
        <f>Incidence!L21*Cost!L21</f>
        <v>47.660331642652196</v>
      </c>
      <c r="G50" s="124">
        <f>Incidence!M21*Cost!M21</f>
        <v>5.4748393954817542</v>
      </c>
      <c r="H50" s="124">
        <f>Incidence!N21*Cost!N21</f>
        <v>3.9397235830637416</v>
      </c>
      <c r="I50" s="124">
        <f>Incidence!O21*Cost!O21</f>
        <v>105.97482486358288</v>
      </c>
      <c r="J50" s="179">
        <f t="shared" si="24"/>
        <v>285.28869750470096</v>
      </c>
      <c r="S50" s="56">
        <v>19</v>
      </c>
      <c r="T50" s="102">
        <f t="shared" si="25"/>
        <v>75.173571792488701</v>
      </c>
      <c r="U50" s="102">
        <f t="shared" si="33"/>
        <v>96.998157151598335</v>
      </c>
      <c r="V50" s="102">
        <f t="shared" si="26"/>
        <v>29.955313237993604</v>
      </c>
      <c r="W50" s="102">
        <f t="shared" si="27"/>
        <v>3.4234643700564118</v>
      </c>
      <c r="X50" s="102">
        <f t="shared" si="28"/>
        <v>3.5661087188087617</v>
      </c>
      <c r="Y50" s="102">
        <f t="shared" si="29"/>
        <v>1.7117321850282059</v>
      </c>
      <c r="Z50" s="102">
        <f t="shared" si="30"/>
        <v>1.5976167060263256</v>
      </c>
      <c r="AA50" s="102">
        <f t="shared" si="31"/>
        <v>0.6846928740112822</v>
      </c>
      <c r="AB50" s="102">
        <f t="shared" si="32"/>
        <v>0.51351965550846168</v>
      </c>
      <c r="AC50" s="102">
        <f t="shared" si="34"/>
        <v>0.28528869750470093</v>
      </c>
      <c r="AD50" s="104">
        <f t="shared" si="35"/>
        <v>213.9094653890248</v>
      </c>
    </row>
    <row r="51" spans="1:43" ht="16.5" thickBot="1" x14ac:dyDescent="0.3">
      <c r="A51" s="167">
        <v>20</v>
      </c>
      <c r="B51" s="132" t="s">
        <v>420</v>
      </c>
      <c r="C51" s="128">
        <f>Incidence!F22*Cost!E22</f>
        <v>51.274120931578132</v>
      </c>
      <c r="D51" s="128">
        <f>Incidence!G22*Cost!F22</f>
        <v>15.828616593102302</v>
      </c>
      <c r="E51" s="128">
        <f>Incidence!I22*Cost!H22</f>
        <v>55.795458861132587</v>
      </c>
      <c r="F51" s="128">
        <f>Incidence!L22*Cost!L22</f>
        <v>47.660331642652196</v>
      </c>
      <c r="G51" s="128">
        <f>Incidence!M22*Cost!M22</f>
        <v>5.5256971697082449</v>
      </c>
      <c r="H51" s="128">
        <f>Incidence!N22*Cost!N22</f>
        <v>3.9763211082199312</v>
      </c>
      <c r="I51" s="128">
        <f>Incidence!O22*Cost!O22</f>
        <v>106.95926355251538</v>
      </c>
      <c r="J51" s="180">
        <f t="shared" si="24"/>
        <v>287.01980985890879</v>
      </c>
      <c r="S51" s="135">
        <v>20</v>
      </c>
      <c r="T51" s="112">
        <f t="shared" si="25"/>
        <v>75.629719897822469</v>
      </c>
      <c r="U51" s="112">
        <f t="shared" si="33"/>
        <v>97.586735352028995</v>
      </c>
      <c r="V51" s="112">
        <f t="shared" si="26"/>
        <v>30.137080035185427</v>
      </c>
      <c r="W51" s="112">
        <f t="shared" si="27"/>
        <v>3.4442377183069057</v>
      </c>
      <c r="X51" s="112">
        <f t="shared" si="28"/>
        <v>3.5877476232363597</v>
      </c>
      <c r="Y51" s="112">
        <f t="shared" si="29"/>
        <v>1.7221188591534529</v>
      </c>
      <c r="Z51" s="112">
        <f t="shared" si="30"/>
        <v>1.6073109352098893</v>
      </c>
      <c r="AA51" s="112">
        <f t="shared" si="31"/>
        <v>0.68884754366138101</v>
      </c>
      <c r="AB51" s="112">
        <f t="shared" si="32"/>
        <v>0.51663565774603593</v>
      </c>
      <c r="AC51" s="112">
        <f t="shared" si="34"/>
        <v>0.28701980985890879</v>
      </c>
      <c r="AD51" s="113">
        <f t="shared" si="35"/>
        <v>215.20745343220983</v>
      </c>
    </row>
    <row r="54" spans="1:43" ht="21.75" thickBot="1" x14ac:dyDescent="0.4">
      <c r="A54" s="85" t="s">
        <v>571</v>
      </c>
      <c r="S54" s="85" t="s">
        <v>568</v>
      </c>
      <c r="U54" s="85"/>
      <c r="AF54" s="85" t="s">
        <v>567</v>
      </c>
    </row>
    <row r="55" spans="1:43" ht="48" thickBot="1" x14ac:dyDescent="0.3">
      <c r="A55" s="105" t="s">
        <v>38</v>
      </c>
      <c r="B55" s="106" t="s">
        <v>419</v>
      </c>
      <c r="C55" s="107" t="s">
        <v>86</v>
      </c>
      <c r="D55" s="108" t="s">
        <v>82</v>
      </c>
      <c r="E55" s="108" t="s">
        <v>83</v>
      </c>
      <c r="F55" s="108" t="s">
        <v>90</v>
      </c>
      <c r="G55" s="108" t="s">
        <v>92</v>
      </c>
      <c r="H55" s="108" t="s">
        <v>94</v>
      </c>
      <c r="I55" s="109" t="s">
        <v>476</v>
      </c>
      <c r="J55" s="108" t="s">
        <v>97</v>
      </c>
      <c r="K55" s="108" t="s">
        <v>100</v>
      </c>
      <c r="L55" s="108" t="s">
        <v>101</v>
      </c>
      <c r="M55" s="108" t="s">
        <v>102</v>
      </c>
      <c r="N55" s="108" t="s">
        <v>103</v>
      </c>
      <c r="O55" s="110" t="s">
        <v>99</v>
      </c>
      <c r="P55" s="103" t="s">
        <v>59</v>
      </c>
      <c r="Q55" s="103" t="s">
        <v>566</v>
      </c>
      <c r="S55" s="134" t="s">
        <v>38</v>
      </c>
      <c r="T55" s="106">
        <v>1</v>
      </c>
      <c r="U55" s="106">
        <v>2</v>
      </c>
      <c r="V55" s="106">
        <v>3</v>
      </c>
      <c r="W55" s="106">
        <v>4</v>
      </c>
      <c r="X55" s="106">
        <v>5</v>
      </c>
      <c r="Y55" s="106">
        <v>6</v>
      </c>
      <c r="Z55" s="106">
        <v>7</v>
      </c>
      <c r="AA55" s="106">
        <v>8</v>
      </c>
      <c r="AB55" s="106">
        <v>9</v>
      </c>
      <c r="AC55" s="106">
        <v>10</v>
      </c>
      <c r="AD55" s="165" t="s">
        <v>473</v>
      </c>
      <c r="AF55" s="134" t="s">
        <v>38</v>
      </c>
      <c r="AG55" s="106">
        <v>1</v>
      </c>
      <c r="AH55" s="106">
        <v>2</v>
      </c>
      <c r="AI55" s="106">
        <v>3</v>
      </c>
      <c r="AJ55" s="106">
        <v>4</v>
      </c>
      <c r="AK55" s="106">
        <v>5</v>
      </c>
      <c r="AL55" s="106">
        <v>6</v>
      </c>
      <c r="AM55" s="106">
        <v>7</v>
      </c>
      <c r="AN55" s="106">
        <v>8</v>
      </c>
      <c r="AO55" s="106">
        <v>9</v>
      </c>
      <c r="AP55" s="106">
        <v>10</v>
      </c>
      <c r="AQ55" s="165" t="s">
        <v>473</v>
      </c>
    </row>
    <row r="56" spans="1:43" x14ac:dyDescent="0.25">
      <c r="A56" s="168">
        <v>0</v>
      </c>
      <c r="B56" s="100" t="s">
        <v>417</v>
      </c>
      <c r="C56" s="240">
        <f>Incidence!D2*Cost!C2</f>
        <v>37.995430446197005</v>
      </c>
      <c r="D56" s="124">
        <f>Incidence!E2*Cost!D2</f>
        <v>119.73545</v>
      </c>
      <c r="E56" s="124">
        <f>Incidence!F2*Cost!E2</f>
        <v>25.637060465789066</v>
      </c>
      <c r="F56" s="124">
        <f>Incidence!G2*Cost!F2</f>
        <v>12.914927390506389</v>
      </c>
      <c r="G56" s="124">
        <f>Incidence!H2*Cost!G2</f>
        <v>4.5964779406533802</v>
      </c>
      <c r="H56" s="124">
        <f>Incidence!I2*Cost!H2</f>
        <v>45.524780745875788</v>
      </c>
      <c r="I56" s="124">
        <f>IF(Inputs!$C$11="Male",Incidence!J2*Cost!J2,Incidence!J2*Cost!I2)</f>
        <v>18.704180000000001</v>
      </c>
      <c r="J56" s="124">
        <f>Incidence!K2*Cost!K2</f>
        <v>1.4031930000000004</v>
      </c>
      <c r="K56" s="124">
        <f>Incidence!L2*Cost!L2</f>
        <v>47.660331642652196</v>
      </c>
      <c r="L56" s="124">
        <f>Incidence!M2*Cost!M2</f>
        <v>4.5085416851784252</v>
      </c>
      <c r="M56" s="124">
        <f>Incidence!N2*Cost!N2</f>
        <v>3.2443706050961518</v>
      </c>
      <c r="N56" s="124">
        <f>Incidence!O2*Cost!O2</f>
        <v>87.270489773865521</v>
      </c>
      <c r="O56" s="124">
        <f>Incidence!P2*Cost!P2</f>
        <v>38.856999999999999</v>
      </c>
      <c r="P56" s="179">
        <f>SUM(C56:O56)</f>
        <v>448.05223369581392</v>
      </c>
      <c r="Q56" s="179">
        <f>SUM(C56:H56,J56:O56)</f>
        <v>429.34805369581386</v>
      </c>
      <c r="S56" s="205">
        <v>0</v>
      </c>
      <c r="T56" s="242">
        <f t="shared" ref="T56:T76" si="37">P56*$AH$32</f>
        <v>118.06176357884698</v>
      </c>
      <c r="U56" s="243">
        <f t="shared" ref="U56:U76" si="38">$U$5*P56*$AH$33</f>
        <v>152.33775945657675</v>
      </c>
      <c r="V56" s="243">
        <f t="shared" ref="V56:V76" si="39">$V$5*P56*$AH$34</f>
        <v>47.045484538060471</v>
      </c>
      <c r="W56" s="243">
        <f t="shared" ref="W56:W76" si="40">4*P56*$AH$35</f>
        <v>5.3766268043497671</v>
      </c>
      <c r="X56" s="243">
        <f t="shared" ref="X56:X76" si="41">$X$5*P56*$AH$36</f>
        <v>5.6006529211976739</v>
      </c>
      <c r="Y56" s="243">
        <f t="shared" ref="Y56:Y76" si="42">$Y$5*P56*$AH$37</f>
        <v>2.688313402174884</v>
      </c>
      <c r="Z56" s="243">
        <f t="shared" ref="Z56:Z76" si="43">P56*$Z$5*$AH$38</f>
        <v>2.5090925086965581</v>
      </c>
      <c r="AA56" s="243">
        <f t="shared" ref="AA56:AA76" si="44">P56*$AA$5*$AH$39</f>
        <v>1.0753253608699533</v>
      </c>
      <c r="AB56" s="243">
        <f t="shared" ref="AB56:AB76" si="45">P56*$AB$5*$AH$40</f>
        <v>0.80649402065246512</v>
      </c>
      <c r="AC56" s="243">
        <f>P56*$AC$5*$AH$41</f>
        <v>0.44805223369581393</v>
      </c>
      <c r="AD56" s="244">
        <f>SUM(T56:AC56)</f>
        <v>335.94956482512123</v>
      </c>
      <c r="AF56" s="205">
        <v>0</v>
      </c>
      <c r="AG56" s="242">
        <f t="shared" ref="AG56:AG76" si="46">Q56*$AH$32</f>
        <v>113.13321214884695</v>
      </c>
      <c r="AH56" s="243">
        <f t="shared" ref="AH56:AH76" si="47">Q56*$U$5*$AH$33</f>
        <v>145.97833825657673</v>
      </c>
      <c r="AI56" s="243">
        <f t="shared" ref="AI56:AI76" si="48">$V$5*Q56*$AH$34</f>
        <v>45.081545638060462</v>
      </c>
      <c r="AJ56" s="243">
        <f t="shared" ref="AJ56:AJ76" si="49">4*Q56*$AH$35</f>
        <v>5.1521766443497663</v>
      </c>
      <c r="AK56" s="243">
        <f t="shared" ref="AK56:AK76" si="50">$X$5*Q56*$AH$36</f>
        <v>5.3668506711976738</v>
      </c>
      <c r="AL56" s="243">
        <f t="shared" ref="AL56:AL76" si="51">$Y$5*Q56*$AH$37</f>
        <v>2.5760883221748831</v>
      </c>
      <c r="AM56" s="243">
        <f t="shared" ref="AM56:AM76" si="52">Q56*$Z$5*$AH$38</f>
        <v>2.4043491006965576</v>
      </c>
      <c r="AN56" s="243">
        <f t="shared" ref="AN56:AN76" si="53">Q56*$AA$5*$AH$39</f>
        <v>1.0304353288699533</v>
      </c>
      <c r="AO56" s="243">
        <f t="shared" ref="AO56:AO76" si="54">Q56*$AB$5*$AH$40</f>
        <v>0.77282649665246506</v>
      </c>
      <c r="AP56" s="243">
        <f>Q56*$AC$5*$AH$41</f>
        <v>0.42934805369581391</v>
      </c>
      <c r="AQ56" s="244">
        <f>SUM(AG56:AP56)</f>
        <v>321.92517066112123</v>
      </c>
    </row>
    <row r="57" spans="1:43" x14ac:dyDescent="0.25">
      <c r="A57" s="168">
        <v>1</v>
      </c>
      <c r="B57" s="100" t="s">
        <v>417</v>
      </c>
      <c r="C57" s="240">
        <f>Incidence!D3*Cost!C3</f>
        <v>37.995430446197005</v>
      </c>
      <c r="D57" s="124">
        <f>Incidence!E3*Cost!D3</f>
        <v>119.73545</v>
      </c>
      <c r="E57" s="124">
        <f>Incidence!F3*Cost!E3</f>
        <v>25.637060465789066</v>
      </c>
      <c r="F57" s="124">
        <f>Incidence!G3*Cost!F3</f>
        <v>13.060611850636183</v>
      </c>
      <c r="G57" s="124">
        <f>Incidence!H3*Cost!G3</f>
        <v>4.5964779406533802</v>
      </c>
      <c r="H57" s="124">
        <f>Incidence!I3*Cost!H3</f>
        <v>46.038314651638629</v>
      </c>
      <c r="I57" s="124">
        <f>IF(Inputs!$C$11="Male",Incidence!J3*Cost!J3,Incidence!J3*Cost!I3)</f>
        <v>18.53155258883249</v>
      </c>
      <c r="J57" s="124">
        <f>Incidence!K3*Cost!K3</f>
        <v>1.3902424416243657</v>
      </c>
      <c r="K57" s="124">
        <f>Incidence!L3*Cost!L3</f>
        <v>47.660331642652196</v>
      </c>
      <c r="L57" s="124">
        <f>Incidence!M3*Cost!M3</f>
        <v>4.5593994594049168</v>
      </c>
      <c r="M57" s="124">
        <f>Incidence!N3*Cost!N3</f>
        <v>3.2809681302523406</v>
      </c>
      <c r="N57" s="124">
        <f>Incidence!O3*Cost!O3</f>
        <v>88.254928462798006</v>
      </c>
      <c r="O57" s="124">
        <f>Incidence!P3*Cost!P3</f>
        <v>38.856999999999999</v>
      </c>
      <c r="P57" s="179">
        <f t="shared" ref="P57:P76" si="55">SUM(C57:O57)</f>
        <v>449.59776808047855</v>
      </c>
      <c r="Q57" s="179">
        <f t="shared" ref="Q57:Q76" si="56">SUM(C57:H57,J57:O57)</f>
        <v>431.06621549164606</v>
      </c>
      <c r="S57" s="205">
        <v>1</v>
      </c>
      <c r="T57" s="245">
        <f t="shared" si="37"/>
        <v>118.4690118892061</v>
      </c>
      <c r="U57" s="102">
        <f t="shared" si="38"/>
        <v>152.86324114736271</v>
      </c>
      <c r="V57" s="102">
        <f t="shared" si="39"/>
        <v>47.207765648450248</v>
      </c>
      <c r="W57" s="102">
        <f t="shared" si="40"/>
        <v>5.3951732169657429</v>
      </c>
      <c r="X57" s="102">
        <f t="shared" si="41"/>
        <v>5.619972101005982</v>
      </c>
      <c r="Y57" s="102">
        <f t="shared" si="42"/>
        <v>2.6975866084828715</v>
      </c>
      <c r="Z57" s="102">
        <f t="shared" si="43"/>
        <v>2.51774750125068</v>
      </c>
      <c r="AA57" s="102">
        <f t="shared" si="44"/>
        <v>1.0790346433931484</v>
      </c>
      <c r="AB57" s="102">
        <f t="shared" si="45"/>
        <v>0.80927598254486144</v>
      </c>
      <c r="AC57" s="102">
        <f t="shared" ref="AC57:AC76" si="57">P57*$AC$5*$AH$41</f>
        <v>0.44959776808047858</v>
      </c>
      <c r="AD57" s="136">
        <f t="shared" ref="AD57:AD76" si="58">SUM(T57:AC57)</f>
        <v>337.10840650674282</v>
      </c>
      <c r="AF57" s="205">
        <v>1</v>
      </c>
      <c r="AG57" s="245">
        <f t="shared" si="46"/>
        <v>113.58594778204875</v>
      </c>
      <c r="AH57" s="102">
        <f t="shared" si="47"/>
        <v>146.56251326715966</v>
      </c>
      <c r="AI57" s="102">
        <f t="shared" si="48"/>
        <v>45.261952626622843</v>
      </c>
      <c r="AJ57" s="102">
        <f t="shared" si="49"/>
        <v>5.1727945858997533</v>
      </c>
      <c r="AK57" s="102">
        <f t="shared" si="50"/>
        <v>5.3883276936455768</v>
      </c>
      <c r="AL57" s="102">
        <f t="shared" si="51"/>
        <v>2.5863972929498766</v>
      </c>
      <c r="AM57" s="102">
        <f t="shared" si="52"/>
        <v>2.413970806753218</v>
      </c>
      <c r="AN57" s="102">
        <f t="shared" si="53"/>
        <v>1.0345589171799505</v>
      </c>
      <c r="AO57" s="102">
        <f t="shared" si="54"/>
        <v>0.77591918788496295</v>
      </c>
      <c r="AP57" s="102">
        <f t="shared" ref="AP57:AP76" si="59">Q57*$AC$5*$AH$41</f>
        <v>0.43106621549164614</v>
      </c>
      <c r="AQ57" s="136">
        <f t="shared" ref="AQ57:AQ76" si="60">SUM(AG57:AP57)</f>
        <v>323.21344837563618</v>
      </c>
    </row>
    <row r="58" spans="1:43" x14ac:dyDescent="0.25">
      <c r="A58" s="168">
        <v>2</v>
      </c>
      <c r="B58" s="100" t="s">
        <v>418</v>
      </c>
      <c r="C58" s="240">
        <f>Incidence!D4*Cost!C4</f>
        <v>38.624735463188756</v>
      </c>
      <c r="D58" s="124">
        <f>Incidence!E4*Cost!D4</f>
        <v>138.67840000000001</v>
      </c>
      <c r="E58" s="124">
        <f>Incidence!F4*Cost!E4</f>
        <v>25.637060465789066</v>
      </c>
      <c r="F58" s="124">
        <f>Incidence!G4*Cost!F4</f>
        <v>13.206296310765978</v>
      </c>
      <c r="G58" s="124">
        <f>Incidence!H4*Cost!G4</f>
        <v>4.5964779406533802</v>
      </c>
      <c r="H58" s="124">
        <f>Incidence!I4*Cost!H4</f>
        <v>46.551848557401463</v>
      </c>
      <c r="I58" s="124">
        <f>IF(Inputs!$C$11="Male",Incidence!J4*Cost!J4,Incidence!J4*Cost!I4)</f>
        <v>18.358925177664975</v>
      </c>
      <c r="J58" s="124">
        <f>Incidence!K4*Cost!K4</f>
        <v>1.3772918832487311</v>
      </c>
      <c r="K58" s="124">
        <f>Incidence!L4*Cost!L4</f>
        <v>47.660331642652196</v>
      </c>
      <c r="L58" s="124">
        <f>Incidence!M4*Cost!M4</f>
        <v>4.6102572336314074</v>
      </c>
      <c r="M58" s="124">
        <f>Incidence!N4*Cost!N4</f>
        <v>3.3175656554085293</v>
      </c>
      <c r="N58" s="124">
        <f>Incidence!O4*Cost!O4</f>
        <v>89.239367151730491</v>
      </c>
      <c r="O58" s="124">
        <f>Incidence!P4*Cost!P4</f>
        <v>38.856999999999999</v>
      </c>
      <c r="P58" s="179">
        <f t="shared" si="55"/>
        <v>470.71555748213495</v>
      </c>
      <c r="Q58" s="179">
        <f t="shared" si="56"/>
        <v>452.35663230447005</v>
      </c>
      <c r="S58" s="205">
        <v>2</v>
      </c>
      <c r="T58" s="245">
        <f t="shared" si="37"/>
        <v>124.03354939654257</v>
      </c>
      <c r="U58" s="102">
        <f t="shared" si="38"/>
        <v>160.04328954392591</v>
      </c>
      <c r="V58" s="102">
        <f t="shared" si="39"/>
        <v>49.425133535624177</v>
      </c>
      <c r="W58" s="102">
        <f t="shared" si="40"/>
        <v>5.6485866897856196</v>
      </c>
      <c r="X58" s="102">
        <f t="shared" si="41"/>
        <v>5.8839444685266873</v>
      </c>
      <c r="Y58" s="102">
        <f t="shared" si="42"/>
        <v>2.8242933448928098</v>
      </c>
      <c r="Z58" s="102">
        <f t="shared" si="43"/>
        <v>2.6360071218999557</v>
      </c>
      <c r="AA58" s="102">
        <f t="shared" si="44"/>
        <v>1.1297173379571237</v>
      </c>
      <c r="AB58" s="102">
        <f t="shared" si="45"/>
        <v>0.84728800346784305</v>
      </c>
      <c r="AC58" s="102">
        <f t="shared" si="57"/>
        <v>0.47071555748213495</v>
      </c>
      <c r="AD58" s="136">
        <f t="shared" si="58"/>
        <v>352.94252500010487</v>
      </c>
      <c r="AF58" s="205">
        <v>2</v>
      </c>
      <c r="AG58" s="245">
        <f t="shared" si="46"/>
        <v>119.19597261222786</v>
      </c>
      <c r="AH58" s="102">
        <f t="shared" si="47"/>
        <v>153.80125498351984</v>
      </c>
      <c r="AI58" s="102">
        <f t="shared" si="48"/>
        <v>47.497446391969355</v>
      </c>
      <c r="AJ58" s="102">
        <f t="shared" si="49"/>
        <v>5.4282795876536412</v>
      </c>
      <c r="AK58" s="102">
        <f t="shared" si="50"/>
        <v>5.6544579038058762</v>
      </c>
      <c r="AL58" s="102">
        <f t="shared" si="51"/>
        <v>2.7141397938268201</v>
      </c>
      <c r="AM58" s="102">
        <f t="shared" si="52"/>
        <v>2.5331971409050325</v>
      </c>
      <c r="AN58" s="102">
        <f t="shared" si="53"/>
        <v>1.0856559175307281</v>
      </c>
      <c r="AO58" s="102">
        <f t="shared" si="54"/>
        <v>0.81424193814804613</v>
      </c>
      <c r="AP58" s="102">
        <f t="shared" si="59"/>
        <v>0.4523566323044701</v>
      </c>
      <c r="AQ58" s="136">
        <f t="shared" si="60"/>
        <v>339.17700290189163</v>
      </c>
    </row>
    <row r="59" spans="1:43" x14ac:dyDescent="0.25">
      <c r="A59" s="168">
        <v>3</v>
      </c>
      <c r="B59" s="100" t="s">
        <v>418</v>
      </c>
      <c r="C59" s="240">
        <f>Incidence!D5*Cost!C5</f>
        <v>38.624735463188756</v>
      </c>
      <c r="D59" s="124">
        <f>Incidence!E5*Cost!D5</f>
        <v>138.67840000000001</v>
      </c>
      <c r="E59" s="124">
        <f>Incidence!F5*Cost!E5</f>
        <v>25.637060465789066</v>
      </c>
      <c r="F59" s="124">
        <f>Incidence!G5*Cost!F5</f>
        <v>13.351980770895775</v>
      </c>
      <c r="G59" s="124">
        <f>Incidence!H5*Cost!G5</f>
        <v>4.5964779406533802</v>
      </c>
      <c r="H59" s="124">
        <f>Incidence!I5*Cost!H5</f>
        <v>47.065382463164305</v>
      </c>
      <c r="I59" s="124">
        <f>IF(Inputs!$C$11="Male",Incidence!J5*Cost!J5,Incidence!J5*Cost!I5)</f>
        <v>18.186297766497464</v>
      </c>
      <c r="J59" s="124">
        <f>Incidence!K5*Cost!K5</f>
        <v>1.3643413248730967</v>
      </c>
      <c r="K59" s="124">
        <f>Incidence!L5*Cost!L5</f>
        <v>47.660331642652196</v>
      </c>
      <c r="L59" s="124">
        <f>Incidence!M5*Cost!M5</f>
        <v>4.661115007857898</v>
      </c>
      <c r="M59" s="124">
        <f>Incidence!N5*Cost!N5</f>
        <v>3.3541631805647185</v>
      </c>
      <c r="N59" s="124">
        <f>Incidence!O5*Cost!O5</f>
        <v>90.22380584066299</v>
      </c>
      <c r="O59" s="124">
        <f>Incidence!P5*Cost!P5</f>
        <v>38.856999999999999</v>
      </c>
      <c r="P59" s="179">
        <f t="shared" si="55"/>
        <v>472.26109186679969</v>
      </c>
      <c r="Q59" s="179">
        <f t="shared" si="56"/>
        <v>454.07479410030226</v>
      </c>
      <c r="S59" s="205">
        <v>3</v>
      </c>
      <c r="T59" s="245">
        <f t="shared" si="37"/>
        <v>124.44079770690172</v>
      </c>
      <c r="U59" s="102">
        <f t="shared" si="38"/>
        <v>160.5687712347119</v>
      </c>
      <c r="V59" s="102">
        <f t="shared" si="39"/>
        <v>49.587414646013976</v>
      </c>
      <c r="W59" s="102">
        <f t="shared" si="40"/>
        <v>5.6671331024015963</v>
      </c>
      <c r="X59" s="102">
        <f t="shared" si="41"/>
        <v>5.9032636483349963</v>
      </c>
      <c r="Y59" s="102">
        <f t="shared" si="42"/>
        <v>2.8335665512007981</v>
      </c>
      <c r="Z59" s="102">
        <f t="shared" si="43"/>
        <v>2.6446621144540785</v>
      </c>
      <c r="AA59" s="102">
        <f t="shared" si="44"/>
        <v>1.1334266204803192</v>
      </c>
      <c r="AB59" s="102">
        <f t="shared" si="45"/>
        <v>0.85006996536023949</v>
      </c>
      <c r="AC59" s="102">
        <f t="shared" si="57"/>
        <v>0.47226109186679971</v>
      </c>
      <c r="AD59" s="136">
        <f t="shared" si="58"/>
        <v>354.10136668172646</v>
      </c>
      <c r="AF59" s="205">
        <v>3</v>
      </c>
      <c r="AG59" s="245">
        <f t="shared" si="46"/>
        <v>119.64870824542965</v>
      </c>
      <c r="AH59" s="102">
        <f t="shared" si="47"/>
        <v>154.38542999410276</v>
      </c>
      <c r="AI59" s="102">
        <f t="shared" si="48"/>
        <v>47.677853380531737</v>
      </c>
      <c r="AJ59" s="102">
        <f t="shared" si="49"/>
        <v>5.4488975292036272</v>
      </c>
      <c r="AK59" s="102">
        <f t="shared" si="50"/>
        <v>5.6759349262537784</v>
      </c>
      <c r="AL59" s="102">
        <f t="shared" si="51"/>
        <v>2.7244487646018132</v>
      </c>
      <c r="AM59" s="102">
        <f t="shared" si="52"/>
        <v>2.5428188469616928</v>
      </c>
      <c r="AN59" s="102">
        <f t="shared" si="53"/>
        <v>1.0897795058407254</v>
      </c>
      <c r="AO59" s="102">
        <f t="shared" si="54"/>
        <v>0.81733462938054413</v>
      </c>
      <c r="AP59" s="102">
        <f t="shared" si="59"/>
        <v>0.45407479410030233</v>
      </c>
      <c r="AQ59" s="136">
        <f t="shared" si="60"/>
        <v>340.46528061640657</v>
      </c>
    </row>
    <row r="60" spans="1:43" x14ac:dyDescent="0.25">
      <c r="A60" s="168">
        <v>4</v>
      </c>
      <c r="B60" s="100" t="s">
        <v>418</v>
      </c>
      <c r="C60" s="240">
        <f>Incidence!D6*Cost!C6</f>
        <v>38.624735463188756</v>
      </c>
      <c r="D60" s="124">
        <f>Incidence!E6*Cost!D6</f>
        <v>138.67840000000001</v>
      </c>
      <c r="E60" s="124">
        <f>Incidence!F6*Cost!E6</f>
        <v>25.637060465789066</v>
      </c>
      <c r="F60" s="124">
        <f>Incidence!G6*Cost!F6</f>
        <v>13.49766523102557</v>
      </c>
      <c r="G60" s="124">
        <f>Incidence!H6*Cost!G6</f>
        <v>4.5964779406533802</v>
      </c>
      <c r="H60" s="124">
        <f>Incidence!I6*Cost!H6</f>
        <v>47.578916368927153</v>
      </c>
      <c r="I60" s="124">
        <f>IF(Inputs!$C$11="Male",Incidence!J6*Cost!J6,Incidence!J6*Cost!I6)</f>
        <v>18.013670355329953</v>
      </c>
      <c r="J60" s="124">
        <f>Incidence!K6*Cost!K6</f>
        <v>1.3513907664974625</v>
      </c>
      <c r="K60" s="124">
        <f>Incidence!L6*Cost!L6</f>
        <v>47.660331642652196</v>
      </c>
      <c r="L60" s="124">
        <f>Incidence!M6*Cost!M6</f>
        <v>4.7119727820843895</v>
      </c>
      <c r="M60" s="124">
        <f>Incidence!N6*Cost!N6</f>
        <v>3.3907607057209073</v>
      </c>
      <c r="N60" s="124">
        <f>Incidence!O6*Cost!O6</f>
        <v>91.208244529595476</v>
      </c>
      <c r="O60" s="124">
        <f>Incidence!P6*Cost!P6</f>
        <v>38.856999999999999</v>
      </c>
      <c r="P60" s="179">
        <f t="shared" si="55"/>
        <v>473.80662625146419</v>
      </c>
      <c r="Q60" s="179">
        <f t="shared" si="56"/>
        <v>455.79295589613423</v>
      </c>
      <c r="S60" s="205">
        <v>4</v>
      </c>
      <c r="T60" s="245">
        <f t="shared" si="37"/>
        <v>124.84804601726083</v>
      </c>
      <c r="U60" s="102">
        <f t="shared" si="38"/>
        <v>161.09425292549784</v>
      </c>
      <c r="V60" s="102">
        <f t="shared" si="39"/>
        <v>49.749695756403746</v>
      </c>
      <c r="W60" s="102">
        <f t="shared" si="40"/>
        <v>5.6856795150175703</v>
      </c>
      <c r="X60" s="102">
        <f t="shared" si="41"/>
        <v>5.9225828281433017</v>
      </c>
      <c r="Y60" s="102">
        <f t="shared" si="42"/>
        <v>2.8428397575087851</v>
      </c>
      <c r="Z60" s="102">
        <f t="shared" si="43"/>
        <v>2.6533171070082</v>
      </c>
      <c r="AA60" s="102">
        <f t="shared" si="44"/>
        <v>1.137135903003514</v>
      </c>
      <c r="AB60" s="102">
        <f t="shared" si="45"/>
        <v>0.85285192725263559</v>
      </c>
      <c r="AC60" s="102">
        <f t="shared" si="57"/>
        <v>0.47380662625146419</v>
      </c>
      <c r="AD60" s="136">
        <f t="shared" si="58"/>
        <v>355.26020836334789</v>
      </c>
      <c r="AF60" s="205">
        <v>4</v>
      </c>
      <c r="AG60" s="245">
        <f t="shared" si="46"/>
        <v>120.10144387863137</v>
      </c>
      <c r="AH60" s="102">
        <f t="shared" si="47"/>
        <v>154.96960500468566</v>
      </c>
      <c r="AI60" s="102">
        <f t="shared" si="48"/>
        <v>47.858260369094104</v>
      </c>
      <c r="AJ60" s="102">
        <f t="shared" si="49"/>
        <v>5.4695154707536107</v>
      </c>
      <c r="AK60" s="102">
        <f t="shared" si="50"/>
        <v>5.6974119487016779</v>
      </c>
      <c r="AL60" s="102">
        <f t="shared" si="51"/>
        <v>2.7347577353768058</v>
      </c>
      <c r="AM60" s="102">
        <f t="shared" si="52"/>
        <v>2.5524405530183518</v>
      </c>
      <c r="AN60" s="102">
        <f t="shared" si="53"/>
        <v>1.093903094150722</v>
      </c>
      <c r="AO60" s="102">
        <f t="shared" si="54"/>
        <v>0.82042732061304158</v>
      </c>
      <c r="AP60" s="102">
        <f t="shared" si="59"/>
        <v>0.45579295589613422</v>
      </c>
      <c r="AQ60" s="136">
        <f t="shared" si="60"/>
        <v>341.75355833092152</v>
      </c>
    </row>
    <row r="61" spans="1:43" x14ac:dyDescent="0.25">
      <c r="A61" s="168">
        <v>5</v>
      </c>
      <c r="B61" s="100" t="s">
        <v>418</v>
      </c>
      <c r="C61" s="240">
        <f>Incidence!D7*Cost!C7</f>
        <v>38.624735463188756</v>
      </c>
      <c r="D61" s="124">
        <f>Incidence!E7*Cost!D7</f>
        <v>138.67840000000001</v>
      </c>
      <c r="E61" s="124">
        <f>Incidence!F7*Cost!E7</f>
        <v>25.637060465789066</v>
      </c>
      <c r="F61" s="124">
        <f>Incidence!G7*Cost!F7</f>
        <v>13.643349691155366</v>
      </c>
      <c r="G61" s="124">
        <f>Incidence!H7*Cost!G7</f>
        <v>4.5964779406533802</v>
      </c>
      <c r="H61" s="124">
        <f>Incidence!I7*Cost!H7</f>
        <v>48.092450274689988</v>
      </c>
      <c r="I61" s="124">
        <f>IF(Inputs!$C$11="Male",Incidence!J7*Cost!J7,Incidence!J7*Cost!I7)</f>
        <v>17.841042944162442</v>
      </c>
      <c r="J61" s="124">
        <f>Incidence!K7*Cost!K7</f>
        <v>1.3384402081218276</v>
      </c>
      <c r="K61" s="124">
        <f>Incidence!L7*Cost!L7</f>
        <v>47.660331642652196</v>
      </c>
      <c r="L61" s="124">
        <f>Incidence!M7*Cost!M7</f>
        <v>4.762830556310881</v>
      </c>
      <c r="M61" s="124">
        <f>Incidence!N7*Cost!N7</f>
        <v>3.4273582308770969</v>
      </c>
      <c r="N61" s="124">
        <f>Incidence!O7*Cost!O7</f>
        <v>92.192683218527975</v>
      </c>
      <c r="O61" s="124">
        <f>Incidence!P7*Cost!P7</f>
        <v>38.856999999999999</v>
      </c>
      <c r="P61" s="179">
        <f t="shared" si="55"/>
        <v>475.35216063612893</v>
      </c>
      <c r="Q61" s="179">
        <f t="shared" si="56"/>
        <v>457.51111769196655</v>
      </c>
      <c r="S61" s="205">
        <v>5</v>
      </c>
      <c r="T61" s="245">
        <f t="shared" si="37"/>
        <v>125.25529432761998</v>
      </c>
      <c r="U61" s="102">
        <f t="shared" si="38"/>
        <v>161.61973461628384</v>
      </c>
      <c r="V61" s="102">
        <f t="shared" si="39"/>
        <v>49.911976866793545</v>
      </c>
      <c r="W61" s="102">
        <f t="shared" si="40"/>
        <v>5.704225927633547</v>
      </c>
      <c r="X61" s="102">
        <f t="shared" si="41"/>
        <v>5.9419020079516125</v>
      </c>
      <c r="Y61" s="102">
        <f t="shared" si="42"/>
        <v>2.8521129638167735</v>
      </c>
      <c r="Z61" s="102">
        <f t="shared" si="43"/>
        <v>2.6619720995623219</v>
      </c>
      <c r="AA61" s="102">
        <f t="shared" si="44"/>
        <v>1.1408451855267094</v>
      </c>
      <c r="AB61" s="102">
        <f t="shared" si="45"/>
        <v>0.85563388914503213</v>
      </c>
      <c r="AC61" s="102">
        <f t="shared" si="57"/>
        <v>0.47535216063612901</v>
      </c>
      <c r="AD61" s="136">
        <f t="shared" si="58"/>
        <v>356.41905004496954</v>
      </c>
      <c r="AF61" s="205">
        <v>5</v>
      </c>
      <c r="AG61" s="245">
        <f t="shared" si="46"/>
        <v>120.5541795118332</v>
      </c>
      <c r="AH61" s="102">
        <f t="shared" si="47"/>
        <v>155.55378001526864</v>
      </c>
      <c r="AI61" s="102">
        <f t="shared" si="48"/>
        <v>48.038667357656493</v>
      </c>
      <c r="AJ61" s="102">
        <f t="shared" si="49"/>
        <v>5.4901334123035985</v>
      </c>
      <c r="AK61" s="102">
        <f t="shared" si="50"/>
        <v>5.7188889711495809</v>
      </c>
      <c r="AL61" s="102">
        <f t="shared" si="51"/>
        <v>2.7450667061517993</v>
      </c>
      <c r="AM61" s="102">
        <f t="shared" si="52"/>
        <v>2.5620622590750131</v>
      </c>
      <c r="AN61" s="102">
        <f t="shared" si="53"/>
        <v>1.0980266824607197</v>
      </c>
      <c r="AO61" s="102">
        <f t="shared" si="54"/>
        <v>0.8235200118455398</v>
      </c>
      <c r="AP61" s="102">
        <f t="shared" si="59"/>
        <v>0.45751111769196651</v>
      </c>
      <c r="AQ61" s="136">
        <f t="shared" si="60"/>
        <v>343.04183604543653</v>
      </c>
    </row>
    <row r="62" spans="1:43" x14ac:dyDescent="0.25">
      <c r="A62" s="168">
        <v>6</v>
      </c>
      <c r="B62" s="100" t="s">
        <v>418</v>
      </c>
      <c r="C62" s="240">
        <f>Incidence!D8*Cost!C8</f>
        <v>38.624735463188756</v>
      </c>
      <c r="D62" s="124">
        <f>Incidence!E8*Cost!D8</f>
        <v>138.67840000000001</v>
      </c>
      <c r="E62" s="124">
        <f>Incidence!F8*Cost!E8</f>
        <v>25.637060465789066</v>
      </c>
      <c r="F62" s="124">
        <f>Incidence!G8*Cost!F8</f>
        <v>13.789034151285161</v>
      </c>
      <c r="G62" s="124">
        <f>Incidence!H8*Cost!G8</f>
        <v>4.5964779406533802</v>
      </c>
      <c r="H62" s="124">
        <f>Incidence!I8*Cost!H8</f>
        <v>48.605984180452829</v>
      </c>
      <c r="I62" s="124">
        <f>IF(Inputs!$C$11="Male",Incidence!J8*Cost!J8,Incidence!J8*Cost!I8)</f>
        <v>17.668415532994928</v>
      </c>
      <c r="J62" s="124">
        <f>Incidence!K8*Cost!K8</f>
        <v>1.3254896497461932</v>
      </c>
      <c r="K62" s="124">
        <f>Incidence!L8*Cost!L8</f>
        <v>47.660331642652196</v>
      </c>
      <c r="L62" s="124">
        <f>Incidence!M8*Cost!M8</f>
        <v>4.8136883305373717</v>
      </c>
      <c r="M62" s="124">
        <f>Incidence!N8*Cost!N8</f>
        <v>3.4639557560332852</v>
      </c>
      <c r="N62" s="124">
        <f>Incidence!O8*Cost!O8</f>
        <v>93.17712190746046</v>
      </c>
      <c r="O62" s="124">
        <f>Incidence!P8*Cost!P8</f>
        <v>38.856999999999999</v>
      </c>
      <c r="P62" s="179">
        <f t="shared" si="55"/>
        <v>476.89769502079366</v>
      </c>
      <c r="Q62" s="179">
        <f t="shared" si="56"/>
        <v>459.22927948779875</v>
      </c>
      <c r="S62" s="205">
        <v>6</v>
      </c>
      <c r="T62" s="245">
        <f t="shared" si="37"/>
        <v>125.66254263797913</v>
      </c>
      <c r="U62" s="102">
        <f t="shared" si="38"/>
        <v>162.14521630706986</v>
      </c>
      <c r="V62" s="102">
        <f t="shared" si="39"/>
        <v>50.074257977183336</v>
      </c>
      <c r="W62" s="102">
        <f t="shared" si="40"/>
        <v>5.7227723402495236</v>
      </c>
      <c r="X62" s="102">
        <f t="shared" si="41"/>
        <v>5.9612211877599206</v>
      </c>
      <c r="Y62" s="102">
        <f t="shared" si="42"/>
        <v>2.8613861701247618</v>
      </c>
      <c r="Z62" s="102">
        <f t="shared" si="43"/>
        <v>2.6706270921164448</v>
      </c>
      <c r="AA62" s="102">
        <f t="shared" si="44"/>
        <v>1.1445544680499047</v>
      </c>
      <c r="AB62" s="102">
        <f t="shared" si="45"/>
        <v>0.85841585103742857</v>
      </c>
      <c r="AC62" s="102">
        <f t="shared" si="57"/>
        <v>0.47689769502079365</v>
      </c>
      <c r="AD62" s="136">
        <f t="shared" si="58"/>
        <v>357.57789172659113</v>
      </c>
      <c r="AF62" s="205">
        <v>6</v>
      </c>
      <c r="AG62" s="245">
        <f t="shared" si="46"/>
        <v>121.00691514503498</v>
      </c>
      <c r="AH62" s="102">
        <f t="shared" si="47"/>
        <v>156.1379550258516</v>
      </c>
      <c r="AI62" s="102">
        <f t="shared" si="48"/>
        <v>48.219074346218875</v>
      </c>
      <c r="AJ62" s="102">
        <f t="shared" si="49"/>
        <v>5.5107513538535855</v>
      </c>
      <c r="AK62" s="102">
        <f t="shared" si="50"/>
        <v>5.740365993597484</v>
      </c>
      <c r="AL62" s="102">
        <f t="shared" si="51"/>
        <v>2.7553756769267927</v>
      </c>
      <c r="AM62" s="102">
        <f t="shared" si="52"/>
        <v>2.5716839651316734</v>
      </c>
      <c r="AN62" s="102">
        <f t="shared" si="53"/>
        <v>1.1021502707707169</v>
      </c>
      <c r="AO62" s="102">
        <f t="shared" si="54"/>
        <v>0.82661270307803769</v>
      </c>
      <c r="AP62" s="102">
        <f t="shared" si="59"/>
        <v>0.45922927948779874</v>
      </c>
      <c r="AQ62" s="136">
        <f t="shared" si="60"/>
        <v>344.33011375995153</v>
      </c>
    </row>
    <row r="63" spans="1:43" x14ac:dyDescent="0.25">
      <c r="A63" s="168">
        <v>7</v>
      </c>
      <c r="B63" s="100" t="s">
        <v>418</v>
      </c>
      <c r="C63" s="240">
        <f>Incidence!D9*Cost!C9</f>
        <v>38.624735463188756</v>
      </c>
      <c r="D63" s="124">
        <f>Incidence!E9*Cost!D9</f>
        <v>138.67840000000001</v>
      </c>
      <c r="E63" s="124">
        <f>Incidence!F9*Cost!E9</f>
        <v>25.637060465789066</v>
      </c>
      <c r="F63" s="124">
        <f>Incidence!G9*Cost!F9</f>
        <v>13.934718611414958</v>
      </c>
      <c r="G63" s="124">
        <f>Incidence!H9*Cost!G9</f>
        <v>4.5964779406533802</v>
      </c>
      <c r="H63" s="124">
        <f>Incidence!I9*Cost!H9</f>
        <v>49.11951808621567</v>
      </c>
      <c r="I63" s="124">
        <f>IF(Inputs!$C$11="Male",Incidence!J9*Cost!J9,Incidence!J9*Cost!I9)</f>
        <v>17.495788121827417</v>
      </c>
      <c r="J63" s="124">
        <f>Incidence!K9*Cost!K9</f>
        <v>1.3125390913705588</v>
      </c>
      <c r="K63" s="124">
        <f>Incidence!L9*Cost!L9</f>
        <v>47.660331642652196</v>
      </c>
      <c r="L63" s="124">
        <f>Incidence!M9*Cost!M9</f>
        <v>4.8645461047638623</v>
      </c>
      <c r="M63" s="124">
        <f>Incidence!N9*Cost!N9</f>
        <v>3.5005532811894744</v>
      </c>
      <c r="N63" s="124">
        <f>Incidence!O9*Cost!O9</f>
        <v>94.16156059639296</v>
      </c>
      <c r="O63" s="124">
        <f>Incidence!P9*Cost!P9</f>
        <v>38.856999999999999</v>
      </c>
      <c r="P63" s="179">
        <f t="shared" si="55"/>
        <v>478.4432294054584</v>
      </c>
      <c r="Q63" s="179">
        <f t="shared" si="56"/>
        <v>460.94744128363095</v>
      </c>
      <c r="S63" s="205">
        <v>7</v>
      </c>
      <c r="T63" s="245">
        <f t="shared" si="37"/>
        <v>126.06979094833829</v>
      </c>
      <c r="U63" s="102">
        <f t="shared" si="38"/>
        <v>162.67069799785585</v>
      </c>
      <c r="V63" s="102">
        <f t="shared" si="39"/>
        <v>50.236539087573135</v>
      </c>
      <c r="W63" s="102">
        <f t="shared" si="40"/>
        <v>5.7413187528655012</v>
      </c>
      <c r="X63" s="102">
        <f t="shared" si="41"/>
        <v>5.9805403675682305</v>
      </c>
      <c r="Y63" s="102">
        <f t="shared" si="42"/>
        <v>2.8706593764327506</v>
      </c>
      <c r="Z63" s="102">
        <f t="shared" si="43"/>
        <v>2.6792820846705672</v>
      </c>
      <c r="AA63" s="102">
        <f t="shared" si="44"/>
        <v>1.1482637505731002</v>
      </c>
      <c r="AB63" s="102">
        <f t="shared" si="45"/>
        <v>0.86119781292982522</v>
      </c>
      <c r="AC63" s="102">
        <f t="shared" si="57"/>
        <v>0.47844322940545847</v>
      </c>
      <c r="AD63" s="136">
        <f t="shared" si="58"/>
        <v>358.73673340821267</v>
      </c>
      <c r="AF63" s="205">
        <v>7</v>
      </c>
      <c r="AG63" s="245">
        <f t="shared" si="46"/>
        <v>121.45965077823676</v>
      </c>
      <c r="AH63" s="102">
        <f t="shared" si="47"/>
        <v>156.72213003643452</v>
      </c>
      <c r="AI63" s="102">
        <f t="shared" si="48"/>
        <v>48.399481334781257</v>
      </c>
      <c r="AJ63" s="102">
        <f t="shared" si="49"/>
        <v>5.5313692954035716</v>
      </c>
      <c r="AK63" s="102">
        <f t="shared" si="50"/>
        <v>5.7618430160453862</v>
      </c>
      <c r="AL63" s="102">
        <f t="shared" si="51"/>
        <v>2.7656846477017858</v>
      </c>
      <c r="AM63" s="102">
        <f t="shared" si="52"/>
        <v>2.5813056711883338</v>
      </c>
      <c r="AN63" s="102">
        <f t="shared" si="53"/>
        <v>1.1062738590807142</v>
      </c>
      <c r="AO63" s="102">
        <f t="shared" si="54"/>
        <v>0.82970539431053569</v>
      </c>
      <c r="AP63" s="102">
        <f t="shared" si="59"/>
        <v>0.46094744128363091</v>
      </c>
      <c r="AQ63" s="136">
        <f t="shared" si="60"/>
        <v>345.61839147446642</v>
      </c>
    </row>
    <row r="64" spans="1:43" x14ac:dyDescent="0.25">
      <c r="A64" s="168">
        <v>8</v>
      </c>
      <c r="B64" s="100" t="s">
        <v>418</v>
      </c>
      <c r="C64" s="240">
        <f>Incidence!D10*Cost!C10</f>
        <v>38.624735463188756</v>
      </c>
      <c r="D64" s="124">
        <f>Incidence!E10*Cost!D10</f>
        <v>138.67840000000001</v>
      </c>
      <c r="E64" s="124">
        <f>Incidence!F10*Cost!E10</f>
        <v>25.637060465789066</v>
      </c>
      <c r="F64" s="124">
        <f>Incidence!G10*Cost!F10</f>
        <v>14.080403071544755</v>
      </c>
      <c r="G64" s="124">
        <f>Incidence!H10*Cost!G10</f>
        <v>4.5964779406533802</v>
      </c>
      <c r="H64" s="124">
        <f>Incidence!I10*Cost!H10</f>
        <v>49.633051991978505</v>
      </c>
      <c r="I64" s="124">
        <f>IF(Inputs!$C$11="Male",Incidence!J10*Cost!J10,Incidence!J10*Cost!I10)</f>
        <v>17.323160710659902</v>
      </c>
      <c r="J64" s="124">
        <f>Incidence!K10*Cost!K10</f>
        <v>1.2995885329949242</v>
      </c>
      <c r="K64" s="124">
        <f>Incidence!L10*Cost!L10</f>
        <v>47.660331642652196</v>
      </c>
      <c r="L64" s="124">
        <f>Incidence!M10*Cost!M10</f>
        <v>4.9154038789903529</v>
      </c>
      <c r="M64" s="124">
        <f>Incidence!N10*Cost!N10</f>
        <v>3.5371508063456631</v>
      </c>
      <c r="N64" s="124">
        <f>Incidence!O10*Cost!O10</f>
        <v>95.145999285325459</v>
      </c>
      <c r="O64" s="124">
        <f>Incidence!P10*Cost!P10</f>
        <v>38.856999999999999</v>
      </c>
      <c r="P64" s="179">
        <f t="shared" si="55"/>
        <v>479.9887637901229</v>
      </c>
      <c r="Q64" s="179">
        <f t="shared" si="56"/>
        <v>462.66560307946304</v>
      </c>
      <c r="S64" s="205">
        <v>8</v>
      </c>
      <c r="T64" s="245">
        <f t="shared" si="37"/>
        <v>126.47703925869739</v>
      </c>
      <c r="U64" s="102">
        <f t="shared" si="38"/>
        <v>163.19617968864179</v>
      </c>
      <c r="V64" s="102">
        <f t="shared" si="39"/>
        <v>50.398820197962912</v>
      </c>
      <c r="W64" s="102">
        <f t="shared" si="40"/>
        <v>5.7598651654814752</v>
      </c>
      <c r="X64" s="102">
        <f t="shared" si="41"/>
        <v>5.9998595473765368</v>
      </c>
      <c r="Y64" s="102">
        <f t="shared" si="42"/>
        <v>2.8799325827407376</v>
      </c>
      <c r="Z64" s="102">
        <f t="shared" si="43"/>
        <v>2.6879370772246882</v>
      </c>
      <c r="AA64" s="102">
        <f t="shared" si="44"/>
        <v>1.151973033096295</v>
      </c>
      <c r="AB64" s="102">
        <f t="shared" si="45"/>
        <v>0.86397977482222121</v>
      </c>
      <c r="AC64" s="102">
        <f t="shared" si="57"/>
        <v>0.47998876379012295</v>
      </c>
      <c r="AD64" s="136">
        <f t="shared" si="58"/>
        <v>359.89557508983415</v>
      </c>
      <c r="AF64" s="205">
        <v>8</v>
      </c>
      <c r="AG64" s="245">
        <f t="shared" si="46"/>
        <v>121.91238641143852</v>
      </c>
      <c r="AH64" s="102">
        <f t="shared" si="47"/>
        <v>157.30630504701745</v>
      </c>
      <c r="AI64" s="102">
        <f t="shared" si="48"/>
        <v>48.579888323343624</v>
      </c>
      <c r="AJ64" s="102">
        <f t="shared" si="49"/>
        <v>5.5519872369535568</v>
      </c>
      <c r="AK64" s="102">
        <f t="shared" si="50"/>
        <v>5.7833200384932875</v>
      </c>
      <c r="AL64" s="102">
        <f t="shared" si="51"/>
        <v>2.7759936184767784</v>
      </c>
      <c r="AM64" s="102">
        <f t="shared" si="52"/>
        <v>2.5909273772449932</v>
      </c>
      <c r="AN64" s="102">
        <f t="shared" si="53"/>
        <v>1.1103974473907112</v>
      </c>
      <c r="AO64" s="102">
        <f t="shared" si="54"/>
        <v>0.83279808554303347</v>
      </c>
      <c r="AP64" s="102">
        <f t="shared" si="59"/>
        <v>0.46266560307946303</v>
      </c>
      <c r="AQ64" s="136">
        <f t="shared" si="60"/>
        <v>346.90666918898148</v>
      </c>
    </row>
    <row r="65" spans="1:43" x14ac:dyDescent="0.25">
      <c r="A65" s="168">
        <v>9</v>
      </c>
      <c r="B65" s="100" t="s">
        <v>418</v>
      </c>
      <c r="C65" s="240">
        <f>Incidence!D11*Cost!C11</f>
        <v>38.624735463188756</v>
      </c>
      <c r="D65" s="124">
        <f>Incidence!E11*Cost!D11</f>
        <v>138.67840000000001</v>
      </c>
      <c r="E65" s="124">
        <f>Incidence!F11*Cost!E11</f>
        <v>25.637060465789066</v>
      </c>
      <c r="F65" s="124">
        <f>Incidence!G11*Cost!F11</f>
        <v>14.226087531674549</v>
      </c>
      <c r="G65" s="124">
        <f>Incidence!H11*Cost!G11</f>
        <v>4.5964779406533802</v>
      </c>
      <c r="H65" s="124">
        <f>Incidence!I11*Cost!H11</f>
        <v>50.146585897741353</v>
      </c>
      <c r="I65" s="124">
        <f>IF(Inputs!$C$11="Male",Incidence!J11*Cost!J11,Incidence!J11*Cost!I11)</f>
        <v>17.150533299492391</v>
      </c>
      <c r="J65" s="124">
        <f>Incidence!K11*Cost!K11</f>
        <v>1.2866379746192895</v>
      </c>
      <c r="K65" s="124">
        <f>Incidence!L11*Cost!L11</f>
        <v>47.660331642652196</v>
      </c>
      <c r="L65" s="124">
        <f>Incidence!M11*Cost!M11</f>
        <v>4.9662616532168453</v>
      </c>
      <c r="M65" s="124">
        <f>Incidence!N11*Cost!N11</f>
        <v>3.5737483315018523</v>
      </c>
      <c r="N65" s="124">
        <f>Incidence!O11*Cost!O11</f>
        <v>96.130437974257958</v>
      </c>
      <c r="O65" s="124">
        <f>Incidence!P11*Cost!P11</f>
        <v>38.856999999999999</v>
      </c>
      <c r="P65" s="179">
        <f t="shared" si="55"/>
        <v>481.53429817478764</v>
      </c>
      <c r="Q65" s="179">
        <f t="shared" si="56"/>
        <v>464.38376487529524</v>
      </c>
      <c r="S65" s="205">
        <v>9</v>
      </c>
      <c r="T65" s="245">
        <f t="shared" si="37"/>
        <v>126.88428756905655</v>
      </c>
      <c r="U65" s="102">
        <f t="shared" si="38"/>
        <v>163.72166137942781</v>
      </c>
      <c r="V65" s="102">
        <f t="shared" si="39"/>
        <v>50.561101308352704</v>
      </c>
      <c r="W65" s="102">
        <f t="shared" si="40"/>
        <v>5.7784115780974519</v>
      </c>
      <c r="X65" s="102">
        <f t="shared" si="41"/>
        <v>6.0191787271848458</v>
      </c>
      <c r="Y65" s="102">
        <f t="shared" si="42"/>
        <v>2.8892057890487259</v>
      </c>
      <c r="Z65" s="102">
        <f t="shared" si="43"/>
        <v>2.6965920697788111</v>
      </c>
      <c r="AA65" s="102">
        <f t="shared" si="44"/>
        <v>1.1556823156194902</v>
      </c>
      <c r="AB65" s="102">
        <f t="shared" si="45"/>
        <v>0.86676173671461765</v>
      </c>
      <c r="AC65" s="102">
        <f t="shared" si="57"/>
        <v>0.48153429817478766</v>
      </c>
      <c r="AD65" s="136">
        <f t="shared" si="58"/>
        <v>361.05441677145586</v>
      </c>
      <c r="AF65" s="205">
        <v>9</v>
      </c>
      <c r="AG65" s="245">
        <f t="shared" si="46"/>
        <v>122.3651220446403</v>
      </c>
      <c r="AH65" s="102">
        <f t="shared" si="47"/>
        <v>157.8904800576004</v>
      </c>
      <c r="AI65" s="102">
        <f t="shared" si="48"/>
        <v>48.760295311906006</v>
      </c>
      <c r="AJ65" s="102">
        <f t="shared" si="49"/>
        <v>5.5726051785035429</v>
      </c>
      <c r="AK65" s="102">
        <f t="shared" si="50"/>
        <v>5.8047970609411905</v>
      </c>
      <c r="AL65" s="102">
        <f t="shared" si="51"/>
        <v>2.7863025892517719</v>
      </c>
      <c r="AM65" s="102">
        <f t="shared" si="52"/>
        <v>2.6005490833016536</v>
      </c>
      <c r="AN65" s="102">
        <f t="shared" si="53"/>
        <v>1.1145210357007085</v>
      </c>
      <c r="AO65" s="102">
        <f t="shared" si="54"/>
        <v>0.83589077677553147</v>
      </c>
      <c r="AP65" s="102">
        <f t="shared" si="59"/>
        <v>0.46438376487529526</v>
      </c>
      <c r="AQ65" s="136">
        <f t="shared" si="60"/>
        <v>348.19494690349643</v>
      </c>
    </row>
    <row r="66" spans="1:43" x14ac:dyDescent="0.25">
      <c r="A66" s="168">
        <v>10</v>
      </c>
      <c r="B66" s="100" t="s">
        <v>418</v>
      </c>
      <c r="C66" s="240">
        <f>Incidence!D12*Cost!C12</f>
        <v>38.624735463188756</v>
      </c>
      <c r="D66" s="124">
        <f>Incidence!E12*Cost!D12</f>
        <v>138.67840000000001</v>
      </c>
      <c r="E66" s="124">
        <f>Incidence!F12*Cost!E12</f>
        <v>25.637060465789066</v>
      </c>
      <c r="F66" s="124">
        <f>Incidence!G12*Cost!F12</f>
        <v>14.371771991804344</v>
      </c>
      <c r="G66" s="124">
        <f>Incidence!H12*Cost!G12</f>
        <v>4.5964779406533802</v>
      </c>
      <c r="H66" s="124">
        <f>Incidence!I12*Cost!H12</f>
        <v>50.66011980350418</v>
      </c>
      <c r="I66" s="124">
        <f>IF(Inputs!$C$11="Male",Incidence!J12*Cost!J12,Incidence!J12*Cost!I12)</f>
        <v>16.977905888324877</v>
      </c>
      <c r="J66" s="124">
        <f>Incidence!K12*Cost!K12</f>
        <v>1.2736874162436551</v>
      </c>
      <c r="K66" s="124">
        <f>Incidence!L12*Cost!L12</f>
        <v>47.660331642652196</v>
      </c>
      <c r="L66" s="124">
        <f>Incidence!M12*Cost!M12</f>
        <v>5.0171194274433351</v>
      </c>
      <c r="M66" s="124">
        <f>Incidence!N12*Cost!N12</f>
        <v>3.6103458566580411</v>
      </c>
      <c r="N66" s="124">
        <f>Incidence!O12*Cost!O12</f>
        <v>97.114876663190429</v>
      </c>
      <c r="O66" s="124">
        <f>Incidence!P12*Cost!P12</f>
        <v>38.856999999999999</v>
      </c>
      <c r="P66" s="179">
        <f t="shared" si="55"/>
        <v>483.07983255945226</v>
      </c>
      <c r="Q66" s="179">
        <f t="shared" si="56"/>
        <v>466.10192667112744</v>
      </c>
      <c r="S66" s="205">
        <v>10</v>
      </c>
      <c r="T66" s="245">
        <f t="shared" si="37"/>
        <v>127.29153587941568</v>
      </c>
      <c r="U66" s="102">
        <f t="shared" si="38"/>
        <v>164.24714307021378</v>
      </c>
      <c r="V66" s="102">
        <f t="shared" si="39"/>
        <v>50.723382418742489</v>
      </c>
      <c r="W66" s="102">
        <f t="shared" si="40"/>
        <v>5.7969579907134268</v>
      </c>
      <c r="X66" s="102">
        <f t="shared" si="41"/>
        <v>6.0384979069931539</v>
      </c>
      <c r="Y66" s="102">
        <f t="shared" si="42"/>
        <v>2.8984789953567134</v>
      </c>
      <c r="Z66" s="102">
        <f t="shared" si="43"/>
        <v>2.7052470623329326</v>
      </c>
      <c r="AA66" s="102">
        <f t="shared" si="44"/>
        <v>1.1593915981426852</v>
      </c>
      <c r="AB66" s="102">
        <f t="shared" si="45"/>
        <v>0.86954369860701408</v>
      </c>
      <c r="AC66" s="102">
        <f t="shared" si="57"/>
        <v>0.4830798325594523</v>
      </c>
      <c r="AD66" s="136">
        <f t="shared" si="58"/>
        <v>362.21325845307734</v>
      </c>
      <c r="AF66" s="205">
        <v>10</v>
      </c>
      <c r="AG66" s="245">
        <f t="shared" si="46"/>
        <v>122.81785767784208</v>
      </c>
      <c r="AH66" s="102">
        <f t="shared" si="47"/>
        <v>158.47465506818335</v>
      </c>
      <c r="AI66" s="102">
        <f t="shared" si="48"/>
        <v>48.940702300468388</v>
      </c>
      <c r="AJ66" s="102">
        <f t="shared" si="49"/>
        <v>5.5932231200535298</v>
      </c>
      <c r="AK66" s="102">
        <f t="shared" si="50"/>
        <v>5.8262740833890927</v>
      </c>
      <c r="AL66" s="102">
        <f t="shared" si="51"/>
        <v>2.7966115600267649</v>
      </c>
      <c r="AM66" s="102">
        <f t="shared" si="52"/>
        <v>2.6101707893583139</v>
      </c>
      <c r="AN66" s="102">
        <f t="shared" si="53"/>
        <v>1.1186446240107057</v>
      </c>
      <c r="AO66" s="102">
        <f t="shared" si="54"/>
        <v>0.83898346800802936</v>
      </c>
      <c r="AP66" s="102">
        <f t="shared" si="59"/>
        <v>0.46610192667112743</v>
      </c>
      <c r="AQ66" s="136">
        <f t="shared" si="60"/>
        <v>349.48322461801138</v>
      </c>
    </row>
    <row r="67" spans="1:43" x14ac:dyDescent="0.25">
      <c r="A67" s="168">
        <v>11</v>
      </c>
      <c r="B67" s="100" t="s">
        <v>420</v>
      </c>
      <c r="C67" s="240">
        <f>Incidence!D13*Cost!C13</f>
        <v>39.254040480180493</v>
      </c>
      <c r="D67" s="124">
        <f>Incidence!E13*Cost!D13</f>
        <v>138.67840000000001</v>
      </c>
      <c r="E67" s="124">
        <f>Incidence!F13*Cost!E13</f>
        <v>51.274120931578132</v>
      </c>
      <c r="F67" s="124">
        <f>Incidence!G13*Cost!F13</f>
        <v>14.517456451934141</v>
      </c>
      <c r="G67" s="124">
        <f>Incidence!H13*Cost!G13</f>
        <v>4.5964779406533802</v>
      </c>
      <c r="H67" s="124">
        <f>Incidence!I13*Cost!H13</f>
        <v>51.173653709267036</v>
      </c>
      <c r="I67" s="124">
        <f>IF(Inputs!$C$11="Male",Incidence!J13*Cost!J13,Incidence!J13*Cost!I13)</f>
        <v>16.805278477157366</v>
      </c>
      <c r="J67" s="124">
        <f>Incidence!K13*Cost!K13</f>
        <v>1.2607368578680207</v>
      </c>
      <c r="K67" s="124">
        <f>Incidence!L13*Cost!L13</f>
        <v>47.660331642652196</v>
      </c>
      <c r="L67" s="124">
        <f>Incidence!M13*Cost!M13</f>
        <v>5.0679772016698266</v>
      </c>
      <c r="M67" s="124">
        <f>Incidence!N13*Cost!N13</f>
        <v>3.6469433818142303</v>
      </c>
      <c r="N67" s="124">
        <f>Incidence!O13*Cost!O13</f>
        <v>98.099315352122943</v>
      </c>
      <c r="O67" s="124">
        <f>Incidence!P13*Cost!P13</f>
        <v>38.856999999999999</v>
      </c>
      <c r="P67" s="179">
        <f t="shared" si="55"/>
        <v>510.89173242689776</v>
      </c>
      <c r="Q67" s="179">
        <f t="shared" si="56"/>
        <v>494.08645394974042</v>
      </c>
      <c r="S67" s="205">
        <v>11</v>
      </c>
      <c r="T67" s="245">
        <f t="shared" si="37"/>
        <v>134.61997149448757</v>
      </c>
      <c r="U67" s="102">
        <f t="shared" si="38"/>
        <v>173.70318902514526</v>
      </c>
      <c r="V67" s="102">
        <f t="shared" si="39"/>
        <v>53.643631904824268</v>
      </c>
      <c r="W67" s="102">
        <f t="shared" si="40"/>
        <v>6.1307007891227734</v>
      </c>
      <c r="X67" s="102">
        <f t="shared" si="41"/>
        <v>6.3861466553362218</v>
      </c>
      <c r="Y67" s="102">
        <f t="shared" si="42"/>
        <v>3.0653503945613867</v>
      </c>
      <c r="Z67" s="102">
        <f t="shared" si="43"/>
        <v>2.8609937015906275</v>
      </c>
      <c r="AA67" s="102">
        <f t="shared" si="44"/>
        <v>1.2261401578245545</v>
      </c>
      <c r="AB67" s="102">
        <f t="shared" si="45"/>
        <v>0.91960511836841596</v>
      </c>
      <c r="AC67" s="102">
        <f t="shared" si="57"/>
        <v>0.51089173242689778</v>
      </c>
      <c r="AD67" s="136">
        <f t="shared" si="58"/>
        <v>383.06662097368798</v>
      </c>
      <c r="AF67" s="205">
        <v>11</v>
      </c>
      <c r="AG67" s="245">
        <f t="shared" si="46"/>
        <v>130.19178061575661</v>
      </c>
      <c r="AH67" s="102">
        <f t="shared" si="47"/>
        <v>167.98939434291177</v>
      </c>
      <c r="AI67" s="102">
        <f t="shared" si="48"/>
        <v>51.87907766472275</v>
      </c>
      <c r="AJ67" s="102">
        <f t="shared" si="49"/>
        <v>5.929037447396885</v>
      </c>
      <c r="AK67" s="102">
        <f t="shared" si="50"/>
        <v>6.1760806743717556</v>
      </c>
      <c r="AL67" s="102">
        <f t="shared" si="51"/>
        <v>2.9645187236984425</v>
      </c>
      <c r="AM67" s="102">
        <f t="shared" si="52"/>
        <v>2.7668841421185464</v>
      </c>
      <c r="AN67" s="102">
        <f t="shared" si="53"/>
        <v>1.1858074894793769</v>
      </c>
      <c r="AO67" s="102">
        <f t="shared" si="54"/>
        <v>0.88935561710953281</v>
      </c>
      <c r="AP67" s="102">
        <f t="shared" si="59"/>
        <v>0.49408645394974049</v>
      </c>
      <c r="AQ67" s="136">
        <f t="shared" si="60"/>
        <v>370.46602317151542</v>
      </c>
    </row>
    <row r="68" spans="1:43" x14ac:dyDescent="0.25">
      <c r="A68" s="168">
        <v>12</v>
      </c>
      <c r="B68" s="100" t="s">
        <v>420</v>
      </c>
      <c r="C68" s="240">
        <f>Incidence!D14*Cost!C14</f>
        <v>39.254040480180493</v>
      </c>
      <c r="D68" s="124">
        <f>Incidence!E14*Cost!D14</f>
        <v>138.67840000000001</v>
      </c>
      <c r="E68" s="124">
        <f>Incidence!F14*Cost!E14</f>
        <v>51.274120931578132</v>
      </c>
      <c r="F68" s="124">
        <f>Incidence!G14*Cost!F14</f>
        <v>14.663140912063936</v>
      </c>
      <c r="G68" s="124">
        <f>Incidence!H14*Cost!G14</f>
        <v>4.5964779406533802</v>
      </c>
      <c r="H68" s="124">
        <f>Incidence!I14*Cost!H14</f>
        <v>51.68718761502987</v>
      </c>
      <c r="I68" s="124">
        <f>IF(Inputs!$C$11="Male",Incidence!J14*Cost!J14,Incidence!J14*Cost!I14)</f>
        <v>16.632651065989851</v>
      </c>
      <c r="J68" s="124">
        <f>Incidence!K14*Cost!K14</f>
        <v>1.2477862994923858</v>
      </c>
      <c r="K68" s="124">
        <f>Incidence!L14*Cost!L14</f>
        <v>47.660331642652196</v>
      </c>
      <c r="L68" s="124">
        <f>Incidence!M14*Cost!M14</f>
        <v>5.1188349758963172</v>
      </c>
      <c r="M68" s="124">
        <f>Incidence!N14*Cost!N14</f>
        <v>3.683540906970419</v>
      </c>
      <c r="N68" s="124">
        <f>Incidence!O14*Cost!O14</f>
        <v>99.083754041055428</v>
      </c>
      <c r="O68" s="124">
        <f>Incidence!P14*Cost!P14</f>
        <v>38.856999999999999</v>
      </c>
      <c r="P68" s="179">
        <f t="shared" si="55"/>
        <v>512.43726681156238</v>
      </c>
      <c r="Q68" s="179">
        <f t="shared" si="56"/>
        <v>495.80461574557251</v>
      </c>
      <c r="S68" s="205">
        <v>12</v>
      </c>
      <c r="T68" s="245">
        <f t="shared" si="37"/>
        <v>135.02721980484668</v>
      </c>
      <c r="U68" s="102">
        <f t="shared" si="38"/>
        <v>174.22867071593123</v>
      </c>
      <c r="V68" s="102">
        <f t="shared" si="39"/>
        <v>53.805913015214053</v>
      </c>
      <c r="W68" s="102">
        <f t="shared" si="40"/>
        <v>6.1492472017387483</v>
      </c>
      <c r="X68" s="102">
        <f t="shared" si="41"/>
        <v>6.4054658351445299</v>
      </c>
      <c r="Y68" s="102">
        <f t="shared" si="42"/>
        <v>3.0746236008693741</v>
      </c>
      <c r="Z68" s="102">
        <f t="shared" si="43"/>
        <v>2.8696486941447494</v>
      </c>
      <c r="AA68" s="102">
        <f t="shared" si="44"/>
        <v>1.2298494403477496</v>
      </c>
      <c r="AB68" s="102">
        <f t="shared" si="45"/>
        <v>0.92238708026081229</v>
      </c>
      <c r="AC68" s="102">
        <f t="shared" si="57"/>
        <v>0.51243726681156243</v>
      </c>
      <c r="AD68" s="136">
        <f t="shared" si="58"/>
        <v>384.22546265530957</v>
      </c>
      <c r="AF68" s="205">
        <v>12</v>
      </c>
      <c r="AG68" s="245">
        <f t="shared" si="46"/>
        <v>130.64451624895835</v>
      </c>
      <c r="AH68" s="102">
        <f t="shared" si="47"/>
        <v>168.57356935349466</v>
      </c>
      <c r="AI68" s="102">
        <f t="shared" si="48"/>
        <v>52.059484653285125</v>
      </c>
      <c r="AJ68" s="102">
        <f t="shared" si="49"/>
        <v>5.9496553889468702</v>
      </c>
      <c r="AK68" s="102">
        <f t="shared" si="50"/>
        <v>6.197557696819656</v>
      </c>
      <c r="AL68" s="102">
        <f t="shared" si="51"/>
        <v>2.9748276944734355</v>
      </c>
      <c r="AM68" s="102">
        <f t="shared" si="52"/>
        <v>2.7765058481752063</v>
      </c>
      <c r="AN68" s="102">
        <f t="shared" si="53"/>
        <v>1.1899310777893739</v>
      </c>
      <c r="AO68" s="102">
        <f t="shared" si="54"/>
        <v>0.89244830834203059</v>
      </c>
      <c r="AP68" s="102">
        <f t="shared" si="59"/>
        <v>0.4958046157455725</v>
      </c>
      <c r="AQ68" s="136">
        <f t="shared" si="60"/>
        <v>371.75430088603031</v>
      </c>
    </row>
    <row r="69" spans="1:43" x14ac:dyDescent="0.25">
      <c r="A69" s="168">
        <v>13</v>
      </c>
      <c r="B69" s="100" t="s">
        <v>420</v>
      </c>
      <c r="C69" s="240">
        <f>Incidence!D15*Cost!C15</f>
        <v>39.254040480180493</v>
      </c>
      <c r="D69" s="124">
        <f>Incidence!E15*Cost!D15</f>
        <v>138.67840000000001</v>
      </c>
      <c r="E69" s="124">
        <f>Incidence!F15*Cost!E15</f>
        <v>51.274120931578132</v>
      </c>
      <c r="F69" s="124">
        <f>Incidence!G15*Cost!F15</f>
        <v>14.808825372193732</v>
      </c>
      <c r="G69" s="124">
        <f>Incidence!H15*Cost!G15</f>
        <v>4.5964779406533802</v>
      </c>
      <c r="H69" s="124">
        <f>Incidence!I15*Cost!H15</f>
        <v>52.200721520792712</v>
      </c>
      <c r="I69" s="124">
        <f>IF(Inputs!$C$11="Male",Incidence!J15*Cost!J15,Incidence!J15*Cost!I15)</f>
        <v>16.46002365482234</v>
      </c>
      <c r="J69" s="124">
        <f>Incidence!K15*Cost!K15</f>
        <v>1.2348357411167517</v>
      </c>
      <c r="K69" s="124">
        <f>Incidence!L15*Cost!L15</f>
        <v>47.660331642652196</v>
      </c>
      <c r="L69" s="124">
        <f>Incidence!M15*Cost!M15</f>
        <v>5.1696927501228087</v>
      </c>
      <c r="M69" s="124">
        <f>Incidence!N15*Cost!N15</f>
        <v>3.7201384321266082</v>
      </c>
      <c r="N69" s="124">
        <f>Incidence!O15*Cost!O15</f>
        <v>100.06819272998793</v>
      </c>
      <c r="O69" s="124">
        <f>Incidence!P15*Cost!P15</f>
        <v>38.856999999999999</v>
      </c>
      <c r="P69" s="179">
        <f t="shared" si="55"/>
        <v>513.982801196227</v>
      </c>
      <c r="Q69" s="179">
        <f t="shared" si="56"/>
        <v>497.52277754140471</v>
      </c>
      <c r="S69" s="205">
        <v>13</v>
      </c>
      <c r="T69" s="245">
        <f t="shared" si="37"/>
        <v>135.43446811520582</v>
      </c>
      <c r="U69" s="102">
        <f t="shared" si="38"/>
        <v>174.7541524067172</v>
      </c>
      <c r="V69" s="102">
        <f t="shared" si="39"/>
        <v>53.968194125603837</v>
      </c>
      <c r="W69" s="102">
        <f t="shared" si="40"/>
        <v>6.1677936143547241</v>
      </c>
      <c r="X69" s="102">
        <f t="shared" si="41"/>
        <v>6.424785014952838</v>
      </c>
      <c r="Y69" s="102">
        <f t="shared" si="42"/>
        <v>3.083896807177362</v>
      </c>
      <c r="Z69" s="102">
        <f t="shared" si="43"/>
        <v>2.8783036866988714</v>
      </c>
      <c r="AA69" s="102">
        <f t="shared" si="44"/>
        <v>1.2335587228709446</v>
      </c>
      <c r="AB69" s="102">
        <f t="shared" si="45"/>
        <v>0.92516904215320872</v>
      </c>
      <c r="AC69" s="102">
        <f t="shared" si="57"/>
        <v>0.51398280119622708</v>
      </c>
      <c r="AD69" s="136">
        <f t="shared" si="58"/>
        <v>385.38430433693094</v>
      </c>
      <c r="AF69" s="205">
        <v>13</v>
      </c>
      <c r="AG69" s="245">
        <f t="shared" si="46"/>
        <v>131.09725188216015</v>
      </c>
      <c r="AH69" s="102">
        <f t="shared" si="47"/>
        <v>169.15774436407762</v>
      </c>
      <c r="AI69" s="102">
        <f t="shared" si="48"/>
        <v>52.2398916418475</v>
      </c>
      <c r="AJ69" s="102">
        <f t="shared" si="49"/>
        <v>5.9702733304968563</v>
      </c>
      <c r="AK69" s="102">
        <f t="shared" si="50"/>
        <v>6.219034719267559</v>
      </c>
      <c r="AL69" s="102">
        <f t="shared" si="51"/>
        <v>2.9851366652484286</v>
      </c>
      <c r="AM69" s="102">
        <f t="shared" si="52"/>
        <v>2.7861275542318666</v>
      </c>
      <c r="AN69" s="102">
        <f t="shared" si="53"/>
        <v>1.1940546660993712</v>
      </c>
      <c r="AO69" s="102">
        <f t="shared" si="54"/>
        <v>0.8955409995745286</v>
      </c>
      <c r="AP69" s="102">
        <f t="shared" si="59"/>
        <v>0.49752277754140473</v>
      </c>
      <c r="AQ69" s="136">
        <f t="shared" si="60"/>
        <v>373.04257860054526</v>
      </c>
    </row>
    <row r="70" spans="1:43" x14ac:dyDescent="0.25">
      <c r="A70" s="168">
        <v>14</v>
      </c>
      <c r="B70" s="100" t="s">
        <v>420</v>
      </c>
      <c r="C70" s="240">
        <f>Incidence!D16*Cost!C16</f>
        <v>39.254040480180493</v>
      </c>
      <c r="D70" s="124">
        <f>Incidence!E16*Cost!D16</f>
        <v>138.67840000000001</v>
      </c>
      <c r="E70" s="124">
        <f>Incidence!F16*Cost!E16</f>
        <v>51.274120931578132</v>
      </c>
      <c r="F70" s="124">
        <f>Incidence!G16*Cost!F16</f>
        <v>14.954509832323527</v>
      </c>
      <c r="G70" s="124">
        <f>Incidence!H16*Cost!G16</f>
        <v>4.5964779406533802</v>
      </c>
      <c r="H70" s="124">
        <f>Incidence!I16*Cost!H16</f>
        <v>52.71425542655556</v>
      </c>
      <c r="I70" s="124">
        <f>IF(Inputs!$C$11="Male",Incidence!J16*Cost!J16,Incidence!J16*Cost!I16)</f>
        <v>16.287396243654825</v>
      </c>
      <c r="J70" s="124">
        <f>Incidence!K16*Cost!K16</f>
        <v>1.221885182741117</v>
      </c>
      <c r="K70" s="124">
        <f>Incidence!L16*Cost!L16</f>
        <v>47.660331642652196</v>
      </c>
      <c r="L70" s="124">
        <f>Incidence!M16*Cost!M16</f>
        <v>5.2205505243492993</v>
      </c>
      <c r="M70" s="124">
        <f>Incidence!N16*Cost!N16</f>
        <v>3.7567359572827974</v>
      </c>
      <c r="N70" s="124">
        <f>Incidence!O16*Cost!O16</f>
        <v>101.05263141892043</v>
      </c>
      <c r="O70" s="124">
        <f>Incidence!P16*Cost!P16</f>
        <v>38.856999999999999</v>
      </c>
      <c r="P70" s="179">
        <f t="shared" si="55"/>
        <v>515.52833558089173</v>
      </c>
      <c r="Q70" s="179">
        <f t="shared" si="56"/>
        <v>499.24093933723691</v>
      </c>
      <c r="S70" s="205">
        <v>14</v>
      </c>
      <c r="T70" s="245">
        <f t="shared" si="37"/>
        <v>135.84171642556498</v>
      </c>
      <c r="U70" s="102">
        <f t="shared" si="38"/>
        <v>175.27963409750319</v>
      </c>
      <c r="V70" s="102">
        <f t="shared" si="39"/>
        <v>54.130475235993636</v>
      </c>
      <c r="W70" s="102">
        <f t="shared" si="40"/>
        <v>6.1863400269707007</v>
      </c>
      <c r="X70" s="102">
        <f t="shared" si="41"/>
        <v>6.4441041947611462</v>
      </c>
      <c r="Y70" s="102">
        <f t="shared" si="42"/>
        <v>3.0931700134853504</v>
      </c>
      <c r="Z70" s="102">
        <f t="shared" si="43"/>
        <v>2.8869586792529942</v>
      </c>
      <c r="AA70" s="102">
        <f t="shared" si="44"/>
        <v>1.2372680053941401</v>
      </c>
      <c r="AB70" s="102">
        <f t="shared" si="45"/>
        <v>0.92795100404560515</v>
      </c>
      <c r="AC70" s="102">
        <f t="shared" si="57"/>
        <v>0.51552833558089173</v>
      </c>
      <c r="AD70" s="136">
        <f t="shared" si="58"/>
        <v>386.54314601855259</v>
      </c>
      <c r="AF70" s="205">
        <v>14</v>
      </c>
      <c r="AG70" s="245">
        <f t="shared" si="46"/>
        <v>131.54998751536192</v>
      </c>
      <c r="AH70" s="102">
        <f t="shared" si="47"/>
        <v>169.74191937466057</v>
      </c>
      <c r="AI70" s="102">
        <f t="shared" si="48"/>
        <v>52.420298630409881</v>
      </c>
      <c r="AJ70" s="102">
        <f t="shared" si="49"/>
        <v>5.9908912720468432</v>
      </c>
      <c r="AK70" s="102">
        <f t="shared" si="50"/>
        <v>6.2405117417154612</v>
      </c>
      <c r="AL70" s="102">
        <f t="shared" si="51"/>
        <v>2.9954456360234216</v>
      </c>
      <c r="AM70" s="102">
        <f t="shared" si="52"/>
        <v>2.795749260288527</v>
      </c>
      <c r="AN70" s="102">
        <f t="shared" si="53"/>
        <v>1.1981782544093684</v>
      </c>
      <c r="AO70" s="102">
        <f t="shared" si="54"/>
        <v>0.8986336908070266</v>
      </c>
      <c r="AP70" s="102">
        <f t="shared" si="59"/>
        <v>0.4992409393372369</v>
      </c>
      <c r="AQ70" s="136">
        <f t="shared" si="60"/>
        <v>374.3308563150602</v>
      </c>
    </row>
    <row r="71" spans="1:43" x14ac:dyDescent="0.25">
      <c r="A71" s="168">
        <v>15</v>
      </c>
      <c r="B71" s="100" t="s">
        <v>420</v>
      </c>
      <c r="C71" s="240">
        <f>Incidence!D17*Cost!C17</f>
        <v>39.254040480180493</v>
      </c>
      <c r="D71" s="124">
        <f>Incidence!E17*Cost!D17</f>
        <v>138.67840000000001</v>
      </c>
      <c r="E71" s="124">
        <f>Incidence!F17*Cost!E17</f>
        <v>51.274120931578132</v>
      </c>
      <c r="F71" s="124">
        <f>Incidence!G17*Cost!F17</f>
        <v>15.100194292453326</v>
      </c>
      <c r="G71" s="124">
        <f>Incidence!H17*Cost!G17</f>
        <v>4.5964779406533802</v>
      </c>
      <c r="H71" s="124">
        <f>Incidence!I17*Cost!H17</f>
        <v>53.227789332318395</v>
      </c>
      <c r="I71" s="124">
        <f>IF(Inputs!$C$11="Male",Incidence!J17*Cost!J17,Incidence!J17*Cost!I17)</f>
        <v>16.114768832487314</v>
      </c>
      <c r="J71" s="124">
        <f>Incidence!K17*Cost!K17</f>
        <v>1.2089346243654826</v>
      </c>
      <c r="K71" s="124">
        <f>Incidence!L17*Cost!L17</f>
        <v>47.660331642652196</v>
      </c>
      <c r="L71" s="124">
        <f>Incidence!M17*Cost!M17</f>
        <v>5.2714082985757909</v>
      </c>
      <c r="M71" s="124">
        <f>Incidence!N17*Cost!N17</f>
        <v>3.7933334824389866</v>
      </c>
      <c r="N71" s="124">
        <f>Incidence!O17*Cost!O17</f>
        <v>102.03707010785291</v>
      </c>
      <c r="O71" s="124">
        <f>Incidence!P17*Cost!P17</f>
        <v>38.856999999999999</v>
      </c>
      <c r="P71" s="179">
        <f t="shared" si="55"/>
        <v>517.07386996555647</v>
      </c>
      <c r="Q71" s="179">
        <f t="shared" si="56"/>
        <v>500.95910113306911</v>
      </c>
      <c r="S71" s="205">
        <v>15</v>
      </c>
      <c r="T71" s="245">
        <f t="shared" si="37"/>
        <v>136.24896473592415</v>
      </c>
      <c r="U71" s="102">
        <f t="shared" si="38"/>
        <v>175.80511578828921</v>
      </c>
      <c r="V71" s="102">
        <f t="shared" si="39"/>
        <v>54.292756346383435</v>
      </c>
      <c r="W71" s="102">
        <f t="shared" si="40"/>
        <v>6.2048864395866774</v>
      </c>
      <c r="X71" s="102">
        <f t="shared" si="41"/>
        <v>6.4634233745694569</v>
      </c>
      <c r="Y71" s="102">
        <f t="shared" si="42"/>
        <v>3.1024432197933387</v>
      </c>
      <c r="Z71" s="102">
        <f t="shared" si="43"/>
        <v>2.8956136718071162</v>
      </c>
      <c r="AA71" s="102">
        <f t="shared" si="44"/>
        <v>1.2409772879173355</v>
      </c>
      <c r="AB71" s="102">
        <f t="shared" si="45"/>
        <v>0.9307329659380017</v>
      </c>
      <c r="AC71" s="102">
        <f t="shared" si="57"/>
        <v>0.51707386996555649</v>
      </c>
      <c r="AD71" s="136">
        <f t="shared" si="58"/>
        <v>387.70198770017424</v>
      </c>
      <c r="AF71" s="205">
        <v>15</v>
      </c>
      <c r="AG71" s="245">
        <f t="shared" si="46"/>
        <v>132.00272314856372</v>
      </c>
      <c r="AH71" s="102">
        <f t="shared" si="47"/>
        <v>170.32609438524352</v>
      </c>
      <c r="AI71" s="102">
        <f t="shared" si="48"/>
        <v>52.600705618972263</v>
      </c>
      <c r="AJ71" s="102">
        <f t="shared" si="49"/>
        <v>6.0115092135968293</v>
      </c>
      <c r="AK71" s="102">
        <f t="shared" si="50"/>
        <v>6.2619887641633634</v>
      </c>
      <c r="AL71" s="102">
        <f t="shared" si="51"/>
        <v>3.0057546067984151</v>
      </c>
      <c r="AM71" s="102">
        <f t="shared" si="52"/>
        <v>2.8053709663451873</v>
      </c>
      <c r="AN71" s="102">
        <f t="shared" si="53"/>
        <v>1.2023018427193657</v>
      </c>
      <c r="AO71" s="102">
        <f t="shared" si="54"/>
        <v>0.90172638203952449</v>
      </c>
      <c r="AP71" s="102">
        <f t="shared" si="59"/>
        <v>0.50095910113306907</v>
      </c>
      <c r="AQ71" s="136">
        <f t="shared" si="60"/>
        <v>375.61913402957521</v>
      </c>
    </row>
    <row r="72" spans="1:43" x14ac:dyDescent="0.25">
      <c r="A72" s="168">
        <v>16</v>
      </c>
      <c r="B72" s="100" t="s">
        <v>420</v>
      </c>
      <c r="C72" s="240">
        <f>Incidence!D18*Cost!C18</f>
        <v>39.254040480180493</v>
      </c>
      <c r="D72" s="124">
        <f>Incidence!E18*Cost!D18</f>
        <v>138.67840000000001</v>
      </c>
      <c r="E72" s="124">
        <f>Incidence!F18*Cost!E18</f>
        <v>51.274120931578132</v>
      </c>
      <c r="F72" s="124">
        <f>Incidence!G18*Cost!F18</f>
        <v>15.245878752583119</v>
      </c>
      <c r="G72" s="124">
        <f>Incidence!H18*Cost!G18</f>
        <v>4.5964779406533802</v>
      </c>
      <c r="H72" s="124">
        <f>Incidence!I18*Cost!H18</f>
        <v>53.741323238081229</v>
      </c>
      <c r="I72" s="124">
        <f>IF(Inputs!$C$11="Male",Incidence!J18*Cost!J18,Incidence!J18*Cost!I18)</f>
        <v>15.9421414213198</v>
      </c>
      <c r="J72" s="124">
        <f>Incidence!K18*Cost!K18</f>
        <v>1.195984065989848</v>
      </c>
      <c r="K72" s="124">
        <f>Incidence!L18*Cost!L18</f>
        <v>47.660331642652196</v>
      </c>
      <c r="L72" s="124">
        <f>Incidence!M18*Cost!M18</f>
        <v>5.3222660728022806</v>
      </c>
      <c r="M72" s="124">
        <f>Incidence!N18*Cost!N18</f>
        <v>3.8299310075951749</v>
      </c>
      <c r="N72" s="124">
        <f>Incidence!O18*Cost!O18</f>
        <v>103.0215087967854</v>
      </c>
      <c r="O72" s="124">
        <f>Incidence!P18*Cost!P18</f>
        <v>38.856999999999999</v>
      </c>
      <c r="P72" s="179">
        <f t="shared" si="55"/>
        <v>518.61940435022098</v>
      </c>
      <c r="Q72" s="179">
        <f t="shared" si="56"/>
        <v>502.6772629289012</v>
      </c>
      <c r="S72" s="205">
        <v>16</v>
      </c>
      <c r="T72" s="245">
        <f t="shared" si="37"/>
        <v>136.65621304628323</v>
      </c>
      <c r="U72" s="102">
        <f t="shared" si="38"/>
        <v>176.33059747907515</v>
      </c>
      <c r="V72" s="102">
        <f t="shared" si="39"/>
        <v>54.455037456773205</v>
      </c>
      <c r="W72" s="102">
        <f t="shared" si="40"/>
        <v>6.2234328522026514</v>
      </c>
      <c r="X72" s="102">
        <f t="shared" si="41"/>
        <v>6.4827425543777624</v>
      </c>
      <c r="Y72" s="102">
        <f t="shared" si="42"/>
        <v>3.1117164261013257</v>
      </c>
      <c r="Z72" s="102">
        <f t="shared" si="43"/>
        <v>2.9042686643612377</v>
      </c>
      <c r="AA72" s="102">
        <f t="shared" si="44"/>
        <v>1.2446865704405303</v>
      </c>
      <c r="AB72" s="102">
        <f t="shared" si="45"/>
        <v>0.9335149278303978</v>
      </c>
      <c r="AC72" s="102">
        <f t="shared" si="57"/>
        <v>0.51861940435022102</v>
      </c>
      <c r="AD72" s="136">
        <f t="shared" si="58"/>
        <v>388.86082938179567</v>
      </c>
      <c r="AF72" s="205">
        <v>16</v>
      </c>
      <c r="AG72" s="245">
        <f t="shared" si="46"/>
        <v>132.45545878176549</v>
      </c>
      <c r="AH72" s="102">
        <f t="shared" si="47"/>
        <v>170.91026939582642</v>
      </c>
      <c r="AI72" s="102">
        <f t="shared" si="48"/>
        <v>52.781112607534631</v>
      </c>
      <c r="AJ72" s="102">
        <f t="shared" si="49"/>
        <v>6.0321271551468145</v>
      </c>
      <c r="AK72" s="102">
        <f t="shared" si="50"/>
        <v>6.2834657866112655</v>
      </c>
      <c r="AL72" s="102">
        <f t="shared" si="51"/>
        <v>3.0160635775734073</v>
      </c>
      <c r="AM72" s="102">
        <f t="shared" si="52"/>
        <v>2.8149926724018468</v>
      </c>
      <c r="AN72" s="102">
        <f t="shared" si="53"/>
        <v>1.2064254310293627</v>
      </c>
      <c r="AO72" s="102">
        <f t="shared" si="54"/>
        <v>0.90481907327202216</v>
      </c>
      <c r="AP72" s="102">
        <f t="shared" si="59"/>
        <v>0.50267726292890125</v>
      </c>
      <c r="AQ72" s="136">
        <f t="shared" si="60"/>
        <v>376.9074117440901</v>
      </c>
    </row>
    <row r="73" spans="1:43" x14ac:dyDescent="0.25">
      <c r="A73" s="168">
        <v>17</v>
      </c>
      <c r="B73" s="100" t="s">
        <v>420</v>
      </c>
      <c r="C73" s="240">
        <f>Incidence!D19*Cost!C19</f>
        <v>39.254040480180493</v>
      </c>
      <c r="D73" s="124">
        <f>Incidence!E19*Cost!D19</f>
        <v>138.67840000000001</v>
      </c>
      <c r="E73" s="124">
        <f>Incidence!F19*Cost!E19</f>
        <v>51.274120931578132</v>
      </c>
      <c r="F73" s="124">
        <f>Incidence!G19*Cost!F19</f>
        <v>15.391563212712914</v>
      </c>
      <c r="G73" s="124">
        <f>Incidence!H19*Cost!G19</f>
        <v>4.5964779406533802</v>
      </c>
      <c r="H73" s="124">
        <f>Incidence!I19*Cost!H19</f>
        <v>54.254857143844077</v>
      </c>
      <c r="I73" s="124">
        <f>IF(Inputs!$C$11="Male",Incidence!J19*Cost!J19,Incidence!J19*Cost!I19)</f>
        <v>15.769514010152287</v>
      </c>
      <c r="J73" s="124">
        <f>Incidence!K19*Cost!K19</f>
        <v>1.1830335076142133</v>
      </c>
      <c r="K73" s="124">
        <f>Incidence!L19*Cost!L19</f>
        <v>47.660331642652196</v>
      </c>
      <c r="L73" s="124">
        <f>Incidence!M19*Cost!M19</f>
        <v>5.3731238470287721</v>
      </c>
      <c r="M73" s="124">
        <f>Incidence!N19*Cost!N19</f>
        <v>3.8665285327513637</v>
      </c>
      <c r="N73" s="124">
        <f>Incidence!O19*Cost!O19</f>
        <v>104.00594748571788</v>
      </c>
      <c r="O73" s="124">
        <f>Incidence!P19*Cost!P19</f>
        <v>38.856999999999999</v>
      </c>
      <c r="P73" s="179">
        <f t="shared" si="55"/>
        <v>520.16493873488571</v>
      </c>
      <c r="Q73" s="179">
        <f t="shared" si="56"/>
        <v>504.3954247247334</v>
      </c>
      <c r="S73" s="205">
        <v>17</v>
      </c>
      <c r="T73" s="245">
        <f t="shared" si="37"/>
        <v>137.06346135664239</v>
      </c>
      <c r="U73" s="102">
        <f t="shared" si="38"/>
        <v>176.85607916986115</v>
      </c>
      <c r="V73" s="102">
        <f t="shared" si="39"/>
        <v>54.617318567163004</v>
      </c>
      <c r="W73" s="102">
        <f t="shared" si="40"/>
        <v>6.241979264818629</v>
      </c>
      <c r="X73" s="102">
        <f t="shared" si="41"/>
        <v>6.5020617341860714</v>
      </c>
      <c r="Y73" s="102">
        <f t="shared" si="42"/>
        <v>3.1209896324093145</v>
      </c>
      <c r="Z73" s="102">
        <f t="shared" si="43"/>
        <v>2.91292365691536</v>
      </c>
      <c r="AA73" s="102">
        <f t="shared" si="44"/>
        <v>1.2483958529637256</v>
      </c>
      <c r="AB73" s="102">
        <f t="shared" si="45"/>
        <v>0.93629688972279446</v>
      </c>
      <c r="AC73" s="102">
        <f t="shared" si="57"/>
        <v>0.52016493873488578</v>
      </c>
      <c r="AD73" s="136">
        <f t="shared" si="58"/>
        <v>390.01967106341726</v>
      </c>
      <c r="AF73" s="205">
        <v>17</v>
      </c>
      <c r="AG73" s="245">
        <f t="shared" si="46"/>
        <v>132.90819441496726</v>
      </c>
      <c r="AH73" s="102">
        <f t="shared" si="47"/>
        <v>171.49444440640937</v>
      </c>
      <c r="AI73" s="102">
        <f t="shared" si="48"/>
        <v>52.961519596097013</v>
      </c>
      <c r="AJ73" s="102">
        <f t="shared" si="49"/>
        <v>6.0527450966968006</v>
      </c>
      <c r="AK73" s="102">
        <f t="shared" si="50"/>
        <v>6.3049428090591677</v>
      </c>
      <c r="AL73" s="102">
        <f t="shared" si="51"/>
        <v>3.0263725483484003</v>
      </c>
      <c r="AM73" s="102">
        <f t="shared" si="52"/>
        <v>2.8246143784585072</v>
      </c>
      <c r="AN73" s="102">
        <f t="shared" si="53"/>
        <v>1.21054901933936</v>
      </c>
      <c r="AO73" s="102">
        <f t="shared" si="54"/>
        <v>0.90791176450452005</v>
      </c>
      <c r="AP73" s="102">
        <f t="shared" si="59"/>
        <v>0.50439542472473342</v>
      </c>
      <c r="AQ73" s="136">
        <f t="shared" si="60"/>
        <v>378.19568945860516</v>
      </c>
    </row>
    <row r="74" spans="1:43" x14ac:dyDescent="0.25">
      <c r="A74" s="168">
        <v>18</v>
      </c>
      <c r="B74" s="100" t="s">
        <v>420</v>
      </c>
      <c r="C74" s="240">
        <f>Incidence!D20*Cost!C20</f>
        <v>39.254040480180493</v>
      </c>
      <c r="D74" s="124">
        <f>Incidence!E20*Cost!D20</f>
        <v>138.67840000000001</v>
      </c>
      <c r="E74" s="124">
        <f>Incidence!F20*Cost!E20</f>
        <v>51.274120931578132</v>
      </c>
      <c r="F74" s="124">
        <f>Incidence!G20*Cost!F20</f>
        <v>15.53724767284271</v>
      </c>
      <c r="G74" s="124">
        <f>Incidence!H20*Cost!G20</f>
        <v>4.5964779406533802</v>
      </c>
      <c r="H74" s="124">
        <f>Incidence!I20*Cost!H20</f>
        <v>54.768391049606912</v>
      </c>
      <c r="I74" s="124">
        <f>IF(Inputs!$C$11="Male",Incidence!J20*Cost!J20,Incidence!J20*Cost!I20)</f>
        <v>15.596886598984776</v>
      </c>
      <c r="J74" s="124">
        <f>Incidence!K20*Cost!K20</f>
        <v>1.1700829492385789</v>
      </c>
      <c r="K74" s="124">
        <f>Incidence!L20*Cost!L20</f>
        <v>47.660331642652196</v>
      </c>
      <c r="L74" s="124">
        <f>Incidence!M20*Cost!M20</f>
        <v>5.4239816212552636</v>
      </c>
      <c r="M74" s="124">
        <f>Incidence!N20*Cost!N20</f>
        <v>3.9031260579075528</v>
      </c>
      <c r="N74" s="124">
        <f>Incidence!O20*Cost!O20</f>
        <v>104.99038617465038</v>
      </c>
      <c r="O74" s="124">
        <f>Incidence!P20*Cost!P20</f>
        <v>38.856999999999999</v>
      </c>
      <c r="P74" s="179">
        <f t="shared" si="55"/>
        <v>521.71047311955044</v>
      </c>
      <c r="Q74" s="179">
        <f t="shared" si="56"/>
        <v>506.1135865205656</v>
      </c>
      <c r="S74" s="205">
        <v>18</v>
      </c>
      <c r="T74" s="245">
        <f t="shared" si="37"/>
        <v>137.47070966700156</v>
      </c>
      <c r="U74" s="102">
        <f t="shared" si="38"/>
        <v>177.38156086064717</v>
      </c>
      <c r="V74" s="102">
        <f t="shared" si="39"/>
        <v>54.779599677552802</v>
      </c>
      <c r="W74" s="102">
        <f t="shared" si="40"/>
        <v>6.2605256774346056</v>
      </c>
      <c r="X74" s="102">
        <f t="shared" si="41"/>
        <v>6.5213809139943804</v>
      </c>
      <c r="Y74" s="102">
        <f t="shared" si="42"/>
        <v>3.1302628387173028</v>
      </c>
      <c r="Z74" s="102">
        <f t="shared" si="43"/>
        <v>2.9215786494694824</v>
      </c>
      <c r="AA74" s="102">
        <f t="shared" si="44"/>
        <v>1.252105135486921</v>
      </c>
      <c r="AB74" s="102">
        <f t="shared" si="45"/>
        <v>0.93907885161519089</v>
      </c>
      <c r="AC74" s="102">
        <f t="shared" si="57"/>
        <v>0.52171047311955043</v>
      </c>
      <c r="AD74" s="136">
        <f t="shared" si="58"/>
        <v>391.17851274503903</v>
      </c>
      <c r="AF74" s="205">
        <v>18</v>
      </c>
      <c r="AG74" s="245">
        <f t="shared" si="46"/>
        <v>133.36093004816905</v>
      </c>
      <c r="AH74" s="102">
        <f t="shared" si="47"/>
        <v>172.07861941699232</v>
      </c>
      <c r="AI74" s="102">
        <f t="shared" si="48"/>
        <v>53.141926584659394</v>
      </c>
      <c r="AJ74" s="102">
        <f t="shared" si="49"/>
        <v>6.0733630382467876</v>
      </c>
      <c r="AK74" s="102">
        <f t="shared" si="50"/>
        <v>6.3264198315070699</v>
      </c>
      <c r="AL74" s="102">
        <f t="shared" si="51"/>
        <v>3.0366815191233938</v>
      </c>
      <c r="AM74" s="102">
        <f t="shared" si="52"/>
        <v>2.8342360845151675</v>
      </c>
      <c r="AN74" s="102">
        <f t="shared" si="53"/>
        <v>1.2146726076493572</v>
      </c>
      <c r="AO74" s="102">
        <f t="shared" si="54"/>
        <v>0.91100445573701805</v>
      </c>
      <c r="AP74" s="102">
        <f t="shared" si="59"/>
        <v>0.50611358652056559</v>
      </c>
      <c r="AQ74" s="136">
        <f t="shared" si="60"/>
        <v>379.48396717312011</v>
      </c>
    </row>
    <row r="75" spans="1:43" x14ac:dyDescent="0.25">
      <c r="A75" s="168">
        <v>19</v>
      </c>
      <c r="B75" s="100" t="s">
        <v>420</v>
      </c>
      <c r="C75" s="240">
        <f>Incidence!D21*Cost!C21</f>
        <v>39.254040480180493</v>
      </c>
      <c r="D75" s="124">
        <f>Incidence!E21*Cost!D21</f>
        <v>138.67840000000001</v>
      </c>
      <c r="E75" s="124">
        <f>Incidence!F21*Cost!E21</f>
        <v>51.274120931578132</v>
      </c>
      <c r="F75" s="124">
        <f>Incidence!G21*Cost!F21</f>
        <v>15.682932132972505</v>
      </c>
      <c r="G75" s="124">
        <f>Incidence!H21*Cost!G21</f>
        <v>4.5964779406533802</v>
      </c>
      <c r="H75" s="124">
        <f>Incidence!I21*Cost!H21</f>
        <v>55.281924955369753</v>
      </c>
      <c r="I75" s="124">
        <f>IF(Inputs!$C$11="Male",Incidence!J21*Cost!J21,Incidence!J21*Cost!I21)</f>
        <v>15.424259187817261</v>
      </c>
      <c r="J75" s="124">
        <f>Incidence!K21*Cost!K21</f>
        <v>1.1571323908629443</v>
      </c>
      <c r="K75" s="124">
        <f>Incidence!L21*Cost!L21</f>
        <v>47.660331642652196</v>
      </c>
      <c r="L75" s="124">
        <f>Incidence!M21*Cost!M21</f>
        <v>5.4748393954817542</v>
      </c>
      <c r="M75" s="124">
        <f>Incidence!N21*Cost!N21</f>
        <v>3.9397235830637416</v>
      </c>
      <c r="N75" s="124">
        <f>Incidence!O21*Cost!O21</f>
        <v>105.97482486358288</v>
      </c>
      <c r="O75" s="124">
        <f>Incidence!P21*Cost!P21</f>
        <v>38.856999999999999</v>
      </c>
      <c r="P75" s="179">
        <f t="shared" si="55"/>
        <v>523.25600750421506</v>
      </c>
      <c r="Q75" s="179">
        <f t="shared" si="56"/>
        <v>507.83174831639781</v>
      </c>
      <c r="S75" s="205">
        <v>19</v>
      </c>
      <c r="T75" s="245">
        <f t="shared" si="37"/>
        <v>137.87795797736067</v>
      </c>
      <c r="U75" s="102">
        <f t="shared" si="38"/>
        <v>177.90704255143314</v>
      </c>
      <c r="V75" s="102">
        <f t="shared" si="39"/>
        <v>54.94188078794258</v>
      </c>
      <c r="W75" s="102">
        <f t="shared" si="40"/>
        <v>6.2790720900505805</v>
      </c>
      <c r="X75" s="102">
        <f t="shared" si="41"/>
        <v>6.5407000938026885</v>
      </c>
      <c r="Y75" s="102">
        <f t="shared" si="42"/>
        <v>3.1395360450252903</v>
      </c>
      <c r="Z75" s="102">
        <f t="shared" si="43"/>
        <v>2.9302336420236044</v>
      </c>
      <c r="AA75" s="102">
        <f t="shared" si="44"/>
        <v>1.2558144180101161</v>
      </c>
      <c r="AB75" s="102">
        <f t="shared" si="45"/>
        <v>0.9418608135075871</v>
      </c>
      <c r="AC75" s="102">
        <f t="shared" si="57"/>
        <v>0.52325600750421508</v>
      </c>
      <c r="AD75" s="136">
        <f t="shared" si="58"/>
        <v>392.33735442666045</v>
      </c>
      <c r="AF75" s="205">
        <v>19</v>
      </c>
      <c r="AG75" s="245">
        <f t="shared" si="46"/>
        <v>133.81366568137082</v>
      </c>
      <c r="AH75" s="102">
        <f t="shared" si="47"/>
        <v>172.66279442757528</v>
      </c>
      <c r="AI75" s="102">
        <f t="shared" si="48"/>
        <v>53.322333573221776</v>
      </c>
      <c r="AJ75" s="102">
        <f t="shared" si="49"/>
        <v>6.0939809797967737</v>
      </c>
      <c r="AK75" s="102">
        <f t="shared" si="50"/>
        <v>6.3478968539549729</v>
      </c>
      <c r="AL75" s="102">
        <f t="shared" si="51"/>
        <v>3.0469904898983868</v>
      </c>
      <c r="AM75" s="102">
        <f t="shared" si="52"/>
        <v>2.8438577905718279</v>
      </c>
      <c r="AN75" s="102">
        <f t="shared" si="53"/>
        <v>1.2187961959593547</v>
      </c>
      <c r="AO75" s="102">
        <f t="shared" si="54"/>
        <v>0.91409714696951605</v>
      </c>
      <c r="AP75" s="102">
        <f t="shared" si="59"/>
        <v>0.50783174831639788</v>
      </c>
      <c r="AQ75" s="136">
        <f t="shared" si="60"/>
        <v>380.77224488763505</v>
      </c>
    </row>
    <row r="76" spans="1:43" ht="16.5" thickBot="1" x14ac:dyDescent="0.3">
      <c r="A76" s="167">
        <v>20</v>
      </c>
      <c r="B76" s="132" t="s">
        <v>420</v>
      </c>
      <c r="C76" s="241">
        <f>Incidence!D22*Cost!C22</f>
        <v>39.254040480180493</v>
      </c>
      <c r="D76" s="128">
        <f>Incidence!E22*Cost!D22</f>
        <v>138.67840000000001</v>
      </c>
      <c r="E76" s="128">
        <f>Incidence!F22*Cost!E22</f>
        <v>51.274120931578132</v>
      </c>
      <c r="F76" s="128">
        <f>Incidence!G22*Cost!F22</f>
        <v>15.828616593102302</v>
      </c>
      <c r="G76" s="128">
        <f>Incidence!H22*Cost!G22</f>
        <v>4.5964779406533802</v>
      </c>
      <c r="H76" s="128">
        <f>Incidence!I22*Cost!H22</f>
        <v>55.795458861132587</v>
      </c>
      <c r="I76" s="128">
        <f>IF(Inputs!$C$11="Male",Incidence!J22*Cost!J22,Incidence!J22*Cost!I22)</f>
        <v>15.251631776649749</v>
      </c>
      <c r="J76" s="128">
        <f>Incidence!K22*Cost!K22</f>
        <v>1.1441818324873099</v>
      </c>
      <c r="K76" s="128">
        <f>Incidence!L22*Cost!L22</f>
        <v>47.660331642652196</v>
      </c>
      <c r="L76" s="128">
        <f>Incidence!M22*Cost!M22</f>
        <v>5.5256971697082449</v>
      </c>
      <c r="M76" s="128">
        <f>Incidence!N22*Cost!N22</f>
        <v>3.9763211082199312</v>
      </c>
      <c r="N76" s="128">
        <f>Incidence!O22*Cost!O22</f>
        <v>106.95926355251538</v>
      </c>
      <c r="O76" s="128">
        <f>Incidence!P22*Cost!P22</f>
        <v>38.856999999999999</v>
      </c>
      <c r="P76" s="180">
        <f t="shared" si="55"/>
        <v>524.80154188887968</v>
      </c>
      <c r="Q76" s="180">
        <f t="shared" si="56"/>
        <v>509.5499101122299</v>
      </c>
      <c r="S76" s="204">
        <v>20</v>
      </c>
      <c r="T76" s="246">
        <f t="shared" si="37"/>
        <v>138.2852062877198</v>
      </c>
      <c r="U76" s="112">
        <f t="shared" si="38"/>
        <v>178.4325242422191</v>
      </c>
      <c r="V76" s="112">
        <f t="shared" si="39"/>
        <v>55.104161898332372</v>
      </c>
      <c r="W76" s="112">
        <f t="shared" si="40"/>
        <v>6.2976185026665563</v>
      </c>
      <c r="X76" s="112">
        <f t="shared" si="41"/>
        <v>6.5600192736109966</v>
      </c>
      <c r="Y76" s="112">
        <f t="shared" si="42"/>
        <v>3.1488092513332782</v>
      </c>
      <c r="Z76" s="112">
        <f t="shared" si="43"/>
        <v>2.9388886345777263</v>
      </c>
      <c r="AA76" s="112">
        <f t="shared" si="44"/>
        <v>1.2595237005333111</v>
      </c>
      <c r="AB76" s="112">
        <f t="shared" si="45"/>
        <v>0.94464277539998354</v>
      </c>
      <c r="AC76" s="112">
        <f t="shared" si="57"/>
        <v>0.52480154188887973</v>
      </c>
      <c r="AD76" s="201">
        <f t="shared" si="58"/>
        <v>393.49619610828199</v>
      </c>
      <c r="AF76" s="204">
        <v>20</v>
      </c>
      <c r="AG76" s="246">
        <f t="shared" si="46"/>
        <v>134.26640131457259</v>
      </c>
      <c r="AH76" s="112">
        <f t="shared" si="47"/>
        <v>173.24696943815817</v>
      </c>
      <c r="AI76" s="112">
        <f t="shared" si="48"/>
        <v>53.502740561784137</v>
      </c>
      <c r="AJ76" s="112">
        <f t="shared" si="49"/>
        <v>6.1145989213467589</v>
      </c>
      <c r="AK76" s="112">
        <f t="shared" si="50"/>
        <v>6.3693738764028742</v>
      </c>
      <c r="AL76" s="112">
        <f t="shared" si="51"/>
        <v>3.057299460673379</v>
      </c>
      <c r="AM76" s="112">
        <f t="shared" si="52"/>
        <v>2.8534794966284873</v>
      </c>
      <c r="AN76" s="112">
        <f t="shared" si="53"/>
        <v>1.2229197842693516</v>
      </c>
      <c r="AO76" s="112">
        <f t="shared" si="54"/>
        <v>0.91718983820201383</v>
      </c>
      <c r="AP76" s="112">
        <f t="shared" si="59"/>
        <v>0.50954991011222994</v>
      </c>
      <c r="AQ76" s="201">
        <f t="shared" si="60"/>
        <v>382.06052260215012</v>
      </c>
    </row>
  </sheetData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35"/>
  <sheetViews>
    <sheetView workbookViewId="0">
      <selection activeCell="G8" sqref="G8"/>
    </sheetView>
  </sheetViews>
  <sheetFormatPr defaultColWidth="11" defaultRowHeight="15.75" x14ac:dyDescent="0.25"/>
  <cols>
    <col min="1" max="1" width="29.875" customWidth="1"/>
    <col min="2" max="2" width="12" customWidth="1"/>
    <col min="3" max="3" width="20.875" bestFit="1" customWidth="1"/>
    <col min="5" max="5" width="24.875" bestFit="1" customWidth="1"/>
    <col min="6" max="6" width="12.125" customWidth="1"/>
    <col min="7" max="7" width="22.875" bestFit="1" customWidth="1"/>
  </cols>
  <sheetData>
    <row r="1" spans="1:9" x14ac:dyDescent="0.25">
      <c r="A1" s="4" t="s">
        <v>524</v>
      </c>
      <c r="B1" s="171"/>
      <c r="C1" s="4"/>
      <c r="D1" s="172"/>
      <c r="E1" s="4" t="s">
        <v>525</v>
      </c>
      <c r="F1" s="171"/>
      <c r="G1" s="4"/>
      <c r="H1" s="4"/>
      <c r="I1" s="4"/>
    </row>
    <row r="2" spans="1:9" x14ac:dyDescent="0.25">
      <c r="B2" s="173"/>
      <c r="D2" s="174"/>
      <c r="F2" s="173"/>
    </row>
    <row r="3" spans="1:9" x14ac:dyDescent="0.25">
      <c r="A3" s="4" t="s">
        <v>526</v>
      </c>
      <c r="B3" s="171" t="s">
        <v>527</v>
      </c>
      <c r="C3" s="4" t="s">
        <v>528</v>
      </c>
      <c r="D3" s="172"/>
      <c r="E3" s="4" t="s">
        <v>526</v>
      </c>
      <c r="F3" s="171" t="s">
        <v>527</v>
      </c>
      <c r="G3" s="4" t="s">
        <v>528</v>
      </c>
    </row>
    <row r="4" spans="1:9" x14ac:dyDescent="0.25">
      <c r="A4" s="111" t="s">
        <v>586</v>
      </c>
      <c r="B4" s="173">
        <v>7000</v>
      </c>
      <c r="C4" t="s">
        <v>529</v>
      </c>
      <c r="D4" s="174"/>
      <c r="E4" t="s">
        <v>609</v>
      </c>
      <c r="F4" s="173">
        <f>600*7</f>
        <v>4200</v>
      </c>
      <c r="G4" t="s">
        <v>530</v>
      </c>
    </row>
    <row r="5" spans="1:9" x14ac:dyDescent="0.25">
      <c r="A5" s="111" t="s">
        <v>623</v>
      </c>
      <c r="B5" s="173">
        <f>0.043*SUM(B11:B17)</f>
        <v>16899</v>
      </c>
      <c r="C5" t="s">
        <v>531</v>
      </c>
      <c r="D5" s="174"/>
      <c r="E5" t="s">
        <v>621</v>
      </c>
      <c r="F5" s="173">
        <f>50*7</f>
        <v>350</v>
      </c>
      <c r="G5" t="s">
        <v>532</v>
      </c>
    </row>
    <row r="6" spans="1:9" x14ac:dyDescent="0.25">
      <c r="A6" s="111" t="s">
        <v>587</v>
      </c>
      <c r="B6" s="173">
        <f>500*7</f>
        <v>3500</v>
      </c>
      <c r="C6" t="s">
        <v>533</v>
      </c>
      <c r="D6" s="174"/>
      <c r="E6" t="s">
        <v>610</v>
      </c>
      <c r="F6" s="173">
        <f>600*2</f>
        <v>1200</v>
      </c>
      <c r="G6" t="s">
        <v>530</v>
      </c>
    </row>
    <row r="7" spans="1:9" x14ac:dyDescent="0.25">
      <c r="A7" t="s">
        <v>534</v>
      </c>
      <c r="B7" s="173">
        <f>0.0765*SUM(B11:B17)</f>
        <v>30064.5</v>
      </c>
      <c r="C7" t="s">
        <v>531</v>
      </c>
      <c r="D7" s="174"/>
      <c r="E7" t="s">
        <v>611</v>
      </c>
      <c r="F7" s="173">
        <f>1000</f>
        <v>1000</v>
      </c>
      <c r="G7" t="s">
        <v>530</v>
      </c>
    </row>
    <row r="8" spans="1:9" x14ac:dyDescent="0.25">
      <c r="A8" s="111" t="s">
        <v>588</v>
      </c>
      <c r="B8" s="173">
        <f>5000*7</f>
        <v>35000</v>
      </c>
      <c r="C8" t="s">
        <v>535</v>
      </c>
      <c r="D8" s="174"/>
      <c r="E8" t="s">
        <v>612</v>
      </c>
      <c r="F8" s="173">
        <v>5000</v>
      </c>
      <c r="G8" s="111" t="s">
        <v>640</v>
      </c>
    </row>
    <row r="9" spans="1:9" x14ac:dyDescent="0.25">
      <c r="A9" t="s">
        <v>589</v>
      </c>
      <c r="B9" s="173">
        <f>2500*12</f>
        <v>30000</v>
      </c>
      <c r="C9" t="s">
        <v>536</v>
      </c>
      <c r="D9" s="174"/>
      <c r="E9" t="s">
        <v>613</v>
      </c>
      <c r="F9" s="173">
        <f>500*7</f>
        <v>3500</v>
      </c>
      <c r="G9" t="s">
        <v>537</v>
      </c>
    </row>
    <row r="10" spans="1:9" x14ac:dyDescent="0.25">
      <c r="A10" t="s">
        <v>590</v>
      </c>
      <c r="B10" s="173">
        <f>2500+200*12</f>
        <v>4900</v>
      </c>
      <c r="C10" t="s">
        <v>538</v>
      </c>
      <c r="D10" s="174"/>
      <c r="E10" t="s">
        <v>614</v>
      </c>
      <c r="F10" s="173">
        <f>50*7+5*30</f>
        <v>500</v>
      </c>
      <c r="G10" t="s">
        <v>539</v>
      </c>
    </row>
    <row r="11" spans="1:9" x14ac:dyDescent="0.25">
      <c r="A11" t="s">
        <v>591</v>
      </c>
      <c r="B11" s="173">
        <v>38000</v>
      </c>
      <c r="C11" t="s">
        <v>540</v>
      </c>
      <c r="D11" s="174"/>
      <c r="E11" t="s">
        <v>615</v>
      </c>
      <c r="F11" s="173">
        <f>240+(200*3)</f>
        <v>840</v>
      </c>
      <c r="G11" t="s">
        <v>398</v>
      </c>
    </row>
    <row r="12" spans="1:9" x14ac:dyDescent="0.25">
      <c r="A12" t="s">
        <v>592</v>
      </c>
      <c r="B12" s="173">
        <v>55000</v>
      </c>
      <c r="C12" t="s">
        <v>540</v>
      </c>
      <c r="D12" s="174"/>
      <c r="E12" s="111" t="s">
        <v>616</v>
      </c>
      <c r="F12" s="175">
        <v>1000</v>
      </c>
      <c r="G12" t="s">
        <v>541</v>
      </c>
    </row>
    <row r="13" spans="1:9" x14ac:dyDescent="0.25">
      <c r="A13" t="s">
        <v>593</v>
      </c>
      <c r="B13" s="173">
        <v>60000</v>
      </c>
      <c r="C13" t="s">
        <v>540</v>
      </c>
      <c r="D13" s="174"/>
      <c r="E13" t="s">
        <v>617</v>
      </c>
      <c r="F13" s="173">
        <v>100</v>
      </c>
      <c r="G13" t="s">
        <v>542</v>
      </c>
    </row>
    <row r="14" spans="1:9" x14ac:dyDescent="0.25">
      <c r="A14" t="s">
        <v>594</v>
      </c>
      <c r="B14" s="173">
        <v>90000</v>
      </c>
      <c r="C14" t="s">
        <v>540</v>
      </c>
      <c r="D14" s="174"/>
      <c r="E14" t="s">
        <v>622</v>
      </c>
      <c r="F14" s="173">
        <f>220*7</f>
        <v>1540</v>
      </c>
      <c r="G14" t="s">
        <v>543</v>
      </c>
    </row>
    <row r="15" spans="1:9" x14ac:dyDescent="0.25">
      <c r="A15" t="s">
        <v>595</v>
      </c>
      <c r="B15" s="173">
        <v>65000</v>
      </c>
      <c r="C15" t="s">
        <v>540</v>
      </c>
      <c r="D15" s="174"/>
      <c r="E15" t="s">
        <v>618</v>
      </c>
      <c r="F15" s="175">
        <v>800</v>
      </c>
      <c r="G15" t="s">
        <v>530</v>
      </c>
      <c r="H15" s="111"/>
    </row>
    <row r="16" spans="1:9" x14ac:dyDescent="0.25">
      <c r="A16" t="s">
        <v>596</v>
      </c>
      <c r="B16" s="173">
        <v>50000</v>
      </c>
      <c r="C16" t="s">
        <v>540</v>
      </c>
      <c r="D16" s="174"/>
      <c r="E16" t="s">
        <v>619</v>
      </c>
      <c r="F16" s="173">
        <v>600</v>
      </c>
      <c r="G16" t="s">
        <v>532</v>
      </c>
    </row>
    <row r="17" spans="1:7" x14ac:dyDescent="0.25">
      <c r="A17" t="s">
        <v>624</v>
      </c>
      <c r="B17" s="173">
        <v>35000</v>
      </c>
      <c r="C17" t="s">
        <v>540</v>
      </c>
      <c r="D17" s="174"/>
      <c r="E17" t="s">
        <v>620</v>
      </c>
      <c r="F17" s="173">
        <v>60</v>
      </c>
      <c r="G17" t="s">
        <v>542</v>
      </c>
    </row>
    <row r="18" spans="1:7" x14ac:dyDescent="0.25">
      <c r="A18" s="111" t="s">
        <v>597</v>
      </c>
      <c r="B18" s="173">
        <v>2000</v>
      </c>
      <c r="C18" t="s">
        <v>544</v>
      </c>
      <c r="D18" s="174"/>
      <c r="F18" s="173"/>
    </row>
    <row r="19" spans="1:7" x14ac:dyDescent="0.25">
      <c r="A19" t="s">
        <v>598</v>
      </c>
      <c r="B19" s="173">
        <f>1500000*0.035</f>
        <v>52500.000000000007</v>
      </c>
      <c r="C19" t="s">
        <v>545</v>
      </c>
      <c r="D19" s="174"/>
      <c r="F19" s="173"/>
    </row>
    <row r="20" spans="1:7" x14ac:dyDescent="0.25">
      <c r="A20" t="s">
        <v>599</v>
      </c>
      <c r="B20" s="173">
        <f>50*12</f>
        <v>600</v>
      </c>
      <c r="C20" t="s">
        <v>546</v>
      </c>
      <c r="D20" s="174"/>
      <c r="E20" s="4" t="s">
        <v>547</v>
      </c>
      <c r="F20" s="171">
        <f>SUM(F4:F19)</f>
        <v>20690</v>
      </c>
    </row>
    <row r="21" spans="1:7" x14ac:dyDescent="0.25">
      <c r="A21" t="s">
        <v>600</v>
      </c>
      <c r="B21" s="175">
        <v>8700</v>
      </c>
      <c r="C21" t="s">
        <v>548</v>
      </c>
      <c r="D21" s="174"/>
      <c r="F21" s="173"/>
    </row>
    <row r="22" spans="1:7" x14ac:dyDescent="0.25">
      <c r="A22" t="s">
        <v>601</v>
      </c>
      <c r="B22" s="173">
        <v>2000</v>
      </c>
      <c r="D22" s="174"/>
      <c r="F22" s="173"/>
    </row>
    <row r="23" spans="1:7" x14ac:dyDescent="0.25">
      <c r="A23" s="111" t="s">
        <v>602</v>
      </c>
      <c r="B23" s="175">
        <f>0.04*SUM(B11:B17)</f>
        <v>15720</v>
      </c>
      <c r="C23" t="s">
        <v>533</v>
      </c>
      <c r="D23" s="174"/>
      <c r="F23" s="173"/>
    </row>
    <row r="24" spans="1:7" x14ac:dyDescent="0.25">
      <c r="A24" t="s">
        <v>603</v>
      </c>
      <c r="B24" s="173">
        <v>1000</v>
      </c>
      <c r="C24" t="s">
        <v>398</v>
      </c>
      <c r="D24" s="174"/>
      <c r="F24" s="173"/>
    </row>
    <row r="25" spans="1:7" x14ac:dyDescent="0.25">
      <c r="A25" t="s">
        <v>604</v>
      </c>
      <c r="B25" s="173">
        <f>3*65</f>
        <v>195</v>
      </c>
      <c r="C25" t="s">
        <v>549</v>
      </c>
      <c r="D25" s="174"/>
      <c r="F25" s="173"/>
    </row>
    <row r="26" spans="1:7" x14ac:dyDescent="0.25">
      <c r="A26" t="s">
        <v>605</v>
      </c>
      <c r="B26" s="173">
        <v>1200</v>
      </c>
      <c r="C26" t="s">
        <v>550</v>
      </c>
      <c r="D26" s="174"/>
      <c r="F26" s="173"/>
    </row>
    <row r="27" spans="1:7" x14ac:dyDescent="0.25">
      <c r="A27" t="s">
        <v>606</v>
      </c>
      <c r="B27" s="173">
        <f>40*12</f>
        <v>480</v>
      </c>
      <c r="C27" t="s">
        <v>551</v>
      </c>
      <c r="D27" s="174"/>
      <c r="F27" s="173"/>
    </row>
    <row r="28" spans="1:7" x14ac:dyDescent="0.25">
      <c r="A28" t="s">
        <v>607</v>
      </c>
      <c r="B28" s="173">
        <f>11*12</f>
        <v>132</v>
      </c>
      <c r="C28" t="s">
        <v>552</v>
      </c>
      <c r="D28" s="174"/>
      <c r="F28" s="173"/>
    </row>
    <row r="29" spans="1:7" x14ac:dyDescent="0.25">
      <c r="A29" t="s">
        <v>608</v>
      </c>
      <c r="B29" s="173">
        <v>2000</v>
      </c>
      <c r="C29" t="s">
        <v>553</v>
      </c>
      <c r="D29" s="174"/>
      <c r="F29" s="173"/>
    </row>
    <row r="30" spans="1:7" x14ac:dyDescent="0.25">
      <c r="A30" s="111"/>
      <c r="B30" s="173"/>
      <c r="D30" s="174"/>
      <c r="F30" s="173"/>
    </row>
    <row r="31" spans="1:7" x14ac:dyDescent="0.25">
      <c r="A31" s="4" t="s">
        <v>547</v>
      </c>
      <c r="B31" s="171">
        <f>SUM(B4:B30)</f>
        <v>606890.5</v>
      </c>
      <c r="D31" s="174"/>
      <c r="F31" s="173"/>
    </row>
    <row r="32" spans="1:7" x14ac:dyDescent="0.25">
      <c r="B32" s="173"/>
      <c r="D32" s="111"/>
      <c r="F32" s="173"/>
    </row>
    <row r="33" spans="1:6" x14ac:dyDescent="0.25">
      <c r="B33" s="173"/>
      <c r="D33" s="111"/>
      <c r="F33" s="173"/>
    </row>
    <row r="34" spans="1:6" x14ac:dyDescent="0.25">
      <c r="A34" s="176"/>
      <c r="B34" s="173"/>
      <c r="D34" s="111"/>
      <c r="F34" s="173"/>
    </row>
    <row r="35" spans="1:6" x14ac:dyDescent="0.25">
      <c r="B35" s="173"/>
      <c r="D35" s="111"/>
      <c r="F35" s="173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430"/>
  <sheetViews>
    <sheetView topLeftCell="A415" workbookViewId="0">
      <selection activeCell="H299" sqref="H299"/>
    </sheetView>
  </sheetViews>
  <sheetFormatPr defaultColWidth="11" defaultRowHeight="15.75" x14ac:dyDescent="0.25"/>
  <cols>
    <col min="1" max="1" width="26.375" customWidth="1"/>
    <col min="2" max="2" width="56.5" bestFit="1" customWidth="1"/>
    <col min="3" max="3" width="9.625" customWidth="1"/>
    <col min="5" max="5" width="15" style="137" bestFit="1" customWidth="1"/>
    <col min="6" max="6" width="13.125" bestFit="1" customWidth="1"/>
    <col min="7" max="7" width="14.375" customWidth="1"/>
    <col min="8" max="8" width="18.375" customWidth="1"/>
  </cols>
  <sheetData>
    <row r="1" spans="1:13" ht="21" x14ac:dyDescent="0.35">
      <c r="A1" s="85" t="s">
        <v>109</v>
      </c>
      <c r="C1" s="86" t="s">
        <v>477</v>
      </c>
      <c r="D1" s="86" t="s">
        <v>110</v>
      </c>
      <c r="E1" s="86" t="s">
        <v>478</v>
      </c>
      <c r="F1" s="86" t="s">
        <v>111</v>
      </c>
    </row>
    <row r="2" spans="1:13" x14ac:dyDescent="0.25">
      <c r="B2" s="86" t="s">
        <v>112</v>
      </c>
      <c r="C2" s="86"/>
      <c r="E2"/>
      <c r="I2" s="87"/>
      <c r="J2" s="87"/>
      <c r="K2" s="88"/>
      <c r="L2" s="89"/>
      <c r="M2" s="90"/>
    </row>
    <row r="3" spans="1:13" x14ac:dyDescent="0.25">
      <c r="A3" t="s">
        <v>113</v>
      </c>
      <c r="B3" t="s">
        <v>114</v>
      </c>
      <c r="C3" s="87">
        <v>45.33</v>
      </c>
      <c r="D3" s="91">
        <v>47.06</v>
      </c>
      <c r="E3" s="137">
        <f t="shared" ref="E3:E19" si="0">IF(C3="",0,(D3-C3)/C3)</f>
        <v>3.8164570924332758E-2</v>
      </c>
      <c r="F3" s="92">
        <f>D3*(1+E3)^1.5</f>
        <v>49.779580051690814</v>
      </c>
      <c r="I3" s="87"/>
      <c r="J3" s="87"/>
      <c r="K3" s="88"/>
      <c r="L3" s="89"/>
      <c r="M3" s="90"/>
    </row>
    <row r="4" spans="1:13" x14ac:dyDescent="0.25">
      <c r="A4" t="s">
        <v>113</v>
      </c>
      <c r="B4" t="s">
        <v>115</v>
      </c>
      <c r="C4" s="87">
        <v>43.31</v>
      </c>
      <c r="D4" s="91">
        <v>46.46</v>
      </c>
      <c r="E4" s="137">
        <f t="shared" si="0"/>
        <v>7.2731470791964861E-2</v>
      </c>
      <c r="F4" s="92">
        <f t="shared" ref="F4:F66" si="1">D4*(1+E4)^1.5</f>
        <v>51.619731123754732</v>
      </c>
      <c r="I4" s="87"/>
      <c r="J4" s="87"/>
      <c r="K4" s="88"/>
      <c r="L4" s="89"/>
      <c r="M4" s="90"/>
    </row>
    <row r="5" spans="1:13" x14ac:dyDescent="0.25">
      <c r="A5" t="s">
        <v>113</v>
      </c>
      <c r="B5" t="s">
        <v>116</v>
      </c>
      <c r="C5" s="87">
        <v>31.77</v>
      </c>
      <c r="D5" s="91">
        <v>33.36</v>
      </c>
      <c r="E5" s="137">
        <f t="shared" si="0"/>
        <v>5.0047214353163359E-2</v>
      </c>
      <c r="F5" s="92">
        <f t="shared" si="1"/>
        <v>35.895440121192394</v>
      </c>
      <c r="I5" s="87"/>
      <c r="J5" s="87"/>
      <c r="K5" s="88"/>
      <c r="L5" s="89"/>
      <c r="M5" s="90"/>
    </row>
    <row r="6" spans="1:13" x14ac:dyDescent="0.25">
      <c r="A6" t="s">
        <v>113</v>
      </c>
      <c r="B6" t="s">
        <v>117</v>
      </c>
      <c r="C6" s="87">
        <v>42.51</v>
      </c>
      <c r="D6" s="91">
        <v>43.72</v>
      </c>
      <c r="E6" s="137">
        <f t="shared" si="0"/>
        <v>2.846389084921197E-2</v>
      </c>
      <c r="F6" s="92">
        <f t="shared" si="1"/>
        <v>45.599882725818006</v>
      </c>
      <c r="I6" s="87"/>
      <c r="J6" s="87"/>
      <c r="K6" s="88"/>
      <c r="L6" s="89"/>
      <c r="M6" s="90"/>
    </row>
    <row r="7" spans="1:13" x14ac:dyDescent="0.25">
      <c r="B7" t="s">
        <v>118</v>
      </c>
      <c r="C7" s="87">
        <v>19.45</v>
      </c>
      <c r="D7" s="91">
        <v>23.47</v>
      </c>
      <c r="E7" s="137">
        <f t="shared" si="0"/>
        <v>0.20668380462724933</v>
      </c>
      <c r="F7" s="92">
        <f t="shared" si="1"/>
        <v>31.110236706036279</v>
      </c>
      <c r="I7" s="87"/>
      <c r="J7" s="87"/>
      <c r="K7" s="88"/>
      <c r="L7" s="89"/>
      <c r="M7" s="90"/>
    </row>
    <row r="8" spans="1:13" x14ac:dyDescent="0.25">
      <c r="A8" t="s">
        <v>113</v>
      </c>
      <c r="B8" t="s">
        <v>119</v>
      </c>
      <c r="C8" s="87">
        <v>32.21</v>
      </c>
      <c r="D8" s="91">
        <v>34.15</v>
      </c>
      <c r="E8" s="137">
        <f t="shared" si="0"/>
        <v>6.0229742316050841E-2</v>
      </c>
      <c r="F8" s="92">
        <f t="shared" si="1"/>
        <v>37.28126866781318</v>
      </c>
      <c r="I8" s="87"/>
      <c r="J8" s="87"/>
      <c r="K8" s="88"/>
      <c r="L8" s="89"/>
      <c r="M8" s="90"/>
    </row>
    <row r="9" spans="1:13" x14ac:dyDescent="0.25">
      <c r="A9" t="s">
        <v>113</v>
      </c>
      <c r="B9" t="s">
        <v>107</v>
      </c>
      <c r="C9" s="87">
        <v>48.37</v>
      </c>
      <c r="D9" s="91">
        <v>49.02</v>
      </c>
      <c r="E9" s="137">
        <f t="shared" si="0"/>
        <v>1.343808145544771E-2</v>
      </c>
      <c r="F9" s="92">
        <f t="shared" si="1"/>
        <v>50.011414281131529</v>
      </c>
      <c r="I9" s="87"/>
      <c r="J9" s="87"/>
      <c r="K9" s="88"/>
      <c r="L9" s="89"/>
      <c r="M9" s="90"/>
    </row>
    <row r="10" spans="1:13" x14ac:dyDescent="0.25">
      <c r="A10" t="s">
        <v>113</v>
      </c>
      <c r="B10" t="s">
        <v>120</v>
      </c>
      <c r="C10" s="87">
        <v>45.69</v>
      </c>
      <c r="D10" s="91">
        <v>47.58</v>
      </c>
      <c r="E10" s="137">
        <f t="shared" si="0"/>
        <v>4.1365725541694043E-2</v>
      </c>
      <c r="F10" s="92">
        <f t="shared" si="1"/>
        <v>50.562595260120283</v>
      </c>
      <c r="I10" s="87"/>
      <c r="J10" s="87"/>
      <c r="K10" s="88"/>
      <c r="L10" s="89"/>
      <c r="M10" s="90"/>
    </row>
    <row r="11" spans="1:13" x14ac:dyDescent="0.25">
      <c r="A11" t="s">
        <v>113</v>
      </c>
      <c r="B11" t="s">
        <v>121</v>
      </c>
      <c r="C11" s="87">
        <v>45.85</v>
      </c>
      <c r="D11" s="91">
        <v>46.81</v>
      </c>
      <c r="E11" s="137">
        <f t="shared" si="0"/>
        <v>2.0937840785169047E-2</v>
      </c>
      <c r="F11" s="92">
        <f t="shared" si="1"/>
        <v>48.28781928929704</v>
      </c>
      <c r="I11" s="87"/>
      <c r="J11" s="87"/>
      <c r="K11" s="88"/>
      <c r="L11" s="89"/>
      <c r="M11" s="90"/>
    </row>
    <row r="12" spans="1:13" x14ac:dyDescent="0.25">
      <c r="A12" t="s">
        <v>113</v>
      </c>
      <c r="B12" t="s">
        <v>122</v>
      </c>
      <c r="C12" s="87">
        <v>59.11</v>
      </c>
      <c r="D12" s="91">
        <v>61</v>
      </c>
      <c r="E12" s="137">
        <f t="shared" si="0"/>
        <v>3.1974285230925402E-2</v>
      </c>
      <c r="F12" s="92">
        <f t="shared" si="1"/>
        <v>63.948910311132998</v>
      </c>
      <c r="I12" s="87"/>
      <c r="J12" s="87"/>
      <c r="K12" s="88"/>
      <c r="L12" s="89"/>
      <c r="M12" s="90"/>
    </row>
    <row r="13" spans="1:13" x14ac:dyDescent="0.25">
      <c r="A13" t="s">
        <v>113</v>
      </c>
      <c r="B13" t="s">
        <v>123</v>
      </c>
      <c r="C13" s="87">
        <v>90.42</v>
      </c>
      <c r="D13" s="91">
        <v>95.19</v>
      </c>
      <c r="E13" s="137">
        <f t="shared" si="0"/>
        <v>5.2753815527538113E-2</v>
      </c>
      <c r="F13" s="92">
        <f t="shared" si="1"/>
        <v>102.820938363352</v>
      </c>
      <c r="I13" s="87"/>
      <c r="J13" s="87"/>
      <c r="K13" s="88"/>
      <c r="L13" s="89"/>
      <c r="M13" s="90"/>
    </row>
    <row r="14" spans="1:13" x14ac:dyDescent="0.25">
      <c r="A14" t="s">
        <v>113</v>
      </c>
      <c r="B14" t="s">
        <v>124</v>
      </c>
      <c r="C14" s="87">
        <v>101.62</v>
      </c>
      <c r="D14" s="91">
        <v>106.64</v>
      </c>
      <c r="E14" s="137">
        <f t="shared" si="0"/>
        <v>4.9399724463688212E-2</v>
      </c>
      <c r="F14" s="92">
        <f t="shared" si="1"/>
        <v>114.63877988240743</v>
      </c>
      <c r="I14" s="87"/>
      <c r="J14" s="87"/>
      <c r="K14" s="88"/>
      <c r="L14" s="89"/>
      <c r="M14" s="90"/>
    </row>
    <row r="15" spans="1:13" x14ac:dyDescent="0.25">
      <c r="A15" t="s">
        <v>113</v>
      </c>
      <c r="B15" t="s">
        <v>125</v>
      </c>
      <c r="C15" s="87"/>
      <c r="D15" s="91">
        <v>41.66</v>
      </c>
      <c r="E15" s="137">
        <f t="shared" si="0"/>
        <v>0</v>
      </c>
      <c r="F15" s="92">
        <f t="shared" si="1"/>
        <v>41.66</v>
      </c>
      <c r="I15" s="87"/>
      <c r="J15" s="87"/>
      <c r="K15" s="88"/>
      <c r="L15" s="89"/>
      <c r="M15" s="90"/>
    </row>
    <row r="16" spans="1:13" x14ac:dyDescent="0.25">
      <c r="A16" t="s">
        <v>113</v>
      </c>
      <c r="B16" t="s">
        <v>126</v>
      </c>
      <c r="D16" s="91">
        <v>42.35</v>
      </c>
      <c r="E16" s="137">
        <f t="shared" si="0"/>
        <v>0</v>
      </c>
      <c r="F16" s="92">
        <f t="shared" si="1"/>
        <v>42.35</v>
      </c>
    </row>
    <row r="17" spans="1:13" x14ac:dyDescent="0.25">
      <c r="A17" t="s">
        <v>113</v>
      </c>
      <c r="B17" t="s">
        <v>127</v>
      </c>
      <c r="C17" s="87"/>
      <c r="D17" s="91">
        <v>94.89</v>
      </c>
      <c r="E17" s="137">
        <f t="shared" si="0"/>
        <v>0</v>
      </c>
      <c r="F17" s="92">
        <f t="shared" si="1"/>
        <v>94.89</v>
      </c>
    </row>
    <row r="18" spans="1:13" x14ac:dyDescent="0.25">
      <c r="B18" t="s">
        <v>128</v>
      </c>
      <c r="D18" s="91">
        <v>65.099999999999994</v>
      </c>
      <c r="E18" s="137">
        <f t="shared" si="0"/>
        <v>0</v>
      </c>
      <c r="F18" s="92">
        <f t="shared" si="1"/>
        <v>65.099999999999994</v>
      </c>
    </row>
    <row r="19" spans="1:13" x14ac:dyDescent="0.25">
      <c r="A19" t="s">
        <v>129</v>
      </c>
      <c r="B19" t="s">
        <v>130</v>
      </c>
      <c r="C19" s="87">
        <v>41.74</v>
      </c>
      <c r="D19" s="91">
        <v>42.1</v>
      </c>
      <c r="E19" s="137">
        <f t="shared" si="0"/>
        <v>8.6248203162433978E-3</v>
      </c>
      <c r="F19" s="92">
        <f t="shared" si="1"/>
        <v>42.645830113311135</v>
      </c>
      <c r="H19" s="86" t="s">
        <v>94</v>
      </c>
    </row>
    <row r="20" spans="1:13" x14ac:dyDescent="0.25">
      <c r="D20" s="91"/>
      <c r="E20" s="86" t="s">
        <v>480</v>
      </c>
      <c r="F20" s="92">
        <f>AVERAGE(F3:F19)</f>
        <v>56.95308393512105</v>
      </c>
      <c r="H20" s="92">
        <f>AVERAGE(D12:D14)</f>
        <v>87.61</v>
      </c>
    </row>
    <row r="21" spans="1:13" x14ac:dyDescent="0.25">
      <c r="D21" s="91"/>
      <c r="F21" s="92"/>
      <c r="H21" s="92">
        <f>H20+D292</f>
        <v>177.6</v>
      </c>
    </row>
    <row r="22" spans="1:13" x14ac:dyDescent="0.25">
      <c r="B22" s="86" t="s">
        <v>131</v>
      </c>
      <c r="C22" s="86"/>
      <c r="F22" s="92"/>
    </row>
    <row r="23" spans="1:13" x14ac:dyDescent="0.25">
      <c r="A23" t="s">
        <v>132</v>
      </c>
      <c r="B23" t="s">
        <v>133</v>
      </c>
      <c r="D23" s="91">
        <v>12.63</v>
      </c>
      <c r="E23" s="137">
        <f t="shared" ref="E23:E27" si="2">IF(C23="",0,(D23-C23)/C23)</f>
        <v>0</v>
      </c>
      <c r="F23" s="92">
        <f t="shared" si="1"/>
        <v>12.63</v>
      </c>
      <c r="G23" s="92"/>
    </row>
    <row r="24" spans="1:13" x14ac:dyDescent="0.25">
      <c r="A24" t="s">
        <v>132</v>
      </c>
      <c r="B24" t="s">
        <v>134</v>
      </c>
      <c r="C24" s="87">
        <v>66.77</v>
      </c>
      <c r="D24" s="91">
        <v>72.41</v>
      </c>
      <c r="E24" s="137">
        <f t="shared" si="2"/>
        <v>8.4469072936947748E-2</v>
      </c>
      <c r="F24" s="92">
        <f t="shared" si="1"/>
        <v>81.775706397801855</v>
      </c>
    </row>
    <row r="25" spans="1:13" x14ac:dyDescent="0.25">
      <c r="A25" t="s">
        <v>132</v>
      </c>
      <c r="B25" t="s">
        <v>59</v>
      </c>
      <c r="D25" s="91">
        <v>200.73</v>
      </c>
      <c r="E25" s="137">
        <f t="shared" si="2"/>
        <v>0</v>
      </c>
      <c r="F25" s="92">
        <f t="shared" si="1"/>
        <v>200.73</v>
      </c>
    </row>
    <row r="26" spans="1:13" x14ac:dyDescent="0.25">
      <c r="A26" t="s">
        <v>135</v>
      </c>
      <c r="B26" t="s">
        <v>59</v>
      </c>
      <c r="D26" s="91">
        <v>158.54</v>
      </c>
      <c r="E26" s="137">
        <f t="shared" si="2"/>
        <v>0</v>
      </c>
      <c r="F26" s="92">
        <f t="shared" si="1"/>
        <v>158.54</v>
      </c>
    </row>
    <row r="27" spans="1:13" x14ac:dyDescent="0.25">
      <c r="A27" t="s">
        <v>136</v>
      </c>
      <c r="B27" t="s">
        <v>59</v>
      </c>
      <c r="D27" s="91">
        <v>547.89</v>
      </c>
      <c r="E27" s="137">
        <f t="shared" si="2"/>
        <v>0</v>
      </c>
      <c r="F27" s="92">
        <f t="shared" si="1"/>
        <v>547.89</v>
      </c>
    </row>
    <row r="28" spans="1:13" x14ac:dyDescent="0.25">
      <c r="D28" s="91"/>
      <c r="F28" s="92"/>
    </row>
    <row r="29" spans="1:13" ht="21" x14ac:dyDescent="0.35">
      <c r="A29" s="85" t="s">
        <v>137</v>
      </c>
      <c r="F29" s="92"/>
    </row>
    <row r="30" spans="1:13" x14ac:dyDescent="0.25">
      <c r="B30" s="86" t="s">
        <v>138</v>
      </c>
      <c r="C30" s="86"/>
      <c r="F30" s="92"/>
      <c r="I30" s="87"/>
      <c r="J30" s="87"/>
      <c r="K30" s="88"/>
      <c r="L30" s="89"/>
      <c r="M30" s="90"/>
    </row>
    <row r="31" spans="1:13" x14ac:dyDescent="0.25">
      <c r="A31" t="s">
        <v>139</v>
      </c>
      <c r="B31" t="s">
        <v>125</v>
      </c>
      <c r="D31" s="91">
        <v>19.399999999999999</v>
      </c>
      <c r="E31" s="137">
        <f t="shared" ref="E31:E36" si="3">IF(C31="",0,(D31-C31)/C31)</f>
        <v>0</v>
      </c>
      <c r="F31" s="92">
        <f t="shared" si="1"/>
        <v>19.399999999999999</v>
      </c>
      <c r="H31" t="s">
        <v>519</v>
      </c>
      <c r="I31" s="92">
        <f>AVERAGE(F31,F34:F36)</f>
        <v>39.647500000000001</v>
      </c>
      <c r="J31" s="87"/>
      <c r="K31" s="88"/>
      <c r="L31" s="89"/>
      <c r="M31" s="90"/>
    </row>
    <row r="32" spans="1:13" x14ac:dyDescent="0.25">
      <c r="A32" t="s">
        <v>140</v>
      </c>
      <c r="B32" t="s">
        <v>126</v>
      </c>
      <c r="D32" s="91">
        <v>22.16</v>
      </c>
      <c r="E32" s="137">
        <f t="shared" si="3"/>
        <v>0</v>
      </c>
      <c r="F32" s="92">
        <f t="shared" si="1"/>
        <v>22.16</v>
      </c>
      <c r="H32" t="s">
        <v>520</v>
      </c>
      <c r="I32" s="92">
        <f>AVERAGE(F32:F36)</f>
        <v>36.736000000000004</v>
      </c>
      <c r="J32" s="87"/>
      <c r="K32" s="88"/>
      <c r="L32" s="89"/>
      <c r="M32" s="90"/>
    </row>
    <row r="33" spans="1:9" x14ac:dyDescent="0.25">
      <c r="A33" t="s">
        <v>142</v>
      </c>
      <c r="B33" t="s">
        <v>126</v>
      </c>
      <c r="D33" s="91">
        <v>22.33</v>
      </c>
      <c r="E33" s="137">
        <f t="shared" si="3"/>
        <v>0</v>
      </c>
      <c r="F33" s="92">
        <f t="shared" si="1"/>
        <v>22.33</v>
      </c>
    </row>
    <row r="34" spans="1:9" x14ac:dyDescent="0.25">
      <c r="A34" t="s">
        <v>143</v>
      </c>
      <c r="B34" t="s">
        <v>144</v>
      </c>
      <c r="C34" s="87">
        <v>20.100000000000001</v>
      </c>
      <c r="D34" s="91">
        <v>20.100000000000001</v>
      </c>
      <c r="E34" s="137">
        <f t="shared" si="3"/>
        <v>0</v>
      </c>
      <c r="F34" s="92">
        <f t="shared" si="1"/>
        <v>20.100000000000001</v>
      </c>
      <c r="H34" t="s">
        <v>417</v>
      </c>
      <c r="I34" s="92">
        <f>SUM(D31,F34:F36)</f>
        <v>158.59</v>
      </c>
    </row>
    <row r="35" spans="1:9" x14ac:dyDescent="0.25">
      <c r="A35" t="s">
        <v>145</v>
      </c>
      <c r="B35" t="s">
        <v>144</v>
      </c>
      <c r="C35" s="87">
        <v>23.48</v>
      </c>
      <c r="D35" s="91">
        <v>23.48</v>
      </c>
      <c r="E35" s="137">
        <f t="shared" si="3"/>
        <v>0</v>
      </c>
      <c r="F35" s="92">
        <f t="shared" si="1"/>
        <v>23.48</v>
      </c>
      <c r="H35" t="s">
        <v>418</v>
      </c>
      <c r="I35" s="92">
        <f>SUM(D32:D33,F34:F35,F36)</f>
        <v>183.68</v>
      </c>
    </row>
    <row r="36" spans="1:9" x14ac:dyDescent="0.25">
      <c r="A36" t="s">
        <v>141</v>
      </c>
      <c r="B36" t="s">
        <v>141</v>
      </c>
      <c r="C36" s="87">
        <v>95.61</v>
      </c>
      <c r="D36" s="91">
        <v>95.61</v>
      </c>
      <c r="E36" s="137">
        <f t="shared" si="3"/>
        <v>0</v>
      </c>
      <c r="F36" s="92">
        <f t="shared" si="1"/>
        <v>95.61</v>
      </c>
    </row>
    <row r="37" spans="1:9" x14ac:dyDescent="0.25">
      <c r="F37" s="92"/>
    </row>
    <row r="38" spans="1:9" x14ac:dyDescent="0.25">
      <c r="F38" s="92"/>
    </row>
    <row r="39" spans="1:9" ht="21" x14ac:dyDescent="0.35">
      <c r="A39" s="85" t="s">
        <v>146</v>
      </c>
      <c r="F39" s="92"/>
    </row>
    <row r="40" spans="1:9" x14ac:dyDescent="0.25">
      <c r="B40" s="86" t="s">
        <v>147</v>
      </c>
      <c r="C40" s="86"/>
      <c r="F40" s="92"/>
    </row>
    <row r="41" spans="1:9" x14ac:dyDescent="0.25">
      <c r="A41" t="s">
        <v>148</v>
      </c>
      <c r="B41" s="93" t="s">
        <v>149</v>
      </c>
      <c r="C41" s="93"/>
      <c r="D41" s="91">
        <v>14.27</v>
      </c>
      <c r="E41" s="137">
        <f t="shared" ref="E41:E45" si="4">IF(C41="",0,(D41-C41)/C41)</f>
        <v>0</v>
      </c>
      <c r="F41" s="92">
        <f t="shared" si="1"/>
        <v>14.27</v>
      </c>
    </row>
    <row r="42" spans="1:9" x14ac:dyDescent="0.25">
      <c r="A42" t="s">
        <v>150</v>
      </c>
      <c r="B42" s="93" t="s">
        <v>149</v>
      </c>
      <c r="C42" s="93"/>
      <c r="D42" s="88">
        <v>0.127</v>
      </c>
      <c r="E42" s="137">
        <f t="shared" si="4"/>
        <v>0</v>
      </c>
      <c r="F42" s="92">
        <f t="shared" si="1"/>
        <v>0.127</v>
      </c>
    </row>
    <row r="43" spans="1:9" x14ac:dyDescent="0.25">
      <c r="A43" t="s">
        <v>150</v>
      </c>
      <c r="B43" t="s">
        <v>151</v>
      </c>
      <c r="D43" s="88">
        <v>9.6000000000000002E-2</v>
      </c>
      <c r="E43" s="137">
        <f t="shared" si="4"/>
        <v>0</v>
      </c>
      <c r="F43" s="92">
        <f t="shared" si="1"/>
        <v>9.6000000000000002E-2</v>
      </c>
    </row>
    <row r="44" spans="1:9" x14ac:dyDescent="0.25">
      <c r="A44" t="s">
        <v>150</v>
      </c>
      <c r="B44" t="s">
        <v>152</v>
      </c>
      <c r="D44" s="88">
        <v>9.4E-2</v>
      </c>
      <c r="E44" s="137">
        <f t="shared" si="4"/>
        <v>0</v>
      </c>
      <c r="F44" s="92">
        <f t="shared" si="1"/>
        <v>9.4E-2</v>
      </c>
    </row>
    <row r="45" spans="1:9" x14ac:dyDescent="0.25">
      <c r="A45" t="s">
        <v>150</v>
      </c>
      <c r="B45" t="s">
        <v>153</v>
      </c>
      <c r="D45" s="88">
        <v>9.0999999999999998E-2</v>
      </c>
      <c r="E45" s="137">
        <f t="shared" si="4"/>
        <v>0</v>
      </c>
      <c r="F45" s="92">
        <f t="shared" si="1"/>
        <v>9.0999999999999998E-2</v>
      </c>
    </row>
    <row r="46" spans="1:9" x14ac:dyDescent="0.25">
      <c r="F46" s="92"/>
    </row>
    <row r="47" spans="1:9" ht="21" x14ac:dyDescent="0.35">
      <c r="A47" s="85" t="s">
        <v>154</v>
      </c>
      <c r="F47" s="92"/>
    </row>
    <row r="48" spans="1:9" x14ac:dyDescent="0.25">
      <c r="B48" s="86" t="s">
        <v>155</v>
      </c>
      <c r="C48" s="86"/>
      <c r="F48" s="92"/>
    </row>
    <row r="49" spans="1:8" x14ac:dyDescent="0.25">
      <c r="A49" t="s">
        <v>156</v>
      </c>
      <c r="B49" t="s">
        <v>157</v>
      </c>
      <c r="C49" s="87">
        <v>38.76</v>
      </c>
      <c r="D49" s="91">
        <v>42.29</v>
      </c>
      <c r="E49" s="137">
        <f t="shared" ref="E49:E112" si="5">IF(C49="",0,(D49-C49)/C49)</f>
        <v>9.1073271413828719E-2</v>
      </c>
      <c r="F49" s="92">
        <f t="shared" si="1"/>
        <v>48.196839490835416</v>
      </c>
    </row>
    <row r="50" spans="1:8" x14ac:dyDescent="0.25">
      <c r="A50" t="s">
        <v>156</v>
      </c>
      <c r="B50" t="s">
        <v>158</v>
      </c>
      <c r="C50" s="87">
        <v>51.41</v>
      </c>
      <c r="D50" s="91">
        <v>55.97</v>
      </c>
      <c r="E50" s="137">
        <f t="shared" si="5"/>
        <v>8.86986967516048E-2</v>
      </c>
      <c r="F50" s="92">
        <f t="shared" si="1"/>
        <v>63.57946387499836</v>
      </c>
      <c r="H50" s="87"/>
    </row>
    <row r="51" spans="1:8" x14ac:dyDescent="0.25">
      <c r="A51" t="s">
        <v>156</v>
      </c>
      <c r="B51" t="s">
        <v>159</v>
      </c>
      <c r="C51" s="87">
        <v>66.81</v>
      </c>
      <c r="D51" s="91">
        <v>66.98</v>
      </c>
      <c r="E51" s="137">
        <f t="shared" si="5"/>
        <v>2.5445292620865393E-3</v>
      </c>
      <c r="F51" s="92">
        <f t="shared" si="1"/>
        <v>67.235811412557638</v>
      </c>
      <c r="H51" s="87"/>
    </row>
    <row r="52" spans="1:8" x14ac:dyDescent="0.25">
      <c r="A52" t="s">
        <v>156</v>
      </c>
      <c r="B52" t="s">
        <v>160</v>
      </c>
      <c r="D52" s="91">
        <v>68.23</v>
      </c>
      <c r="E52" s="137">
        <f t="shared" si="5"/>
        <v>0</v>
      </c>
      <c r="F52" s="92">
        <f t="shared" si="1"/>
        <v>68.23</v>
      </c>
      <c r="H52" s="87"/>
    </row>
    <row r="53" spans="1:8" x14ac:dyDescent="0.25">
      <c r="A53" t="s">
        <v>156</v>
      </c>
      <c r="B53" t="s">
        <v>161</v>
      </c>
      <c r="C53" s="87">
        <v>81.23</v>
      </c>
      <c r="D53" s="91">
        <v>87.18</v>
      </c>
      <c r="E53" s="137">
        <f t="shared" si="5"/>
        <v>7.3248799704542691E-2</v>
      </c>
      <c r="F53" s="92">
        <f t="shared" si="1"/>
        <v>96.932068791972284</v>
      </c>
    </row>
    <row r="54" spans="1:8" x14ac:dyDescent="0.25">
      <c r="A54" t="s">
        <v>156</v>
      </c>
      <c r="B54" t="s">
        <v>162</v>
      </c>
      <c r="C54" s="87">
        <v>39.04</v>
      </c>
      <c r="D54" s="91">
        <v>41.59</v>
      </c>
      <c r="E54" s="137">
        <f t="shared" si="5"/>
        <v>6.5317622950819776E-2</v>
      </c>
      <c r="F54" s="92">
        <f t="shared" si="1"/>
        <v>45.73067243714442</v>
      </c>
      <c r="H54" s="87"/>
    </row>
    <row r="55" spans="1:8" x14ac:dyDescent="0.25">
      <c r="A55" t="s">
        <v>156</v>
      </c>
      <c r="B55" t="s">
        <v>163</v>
      </c>
      <c r="C55" s="87">
        <v>32.9</v>
      </c>
      <c r="D55" s="91">
        <v>33.39</v>
      </c>
      <c r="E55" s="137">
        <f t="shared" si="5"/>
        <v>1.4893617021276657E-2</v>
      </c>
      <c r="F55" s="92">
        <f t="shared" si="1"/>
        <v>34.138717413845384</v>
      </c>
      <c r="H55" s="87"/>
    </row>
    <row r="56" spans="1:8" x14ac:dyDescent="0.25">
      <c r="A56" t="s">
        <v>156</v>
      </c>
      <c r="B56" t="s">
        <v>164</v>
      </c>
      <c r="C56" s="87">
        <v>103.63</v>
      </c>
      <c r="D56" s="91">
        <v>100.64</v>
      </c>
      <c r="E56" s="137">
        <f t="shared" si="5"/>
        <v>-2.885264884685897E-2</v>
      </c>
      <c r="F56" s="92">
        <f t="shared" si="1"/>
        <v>96.315974488509937</v>
      </c>
      <c r="H56" s="87"/>
    </row>
    <row r="57" spans="1:8" x14ac:dyDescent="0.25">
      <c r="A57" t="s">
        <v>156</v>
      </c>
      <c r="B57" t="s">
        <v>165</v>
      </c>
      <c r="C57" s="87">
        <v>42.03</v>
      </c>
      <c r="D57" s="91">
        <v>39.450000000000003</v>
      </c>
      <c r="E57" s="137">
        <f t="shared" si="5"/>
        <v>-6.138472519628832E-2</v>
      </c>
      <c r="F57" s="92">
        <f t="shared" si="1"/>
        <v>35.873886838420255</v>
      </c>
      <c r="H57" s="87"/>
    </row>
    <row r="58" spans="1:8" x14ac:dyDescent="0.25">
      <c r="A58" t="s">
        <v>156</v>
      </c>
      <c r="B58" t="s">
        <v>166</v>
      </c>
      <c r="C58" s="87">
        <v>13.22</v>
      </c>
      <c r="D58" s="91">
        <v>13.17</v>
      </c>
      <c r="E58" s="137">
        <f t="shared" si="5"/>
        <v>-3.7821482602118537E-3</v>
      </c>
      <c r="F58" s="92">
        <f t="shared" si="1"/>
        <v>13.09535435278352</v>
      </c>
      <c r="H58" s="87"/>
    </row>
    <row r="59" spans="1:8" x14ac:dyDescent="0.25">
      <c r="A59" t="s">
        <v>156</v>
      </c>
      <c r="B59" t="s">
        <v>167</v>
      </c>
      <c r="C59" s="87">
        <v>21.79</v>
      </c>
      <c r="D59" s="91">
        <v>24.2</v>
      </c>
      <c r="E59" s="137">
        <f t="shared" si="5"/>
        <v>0.11060119320789354</v>
      </c>
      <c r="F59" s="92">
        <f t="shared" si="1"/>
        <v>28.323868511298148</v>
      </c>
      <c r="H59" s="87"/>
    </row>
    <row r="60" spans="1:8" x14ac:dyDescent="0.25">
      <c r="A60" t="s">
        <v>156</v>
      </c>
      <c r="B60" t="s">
        <v>168</v>
      </c>
      <c r="C60" s="87">
        <v>24.12</v>
      </c>
      <c r="D60" s="91">
        <v>24.19</v>
      </c>
      <c r="E60" s="137">
        <f t="shared" si="5"/>
        <v>2.9021558872305256E-3</v>
      </c>
      <c r="F60" s="92">
        <f t="shared" si="1"/>
        <v>24.295381092135798</v>
      </c>
      <c r="H60" s="87"/>
    </row>
    <row r="61" spans="1:8" x14ac:dyDescent="0.25">
      <c r="A61" t="s">
        <v>156</v>
      </c>
      <c r="B61" t="s">
        <v>169</v>
      </c>
      <c r="C61" s="87">
        <v>22.9</v>
      </c>
      <c r="D61" s="91">
        <v>23.55</v>
      </c>
      <c r="E61" s="137">
        <f t="shared" si="5"/>
        <v>2.8384279475982627E-2</v>
      </c>
      <c r="F61" s="92">
        <f t="shared" si="1"/>
        <v>24.559756416032581</v>
      </c>
      <c r="H61" s="87"/>
    </row>
    <row r="62" spans="1:8" x14ac:dyDescent="0.25">
      <c r="A62" t="s">
        <v>156</v>
      </c>
      <c r="B62" t="s">
        <v>102</v>
      </c>
      <c r="C62" s="87">
        <v>26.06</v>
      </c>
      <c r="D62" s="91">
        <v>29.77</v>
      </c>
      <c r="E62" s="137">
        <f t="shared" si="5"/>
        <v>0.14236377590176519</v>
      </c>
      <c r="F62" s="92">
        <f t="shared" si="1"/>
        <v>36.348414303809925</v>
      </c>
      <c r="H62" s="87"/>
    </row>
    <row r="63" spans="1:8" x14ac:dyDescent="0.25">
      <c r="A63" t="s">
        <v>156</v>
      </c>
      <c r="B63" t="s">
        <v>170</v>
      </c>
      <c r="C63" s="87">
        <v>25.73</v>
      </c>
      <c r="D63" s="91">
        <v>26.89</v>
      </c>
      <c r="E63" s="137">
        <f t="shared" si="5"/>
        <v>4.5083560046638167E-2</v>
      </c>
      <c r="F63" s="92">
        <f t="shared" si="1"/>
        <v>28.728789437259206</v>
      </c>
      <c r="H63" s="87"/>
    </row>
    <row r="64" spans="1:8" x14ac:dyDescent="0.25">
      <c r="A64" t="s">
        <v>156</v>
      </c>
      <c r="B64" t="s">
        <v>59</v>
      </c>
      <c r="D64" s="91">
        <v>427</v>
      </c>
      <c r="E64" s="137">
        <f t="shared" si="5"/>
        <v>0</v>
      </c>
      <c r="F64" s="92">
        <f t="shared" si="1"/>
        <v>427</v>
      </c>
      <c r="H64" s="87"/>
    </row>
    <row r="65" spans="1:8" x14ac:dyDescent="0.25">
      <c r="B65" t="s">
        <v>171</v>
      </c>
      <c r="C65" s="87">
        <v>26.82</v>
      </c>
      <c r="D65" s="91">
        <v>28.73</v>
      </c>
      <c r="E65" s="137">
        <f t="shared" si="5"/>
        <v>7.121551081282626E-2</v>
      </c>
      <c r="F65" s="92">
        <f t="shared" si="1"/>
        <v>31.853041300387819</v>
      </c>
    </row>
    <row r="66" spans="1:8" x14ac:dyDescent="0.25">
      <c r="B66" t="s">
        <v>172</v>
      </c>
      <c r="C66" s="87">
        <v>72.55</v>
      </c>
      <c r="D66" s="91">
        <v>79.72</v>
      </c>
      <c r="E66" s="137">
        <f t="shared" si="5"/>
        <v>9.882839421088907E-2</v>
      </c>
      <c r="F66" s="92">
        <f t="shared" si="1"/>
        <v>91.825245876500787</v>
      </c>
      <c r="H66" s="87"/>
    </row>
    <row r="67" spans="1:8" x14ac:dyDescent="0.25">
      <c r="B67" t="s">
        <v>173</v>
      </c>
      <c r="C67" s="87">
        <v>144.6</v>
      </c>
      <c r="D67" s="91">
        <v>168.54</v>
      </c>
      <c r="E67" s="137">
        <f t="shared" si="5"/>
        <v>0.16556016597510373</v>
      </c>
      <c r="F67" s="92">
        <f t="shared" ref="F67:F70" si="6">D67*(1+E67)^1.5</f>
        <v>212.08259784591766</v>
      </c>
      <c r="H67" s="87"/>
    </row>
    <row r="68" spans="1:8" x14ac:dyDescent="0.25">
      <c r="B68" t="s">
        <v>174</v>
      </c>
      <c r="C68" s="87">
        <v>128.63</v>
      </c>
      <c r="D68" s="91">
        <v>143.69999999999999</v>
      </c>
      <c r="E68" s="137">
        <f t="shared" si="5"/>
        <v>0.11715773925211843</v>
      </c>
      <c r="F68" s="92">
        <f t="shared" si="6"/>
        <v>169.67916404301124</v>
      </c>
      <c r="H68" s="87"/>
    </row>
    <row r="69" spans="1:8" x14ac:dyDescent="0.25">
      <c r="B69" t="s">
        <v>175</v>
      </c>
      <c r="C69" s="87">
        <v>22.93</v>
      </c>
      <c r="D69" s="91">
        <v>24.03</v>
      </c>
      <c r="E69" s="137">
        <f t="shared" si="5"/>
        <v>4.79720889664196E-2</v>
      </c>
      <c r="F69" s="92">
        <f t="shared" si="6"/>
        <v>25.779728835918736</v>
      </c>
      <c r="H69" s="87"/>
    </row>
    <row r="70" spans="1:8" x14ac:dyDescent="0.25">
      <c r="B70" t="s">
        <v>176</v>
      </c>
      <c r="C70" s="87">
        <v>26.14</v>
      </c>
      <c r="D70" s="91">
        <v>28.14</v>
      </c>
      <c r="E70" s="137">
        <f t="shared" si="5"/>
        <v>7.6511094108645747E-2</v>
      </c>
      <c r="F70" s="92">
        <f t="shared" si="6"/>
        <v>31.430541107058573</v>
      </c>
      <c r="H70" s="87"/>
    </row>
    <row r="71" spans="1:8" x14ac:dyDescent="0.25">
      <c r="F71" s="92"/>
      <c r="H71" s="87"/>
    </row>
    <row r="72" spans="1:8" ht="21" x14ac:dyDescent="0.35">
      <c r="A72" s="85" t="s">
        <v>177</v>
      </c>
      <c r="F72" s="92"/>
    </row>
    <row r="73" spans="1:8" x14ac:dyDescent="0.25">
      <c r="B73" s="86" t="s">
        <v>178</v>
      </c>
      <c r="C73" s="86"/>
      <c r="F73" s="92"/>
    </row>
    <row r="74" spans="1:8" x14ac:dyDescent="0.25">
      <c r="A74" t="s">
        <v>179</v>
      </c>
      <c r="B74" t="s">
        <v>144</v>
      </c>
      <c r="C74" s="87">
        <v>24.66</v>
      </c>
      <c r="D74" s="87">
        <v>30.83</v>
      </c>
      <c r="E74" s="137">
        <f t="shared" si="5"/>
        <v>0.25020275750202747</v>
      </c>
      <c r="F74" s="92">
        <f t="shared" ref="F74:F127" si="7">D74*(1+E74)^1.5</f>
        <v>43.096718535367728</v>
      </c>
    </row>
    <row r="75" spans="1:8" x14ac:dyDescent="0.25">
      <c r="F75" s="92"/>
    </row>
    <row r="76" spans="1:8" x14ac:dyDescent="0.25">
      <c r="B76" s="86" t="s">
        <v>180</v>
      </c>
      <c r="C76" s="86"/>
      <c r="F76" s="92"/>
    </row>
    <row r="77" spans="1:8" x14ac:dyDescent="0.25">
      <c r="B77" t="s">
        <v>181</v>
      </c>
      <c r="C77" s="87">
        <v>154</v>
      </c>
      <c r="D77" s="87">
        <v>152.94</v>
      </c>
      <c r="E77" s="137">
        <f t="shared" si="5"/>
        <v>-6.8831168831168981E-3</v>
      </c>
      <c r="F77" s="92">
        <f t="shared" si="7"/>
        <v>151.36366448754453</v>
      </c>
    </row>
    <row r="78" spans="1:8" x14ac:dyDescent="0.25">
      <c r="B78" t="s">
        <v>182</v>
      </c>
      <c r="C78" s="87">
        <v>53.77</v>
      </c>
      <c r="D78" s="87">
        <v>49.3</v>
      </c>
      <c r="E78" s="137">
        <f t="shared" si="5"/>
        <v>-8.3131857913334675E-2</v>
      </c>
      <c r="F78" s="92">
        <f t="shared" si="7"/>
        <v>43.281992304365858</v>
      </c>
      <c r="H78" s="87"/>
    </row>
    <row r="79" spans="1:8" x14ac:dyDescent="0.25">
      <c r="B79" t="s">
        <v>183</v>
      </c>
      <c r="C79" s="87">
        <v>65</v>
      </c>
      <c r="D79" s="87">
        <v>89.96</v>
      </c>
      <c r="E79" s="137">
        <f t="shared" si="5"/>
        <v>0.3839999999999999</v>
      </c>
      <c r="F79" s="92">
        <f t="shared" si="7"/>
        <v>146.47165271149552</v>
      </c>
      <c r="H79" s="87"/>
    </row>
    <row r="80" spans="1:8" x14ac:dyDescent="0.25">
      <c r="B80" t="s">
        <v>184</v>
      </c>
      <c r="D80" s="87">
        <v>77.09</v>
      </c>
      <c r="E80" s="137">
        <f t="shared" si="5"/>
        <v>0</v>
      </c>
      <c r="F80" s="92">
        <f t="shared" si="7"/>
        <v>77.09</v>
      </c>
      <c r="H80" s="87"/>
    </row>
    <row r="81" spans="1:8" x14ac:dyDescent="0.25">
      <c r="A81" t="s">
        <v>185</v>
      </c>
      <c r="B81" t="s">
        <v>186</v>
      </c>
      <c r="C81" s="87">
        <v>44.56</v>
      </c>
      <c r="D81" s="87">
        <v>55.93</v>
      </c>
      <c r="E81" s="137">
        <f t="shared" si="5"/>
        <v>0.25516157989228</v>
      </c>
      <c r="F81" s="92">
        <f t="shared" si="7"/>
        <v>78.649193774851454</v>
      </c>
    </row>
    <row r="82" spans="1:8" x14ac:dyDescent="0.25">
      <c r="A82" t="s">
        <v>185</v>
      </c>
      <c r="B82" t="s">
        <v>187</v>
      </c>
      <c r="D82" s="87">
        <v>55.97</v>
      </c>
      <c r="E82" s="137">
        <f t="shared" si="5"/>
        <v>0</v>
      </c>
      <c r="F82" s="92">
        <f t="shared" si="7"/>
        <v>55.97</v>
      </c>
      <c r="H82" s="87"/>
    </row>
    <row r="83" spans="1:8" x14ac:dyDescent="0.25">
      <c r="A83" t="s">
        <v>185</v>
      </c>
      <c r="B83" t="s">
        <v>188</v>
      </c>
      <c r="D83" s="87">
        <v>83.64</v>
      </c>
      <c r="E83" s="137">
        <f t="shared" si="5"/>
        <v>0</v>
      </c>
      <c r="F83" s="92">
        <f t="shared" si="7"/>
        <v>83.64</v>
      </c>
    </row>
    <row r="84" spans="1:8" x14ac:dyDescent="0.25">
      <c r="B84" t="s">
        <v>189</v>
      </c>
      <c r="C84" s="87">
        <v>40.94</v>
      </c>
      <c r="D84" s="87">
        <v>42.34</v>
      </c>
      <c r="E84" s="137">
        <f t="shared" si="5"/>
        <v>3.4196384953590758E-2</v>
      </c>
      <c r="F84" s="92">
        <f t="shared" si="7"/>
        <v>44.530274955050864</v>
      </c>
    </row>
    <row r="85" spans="1:8" x14ac:dyDescent="0.25">
      <c r="B85" t="s">
        <v>190</v>
      </c>
      <c r="C85" s="87">
        <v>106.13</v>
      </c>
      <c r="D85" s="87">
        <v>97.2</v>
      </c>
      <c r="E85" s="137">
        <f t="shared" si="5"/>
        <v>-8.4142089889757785E-2</v>
      </c>
      <c r="F85" s="92">
        <f t="shared" si="7"/>
        <v>85.193883555651951</v>
      </c>
      <c r="H85" s="87"/>
    </row>
    <row r="86" spans="1:8" x14ac:dyDescent="0.25">
      <c r="B86" t="s">
        <v>191</v>
      </c>
      <c r="C86" s="87">
        <v>135.83000000000001</v>
      </c>
      <c r="D86" s="87">
        <v>128.97</v>
      </c>
      <c r="E86" s="137">
        <f t="shared" si="5"/>
        <v>-5.0504306854156029E-2</v>
      </c>
      <c r="F86" s="92">
        <f t="shared" si="7"/>
        <v>119.32410856171705</v>
      </c>
      <c r="H86" s="87"/>
    </row>
    <row r="87" spans="1:8" x14ac:dyDescent="0.25">
      <c r="B87" t="s">
        <v>192</v>
      </c>
      <c r="C87" s="87">
        <v>43.31</v>
      </c>
      <c r="D87" s="87">
        <v>45.97</v>
      </c>
      <c r="E87" s="137">
        <f t="shared" si="5"/>
        <v>6.1417686446548062E-2</v>
      </c>
      <c r="F87" s="92">
        <f t="shared" si="7"/>
        <v>50.269432656034546</v>
      </c>
      <c r="H87" s="87"/>
    </row>
    <row r="88" spans="1:8" x14ac:dyDescent="0.25">
      <c r="B88" t="s">
        <v>193</v>
      </c>
      <c r="C88" s="87">
        <v>38.1</v>
      </c>
      <c r="D88" s="87">
        <v>41.22</v>
      </c>
      <c r="E88" s="137">
        <f t="shared" si="5"/>
        <v>8.1889763779527489E-2</v>
      </c>
      <c r="F88" s="92">
        <f t="shared" si="7"/>
        <v>46.385528066153164</v>
      </c>
      <c r="H88" s="87"/>
    </row>
    <row r="89" spans="1:8" x14ac:dyDescent="0.25">
      <c r="B89" t="s">
        <v>194</v>
      </c>
      <c r="C89" s="87">
        <v>23.7</v>
      </c>
      <c r="D89" s="87">
        <v>23.52</v>
      </c>
      <c r="E89" s="137">
        <f t="shared" si="5"/>
        <v>-7.5949367088607479E-3</v>
      </c>
      <c r="F89" s="92">
        <f t="shared" si="7"/>
        <v>23.252560043379486</v>
      </c>
      <c r="H89" s="87"/>
    </row>
    <row r="90" spans="1:8" x14ac:dyDescent="0.25">
      <c r="B90" t="s">
        <v>195</v>
      </c>
      <c r="C90" s="87">
        <v>38.58</v>
      </c>
      <c r="D90" s="87">
        <v>38.229999999999997</v>
      </c>
      <c r="E90" s="137">
        <f t="shared" si="5"/>
        <v>-9.0720580611716294E-3</v>
      </c>
      <c r="F90" s="92">
        <f t="shared" si="7"/>
        <v>37.710944526059414</v>
      </c>
      <c r="H90" s="87"/>
    </row>
    <row r="91" spans="1:8" x14ac:dyDescent="0.25">
      <c r="B91" t="s">
        <v>196</v>
      </c>
      <c r="C91" s="87">
        <v>49.53</v>
      </c>
      <c r="D91" s="87">
        <v>49.14</v>
      </c>
      <c r="E91" s="137">
        <f t="shared" si="5"/>
        <v>-7.8740157480315081E-3</v>
      </c>
      <c r="F91" s="92">
        <f t="shared" si="7"/>
        <v>48.560750310295745</v>
      </c>
      <c r="H91" s="87"/>
    </row>
    <row r="92" spans="1:8" x14ac:dyDescent="0.25">
      <c r="B92" t="s">
        <v>197</v>
      </c>
      <c r="C92" s="87">
        <v>59.7</v>
      </c>
      <c r="D92" s="87">
        <v>58.52</v>
      </c>
      <c r="E92" s="137">
        <f t="shared" si="5"/>
        <v>-1.9765494137353429E-2</v>
      </c>
      <c r="F92" s="92">
        <f t="shared" si="7"/>
        <v>56.793586736403221</v>
      </c>
      <c r="H92" s="87"/>
    </row>
    <row r="93" spans="1:8" x14ac:dyDescent="0.25">
      <c r="B93" t="s">
        <v>198</v>
      </c>
      <c r="C93" s="87">
        <v>52.69</v>
      </c>
      <c r="D93" s="87">
        <v>56.69</v>
      </c>
      <c r="E93" s="137">
        <f t="shared" si="5"/>
        <v>7.5915733535775298E-2</v>
      </c>
      <c r="F93" s="92">
        <f t="shared" si="7"/>
        <v>63.266505147137472</v>
      </c>
      <c r="H93" s="87"/>
    </row>
    <row r="94" spans="1:8" x14ac:dyDescent="0.25">
      <c r="B94" t="s">
        <v>199</v>
      </c>
      <c r="C94" s="87">
        <v>79.05</v>
      </c>
      <c r="D94" s="87">
        <v>76.08</v>
      </c>
      <c r="E94" s="137">
        <f t="shared" si="5"/>
        <v>-3.7571157495256156E-2</v>
      </c>
      <c r="F94" s="92">
        <f t="shared" si="7"/>
        <v>71.832908026229191</v>
      </c>
      <c r="H94" s="87"/>
    </row>
    <row r="95" spans="1:8" x14ac:dyDescent="0.25">
      <c r="B95" t="s">
        <v>200</v>
      </c>
      <c r="C95" s="87">
        <v>91.96</v>
      </c>
      <c r="D95" s="87">
        <v>91.95</v>
      </c>
      <c r="E95" s="137">
        <f t="shared" si="5"/>
        <v>-1.0874293170933999E-4</v>
      </c>
      <c r="F95" s="92">
        <f t="shared" si="7"/>
        <v>91.935002038893032</v>
      </c>
      <c r="H95" s="87"/>
    </row>
    <row r="96" spans="1:8" x14ac:dyDescent="0.25">
      <c r="A96" t="s">
        <v>201</v>
      </c>
      <c r="B96" t="s">
        <v>202</v>
      </c>
      <c r="C96" s="87">
        <v>24.1</v>
      </c>
      <c r="D96" s="87">
        <v>26.32</v>
      </c>
      <c r="E96" s="137">
        <f t="shared" si="5"/>
        <v>9.2116182572614058E-2</v>
      </c>
      <c r="F96" s="92">
        <f t="shared" si="7"/>
        <v>30.03925437145222</v>
      </c>
      <c r="H96" s="87"/>
    </row>
    <row r="97" spans="1:8" x14ac:dyDescent="0.25">
      <c r="A97" t="s">
        <v>201</v>
      </c>
      <c r="B97" t="s">
        <v>203</v>
      </c>
      <c r="C97" s="87">
        <v>32.21</v>
      </c>
      <c r="D97" s="87">
        <v>35.700000000000003</v>
      </c>
      <c r="E97" s="137">
        <f t="shared" si="5"/>
        <v>0.1083514436510401</v>
      </c>
      <c r="F97" s="92">
        <f t="shared" si="7"/>
        <v>41.656660714751723</v>
      </c>
      <c r="H97" s="87"/>
    </row>
    <row r="98" spans="1:8" x14ac:dyDescent="0.25">
      <c r="A98" t="s">
        <v>201</v>
      </c>
      <c r="B98" t="s">
        <v>204</v>
      </c>
      <c r="C98" s="87">
        <v>27.1</v>
      </c>
      <c r="D98" s="87">
        <v>28.84</v>
      </c>
      <c r="E98" s="137">
        <f t="shared" si="5"/>
        <v>6.4206642066420599E-2</v>
      </c>
      <c r="F98" s="92">
        <f t="shared" si="7"/>
        <v>31.661698122056901</v>
      </c>
      <c r="H98" s="87"/>
    </row>
    <row r="99" spans="1:8" x14ac:dyDescent="0.25">
      <c r="A99" t="s">
        <v>201</v>
      </c>
      <c r="B99" t="s">
        <v>205</v>
      </c>
      <c r="C99" s="87">
        <v>30.36</v>
      </c>
      <c r="D99" s="87">
        <v>33.25</v>
      </c>
      <c r="E99" s="137">
        <f t="shared" si="5"/>
        <v>9.519104084321478E-2</v>
      </c>
      <c r="F99" s="92">
        <f t="shared" si="7"/>
        <v>38.108905270826504</v>
      </c>
      <c r="H99" s="87"/>
    </row>
    <row r="100" spans="1:8" x14ac:dyDescent="0.25">
      <c r="B100" t="s">
        <v>206</v>
      </c>
      <c r="C100" s="87">
        <v>132.9</v>
      </c>
      <c r="D100" s="87">
        <v>134.5</v>
      </c>
      <c r="E100" s="137">
        <f t="shared" si="5"/>
        <v>1.2039127163280618E-2</v>
      </c>
      <c r="F100" s="92">
        <f t="shared" si="7"/>
        <v>136.93618974311332</v>
      </c>
      <c r="H100" s="87"/>
    </row>
    <row r="101" spans="1:8" x14ac:dyDescent="0.25">
      <c r="B101" t="s">
        <v>207</v>
      </c>
      <c r="C101" s="87">
        <v>34.270000000000003</v>
      </c>
      <c r="D101" s="87">
        <v>37.799999999999997</v>
      </c>
      <c r="E101" s="137">
        <f t="shared" si="5"/>
        <v>0.1030055442077617</v>
      </c>
      <c r="F101" s="92">
        <f t="shared" si="7"/>
        <v>43.788326024407226</v>
      </c>
      <c r="H101" s="87"/>
    </row>
    <row r="102" spans="1:8" x14ac:dyDescent="0.25">
      <c r="B102" t="s">
        <v>208</v>
      </c>
      <c r="C102" s="87">
        <v>24.7</v>
      </c>
      <c r="D102" s="87">
        <v>25.97</v>
      </c>
      <c r="E102" s="137">
        <f t="shared" si="5"/>
        <v>5.141700404858298E-2</v>
      </c>
      <c r="F102" s="92">
        <f t="shared" si="7"/>
        <v>27.998479320990672</v>
      </c>
      <c r="H102" s="87"/>
    </row>
    <row r="103" spans="1:8" x14ac:dyDescent="0.25">
      <c r="A103" t="s">
        <v>209</v>
      </c>
      <c r="B103" t="s">
        <v>210</v>
      </c>
      <c r="C103" s="87">
        <v>19.03</v>
      </c>
      <c r="D103" s="87">
        <v>20.18</v>
      </c>
      <c r="E103" s="137">
        <f t="shared" si="5"/>
        <v>6.0430898581187519E-2</v>
      </c>
      <c r="F103" s="92">
        <f t="shared" si="7"/>
        <v>22.036606785944986</v>
      </c>
      <c r="H103" s="87"/>
    </row>
    <row r="104" spans="1:8" x14ac:dyDescent="0.25">
      <c r="A104" t="s">
        <v>209</v>
      </c>
      <c r="B104" t="s">
        <v>211</v>
      </c>
      <c r="C104" s="87">
        <v>23.24</v>
      </c>
      <c r="D104" s="87">
        <v>23.91</v>
      </c>
      <c r="E104" s="137">
        <f t="shared" si="5"/>
        <v>2.8829604130809025E-2</v>
      </c>
      <c r="F104" s="92">
        <f t="shared" si="7"/>
        <v>24.951390589637981</v>
      </c>
      <c r="H104" s="87"/>
    </row>
    <row r="105" spans="1:8" x14ac:dyDescent="0.25">
      <c r="A105" t="s">
        <v>209</v>
      </c>
      <c r="B105" t="s">
        <v>212</v>
      </c>
      <c r="C105" s="87">
        <v>20.5</v>
      </c>
      <c r="D105" s="87">
        <v>20.88</v>
      </c>
      <c r="E105" s="137">
        <f t="shared" si="5"/>
        <v>1.8536585365853609E-2</v>
      </c>
      <c r="F105" s="92">
        <f t="shared" si="7"/>
        <v>21.463248026144548</v>
      </c>
      <c r="H105" s="87"/>
    </row>
    <row r="106" spans="1:8" x14ac:dyDescent="0.25">
      <c r="A106" t="s">
        <v>209</v>
      </c>
      <c r="B106" t="s">
        <v>213</v>
      </c>
      <c r="D106" s="87">
        <v>35.01</v>
      </c>
      <c r="E106" s="137">
        <f t="shared" si="5"/>
        <v>0</v>
      </c>
      <c r="F106" s="92">
        <f t="shared" si="7"/>
        <v>35.01</v>
      </c>
      <c r="H106" s="87"/>
    </row>
    <row r="107" spans="1:8" x14ac:dyDescent="0.25">
      <c r="A107" t="s">
        <v>209</v>
      </c>
      <c r="B107" t="s">
        <v>214</v>
      </c>
      <c r="C107" s="87">
        <v>20.61</v>
      </c>
      <c r="D107" s="87">
        <v>22.49</v>
      </c>
      <c r="E107" s="137">
        <f t="shared" si="5"/>
        <v>9.1217855409995108E-2</v>
      </c>
      <c r="F107" s="92">
        <f t="shared" si="7"/>
        <v>25.636377080967531</v>
      </c>
    </row>
    <row r="108" spans="1:8" x14ac:dyDescent="0.25">
      <c r="B108" t="s">
        <v>215</v>
      </c>
      <c r="C108" s="87">
        <v>26.84</v>
      </c>
      <c r="D108" s="87">
        <v>28.98</v>
      </c>
      <c r="E108" s="137">
        <f t="shared" si="5"/>
        <v>7.9731743666169919E-2</v>
      </c>
      <c r="F108" s="92">
        <f t="shared" si="7"/>
        <v>32.514133576372913</v>
      </c>
      <c r="H108" s="87"/>
    </row>
    <row r="109" spans="1:8" x14ac:dyDescent="0.25">
      <c r="B109" t="s">
        <v>216</v>
      </c>
      <c r="C109" s="87">
        <v>40.049999999999997</v>
      </c>
      <c r="D109" s="87">
        <v>41.74</v>
      </c>
      <c r="E109" s="137">
        <f t="shared" si="5"/>
        <v>4.2197253433208612E-2</v>
      </c>
      <c r="F109" s="92">
        <f t="shared" si="7"/>
        <v>44.409648032030304</v>
      </c>
      <c r="H109" s="87"/>
    </row>
    <row r="110" spans="1:8" x14ac:dyDescent="0.25">
      <c r="B110" t="s">
        <v>217</v>
      </c>
      <c r="C110" s="87">
        <v>48.18</v>
      </c>
      <c r="D110" s="87">
        <v>49.5</v>
      </c>
      <c r="E110" s="137">
        <f t="shared" si="5"/>
        <v>2.7397260273972608E-2</v>
      </c>
      <c r="F110" s="92">
        <f t="shared" si="7"/>
        <v>51.548116794001892</v>
      </c>
      <c r="H110" s="87"/>
    </row>
    <row r="111" spans="1:8" x14ac:dyDescent="0.25">
      <c r="B111" t="s">
        <v>218</v>
      </c>
      <c r="C111" s="87">
        <v>46.85</v>
      </c>
      <c r="D111" s="87">
        <v>50.65</v>
      </c>
      <c r="E111" s="137">
        <f t="shared" si="5"/>
        <v>8.1109925293489801E-2</v>
      </c>
      <c r="F111" s="92">
        <f t="shared" si="7"/>
        <v>56.935643223807695</v>
      </c>
      <c r="H111" s="87"/>
    </row>
    <row r="112" spans="1:8" x14ac:dyDescent="0.25">
      <c r="B112" t="s">
        <v>219</v>
      </c>
      <c r="D112" s="87">
        <v>64.09</v>
      </c>
      <c r="E112" s="137">
        <f t="shared" si="5"/>
        <v>0</v>
      </c>
      <c r="F112" s="92">
        <f t="shared" si="7"/>
        <v>64.09</v>
      </c>
      <c r="H112" s="87"/>
    </row>
    <row r="113" spans="1:8" x14ac:dyDescent="0.25">
      <c r="B113" t="s">
        <v>220</v>
      </c>
      <c r="C113" s="87">
        <v>37.35</v>
      </c>
      <c r="D113" s="87">
        <v>40.909999999999997</v>
      </c>
      <c r="E113" s="137">
        <f t="shared" ref="E113:E136" si="8">IF(C113="",0,(D113-C113)/C113)</f>
        <v>9.5314591700133733E-2</v>
      </c>
      <c r="F113" s="92">
        <f t="shared" si="7"/>
        <v>46.896214714600923</v>
      </c>
    </row>
    <row r="114" spans="1:8" x14ac:dyDescent="0.25">
      <c r="B114" t="s">
        <v>221</v>
      </c>
      <c r="C114" s="87">
        <v>32.130000000000003</v>
      </c>
      <c r="D114" s="87">
        <v>34.89</v>
      </c>
      <c r="E114" s="137">
        <f t="shared" si="8"/>
        <v>8.5901027077497596E-2</v>
      </c>
      <c r="F114" s="92">
        <f t="shared" si="7"/>
        <v>39.480835553288017</v>
      </c>
      <c r="H114" s="87"/>
    </row>
    <row r="115" spans="1:8" x14ac:dyDescent="0.25">
      <c r="B115" t="s">
        <v>222</v>
      </c>
      <c r="C115" s="87">
        <v>97.33</v>
      </c>
      <c r="D115" s="87">
        <v>100.2</v>
      </c>
      <c r="E115" s="137">
        <f t="shared" si="8"/>
        <v>2.9487311209288037E-2</v>
      </c>
      <c r="F115" s="92">
        <f t="shared" si="7"/>
        <v>104.66445557834082</v>
      </c>
      <c r="H115" s="87"/>
    </row>
    <row r="116" spans="1:8" x14ac:dyDescent="0.25">
      <c r="B116" t="s">
        <v>223</v>
      </c>
      <c r="C116" s="87">
        <v>19.95</v>
      </c>
      <c r="D116" s="87">
        <v>20.079999999999998</v>
      </c>
      <c r="E116" s="137">
        <f t="shared" si="8"/>
        <v>6.516290726816993E-3</v>
      </c>
      <c r="F116" s="92">
        <f t="shared" si="7"/>
        <v>20.276590069482879</v>
      </c>
      <c r="H116" s="87"/>
    </row>
    <row r="117" spans="1:8" x14ac:dyDescent="0.25">
      <c r="A117" t="s">
        <v>224</v>
      </c>
      <c r="B117" t="s">
        <v>225</v>
      </c>
      <c r="C117" s="87">
        <v>41.14</v>
      </c>
      <c r="D117" s="87">
        <v>44.24</v>
      </c>
      <c r="E117" s="137">
        <f t="shared" si="8"/>
        <v>7.5352455031599444E-2</v>
      </c>
      <c r="F117" s="92">
        <f t="shared" si="7"/>
        <v>49.333436025804382</v>
      </c>
      <c r="H117" s="87"/>
    </row>
    <row r="118" spans="1:8" x14ac:dyDescent="0.25">
      <c r="A118" t="s">
        <v>224</v>
      </c>
      <c r="B118" t="s">
        <v>226</v>
      </c>
      <c r="C118" s="87">
        <v>36.61</v>
      </c>
      <c r="D118" s="87">
        <v>40.58</v>
      </c>
      <c r="E118" s="137">
        <f t="shared" si="8"/>
        <v>0.10844031685331873</v>
      </c>
      <c r="F118" s="92">
        <f t="shared" si="7"/>
        <v>47.356599897605982</v>
      </c>
      <c r="H118" s="87"/>
    </row>
    <row r="119" spans="1:8" x14ac:dyDescent="0.25">
      <c r="A119" t="s">
        <v>224</v>
      </c>
      <c r="B119" t="s">
        <v>227</v>
      </c>
      <c r="D119" s="87">
        <v>61.46</v>
      </c>
      <c r="E119" s="137">
        <f t="shared" si="8"/>
        <v>0</v>
      </c>
      <c r="F119" s="92">
        <f t="shared" si="7"/>
        <v>61.46</v>
      </c>
      <c r="H119" s="87"/>
    </row>
    <row r="120" spans="1:8" x14ac:dyDescent="0.25">
      <c r="B120" t="s">
        <v>228</v>
      </c>
      <c r="D120" s="87">
        <v>140.47999999999999</v>
      </c>
      <c r="E120" s="137">
        <f t="shared" si="8"/>
        <v>0</v>
      </c>
      <c r="F120" s="92">
        <f t="shared" si="7"/>
        <v>140.47999999999999</v>
      </c>
    </row>
    <row r="121" spans="1:8" x14ac:dyDescent="0.25">
      <c r="B121" t="s">
        <v>229</v>
      </c>
      <c r="D121" s="87">
        <v>116.11</v>
      </c>
      <c r="E121" s="137">
        <f t="shared" si="8"/>
        <v>0</v>
      </c>
      <c r="F121" s="92">
        <f t="shared" si="7"/>
        <v>116.11</v>
      </c>
    </row>
    <row r="122" spans="1:8" x14ac:dyDescent="0.25">
      <c r="B122" t="s">
        <v>230</v>
      </c>
      <c r="D122" s="87">
        <v>65.09</v>
      </c>
      <c r="E122" s="137">
        <f t="shared" si="8"/>
        <v>0</v>
      </c>
      <c r="F122" s="92">
        <f t="shared" si="7"/>
        <v>65.09</v>
      </c>
    </row>
    <row r="123" spans="1:8" x14ac:dyDescent="0.25">
      <c r="A123" t="s">
        <v>231</v>
      </c>
      <c r="B123" t="s">
        <v>232</v>
      </c>
      <c r="D123" s="87">
        <v>101.14</v>
      </c>
      <c r="E123" s="137">
        <f t="shared" si="8"/>
        <v>0</v>
      </c>
      <c r="F123" s="92">
        <f t="shared" si="7"/>
        <v>101.14</v>
      </c>
      <c r="H123" s="87"/>
    </row>
    <row r="124" spans="1:8" x14ac:dyDescent="0.25">
      <c r="A124" t="s">
        <v>231</v>
      </c>
      <c r="B124" t="s">
        <v>234</v>
      </c>
      <c r="D124" s="87">
        <v>123.88</v>
      </c>
      <c r="E124" s="137">
        <f t="shared" si="8"/>
        <v>0</v>
      </c>
      <c r="F124" s="92">
        <f t="shared" si="7"/>
        <v>123.88</v>
      </c>
    </row>
    <row r="125" spans="1:8" x14ac:dyDescent="0.25">
      <c r="B125" t="s">
        <v>235</v>
      </c>
      <c r="C125" s="87">
        <v>44.62</v>
      </c>
      <c r="D125" s="87">
        <v>47.01</v>
      </c>
      <c r="E125" s="137">
        <f t="shared" si="8"/>
        <v>5.3563424473330359E-2</v>
      </c>
      <c r="F125" s="92">
        <f t="shared" si="7"/>
        <v>50.837159788971647</v>
      </c>
    </row>
    <row r="126" spans="1:8" x14ac:dyDescent="0.25">
      <c r="B126" t="s">
        <v>236</v>
      </c>
      <c r="C126" s="87">
        <v>28.74</v>
      </c>
      <c r="D126" s="87">
        <v>35</v>
      </c>
      <c r="E126" s="137">
        <f t="shared" si="8"/>
        <v>0.21781489213639532</v>
      </c>
      <c r="F126" s="92">
        <f t="shared" si="7"/>
        <v>47.037037944800502</v>
      </c>
      <c r="H126" s="87"/>
    </row>
    <row r="127" spans="1:8" x14ac:dyDescent="0.25">
      <c r="B127" t="s">
        <v>237</v>
      </c>
      <c r="D127" s="87">
        <v>229.25</v>
      </c>
      <c r="E127" s="137">
        <f t="shared" si="8"/>
        <v>0</v>
      </c>
      <c r="F127" s="92">
        <f t="shared" si="7"/>
        <v>229.25</v>
      </c>
      <c r="H127" s="87"/>
    </row>
    <row r="128" spans="1:8" x14ac:dyDescent="0.25">
      <c r="B128" t="s">
        <v>238</v>
      </c>
      <c r="C128" s="87">
        <v>45.6</v>
      </c>
      <c r="D128" s="87">
        <v>48.91</v>
      </c>
      <c r="E128" s="137">
        <f t="shared" si="8"/>
        <v>7.2587719298245507E-2</v>
      </c>
      <c r="F128" s="92">
        <f t="shared" ref="F128:F185" si="9">D128*(1+E128)^1.5</f>
        <v>54.330899225130828</v>
      </c>
    </row>
    <row r="129" spans="1:8" x14ac:dyDescent="0.25">
      <c r="B129" t="s">
        <v>239</v>
      </c>
      <c r="D129" s="87">
        <v>120.22</v>
      </c>
      <c r="E129" s="137">
        <f t="shared" si="8"/>
        <v>0</v>
      </c>
      <c r="F129" s="92">
        <f t="shared" si="9"/>
        <v>120.22</v>
      </c>
      <c r="H129" s="87"/>
    </row>
    <row r="130" spans="1:8" x14ac:dyDescent="0.25">
      <c r="B130" t="s">
        <v>240</v>
      </c>
      <c r="D130" s="87">
        <v>86.47</v>
      </c>
      <c r="E130" s="137">
        <f t="shared" si="8"/>
        <v>0</v>
      </c>
      <c r="F130" s="92">
        <f t="shared" si="9"/>
        <v>86.47</v>
      </c>
    </row>
    <row r="131" spans="1:8" x14ac:dyDescent="0.25">
      <c r="A131" t="s">
        <v>241</v>
      </c>
      <c r="B131" t="s">
        <v>242</v>
      </c>
      <c r="C131" s="87">
        <v>35.409999999999997</v>
      </c>
      <c r="D131" s="87">
        <v>50.79</v>
      </c>
      <c r="E131" s="137">
        <f t="shared" si="8"/>
        <v>0.43434058175656604</v>
      </c>
      <c r="F131" s="92">
        <f t="shared" si="9"/>
        <v>87.248233359349626</v>
      </c>
    </row>
    <row r="132" spans="1:8" x14ac:dyDescent="0.25">
      <c r="A132" t="s">
        <v>241</v>
      </c>
      <c r="B132" t="s">
        <v>243</v>
      </c>
      <c r="C132" s="87">
        <v>19.38</v>
      </c>
      <c r="D132" s="87">
        <v>22.09</v>
      </c>
      <c r="E132" s="137">
        <f t="shared" si="8"/>
        <v>0.13983488132094948</v>
      </c>
      <c r="F132" s="92">
        <f t="shared" si="9"/>
        <v>26.881817639506362</v>
      </c>
      <c r="H132" s="87"/>
    </row>
    <row r="133" spans="1:8" x14ac:dyDescent="0.25">
      <c r="A133" t="s">
        <v>241</v>
      </c>
      <c r="B133" t="s">
        <v>244</v>
      </c>
      <c r="C133" s="87">
        <v>29.48</v>
      </c>
      <c r="D133" s="87">
        <v>33.86</v>
      </c>
      <c r="E133" s="137">
        <f t="shared" si="8"/>
        <v>0.14857530529172316</v>
      </c>
      <c r="F133" s="92">
        <f t="shared" si="9"/>
        <v>41.679851758493839</v>
      </c>
      <c r="H133" s="87"/>
    </row>
    <row r="134" spans="1:8" x14ac:dyDescent="0.25">
      <c r="A134" t="s">
        <v>241</v>
      </c>
      <c r="B134" t="s">
        <v>245</v>
      </c>
      <c r="C134" s="87">
        <v>23.85</v>
      </c>
      <c r="D134" s="87">
        <v>27.51</v>
      </c>
      <c r="E134" s="137">
        <f t="shared" si="8"/>
        <v>0.15345911949685534</v>
      </c>
      <c r="F134" s="92">
        <f t="shared" si="9"/>
        <v>34.079553874541617</v>
      </c>
      <c r="H134" s="87"/>
    </row>
    <row r="135" spans="1:8" x14ac:dyDescent="0.25">
      <c r="A135" t="s">
        <v>241</v>
      </c>
      <c r="B135" t="s">
        <v>246</v>
      </c>
      <c r="C135" s="87">
        <v>44.1</v>
      </c>
      <c r="D135" s="87">
        <v>61.9</v>
      </c>
      <c r="E135" s="137">
        <f t="shared" si="8"/>
        <v>0.40362811791383213</v>
      </c>
      <c r="F135" s="92">
        <f t="shared" si="9"/>
        <v>102.93634377227762</v>
      </c>
      <c r="H135" s="87"/>
    </row>
    <row r="136" spans="1:8" x14ac:dyDescent="0.25">
      <c r="A136" t="s">
        <v>241</v>
      </c>
      <c r="B136" t="s">
        <v>247</v>
      </c>
      <c r="C136" s="87">
        <v>13.92</v>
      </c>
      <c r="D136" s="87">
        <v>20.190000000000001</v>
      </c>
      <c r="E136" s="137">
        <f t="shared" si="8"/>
        <v>0.45043103448275873</v>
      </c>
      <c r="F136" s="92">
        <f t="shared" si="9"/>
        <v>35.268090329493297</v>
      </c>
      <c r="H136" s="87"/>
    </row>
    <row r="137" spans="1:8" x14ac:dyDescent="0.25">
      <c r="D137" s="87"/>
      <c r="E137" s="147" t="s">
        <v>480</v>
      </c>
      <c r="F137" s="92">
        <f>AVERAGE(F77:F136)</f>
        <v>65.611896418490971</v>
      </c>
      <c r="H137" s="87"/>
    </row>
    <row r="138" spans="1:8" x14ac:dyDescent="0.25">
      <c r="F138" s="92"/>
      <c r="H138" t="s">
        <v>482</v>
      </c>
    </row>
    <row r="139" spans="1:8" x14ac:dyDescent="0.25">
      <c r="A139" s="94"/>
      <c r="B139" s="95" t="s">
        <v>248</v>
      </c>
      <c r="C139" s="95"/>
      <c r="D139" s="94"/>
      <c r="F139" s="92"/>
      <c r="G139" s="87"/>
      <c r="H139" s="92">
        <f>AVERAGE(F137,F186)</f>
        <v>82.434278025045231</v>
      </c>
    </row>
    <row r="140" spans="1:8" x14ac:dyDescent="0.25">
      <c r="A140" s="94"/>
      <c r="B140" s="94" t="s">
        <v>181</v>
      </c>
      <c r="C140" s="87">
        <v>144.88999999999999</v>
      </c>
      <c r="D140" s="96">
        <v>155.53</v>
      </c>
      <c r="E140" s="137">
        <f t="shared" ref="E140:E185" si="10">IF(C140="",0,(D140-C140)/C140)</f>
        <v>7.3435019670094664E-2</v>
      </c>
      <c r="F140" s="92">
        <f t="shared" si="9"/>
        <v>172.97279830299615</v>
      </c>
    </row>
    <row r="141" spans="1:8" x14ac:dyDescent="0.25">
      <c r="A141" s="94"/>
      <c r="B141" s="94" t="s">
        <v>183</v>
      </c>
      <c r="C141" s="87">
        <v>93.91</v>
      </c>
      <c r="D141" s="96">
        <v>106.98</v>
      </c>
      <c r="E141" s="137">
        <f t="shared" si="10"/>
        <v>0.13917580662336287</v>
      </c>
      <c r="F141" s="92">
        <f t="shared" si="9"/>
        <v>130.07346907264525</v>
      </c>
      <c r="H141" s="87"/>
    </row>
    <row r="142" spans="1:8" x14ac:dyDescent="0.25">
      <c r="A142" s="94"/>
      <c r="B142" s="94" t="s">
        <v>184</v>
      </c>
      <c r="C142" s="87">
        <v>87.17</v>
      </c>
      <c r="D142" s="96">
        <v>110.45</v>
      </c>
      <c r="E142" s="137">
        <f t="shared" si="10"/>
        <v>0.2670643570035563</v>
      </c>
      <c r="F142" s="92">
        <f t="shared" si="9"/>
        <v>157.53016632218538</v>
      </c>
      <c r="H142" s="87"/>
    </row>
    <row r="143" spans="1:8" x14ac:dyDescent="0.25">
      <c r="A143" s="94" t="s">
        <v>185</v>
      </c>
      <c r="B143" s="94" t="s">
        <v>188</v>
      </c>
      <c r="C143" s="87">
        <v>110.89</v>
      </c>
      <c r="D143" s="96">
        <v>121.88</v>
      </c>
      <c r="E143" s="137">
        <f t="shared" si="10"/>
        <v>9.9107223374515233E-2</v>
      </c>
      <c r="F143" s="92">
        <f t="shared" si="9"/>
        <v>140.44055551795819</v>
      </c>
      <c r="H143" s="87"/>
    </row>
    <row r="144" spans="1:8" x14ac:dyDescent="0.25">
      <c r="A144" s="94" t="s">
        <v>185</v>
      </c>
      <c r="B144" s="94" t="s">
        <v>186</v>
      </c>
      <c r="C144" s="87">
        <v>88.87</v>
      </c>
      <c r="D144" s="96">
        <v>95.32</v>
      </c>
      <c r="E144" s="137">
        <f t="shared" si="10"/>
        <v>7.2577922808596693E-2</v>
      </c>
      <c r="F144" s="92">
        <f t="shared" si="9"/>
        <v>105.88326238160725</v>
      </c>
      <c r="H144" s="87"/>
    </row>
    <row r="145" spans="1:8" x14ac:dyDescent="0.25">
      <c r="A145" s="94" t="s">
        <v>185</v>
      </c>
      <c r="B145" s="94" t="s">
        <v>187</v>
      </c>
      <c r="C145" s="87">
        <v>60.76</v>
      </c>
      <c r="D145" s="96">
        <v>68.59</v>
      </c>
      <c r="E145" s="137">
        <f t="shared" si="10"/>
        <v>0.12886767610269922</v>
      </c>
      <c r="F145" s="92">
        <f t="shared" si="9"/>
        <v>82.266942986351722</v>
      </c>
      <c r="H145" s="87"/>
    </row>
    <row r="146" spans="1:8" x14ac:dyDescent="0.25">
      <c r="A146" s="94"/>
      <c r="B146" s="94" t="s">
        <v>189</v>
      </c>
      <c r="C146" s="87">
        <v>44.75</v>
      </c>
      <c r="D146" s="96">
        <v>47.72</v>
      </c>
      <c r="E146" s="137">
        <f t="shared" si="10"/>
        <v>6.6368715083798852E-2</v>
      </c>
      <c r="F146" s="92">
        <f t="shared" si="9"/>
        <v>52.548645734060848</v>
      </c>
      <c r="H146" s="87"/>
    </row>
    <row r="147" spans="1:8" x14ac:dyDescent="0.25">
      <c r="A147" s="94"/>
      <c r="B147" s="94" t="s">
        <v>190</v>
      </c>
      <c r="C147" s="87">
        <v>85.58</v>
      </c>
      <c r="D147" s="96">
        <v>90.91</v>
      </c>
      <c r="E147" s="137">
        <f t="shared" si="10"/>
        <v>6.2280906753914449E-2</v>
      </c>
      <c r="F147" s="92">
        <f t="shared" si="9"/>
        <v>99.5338312415617</v>
      </c>
      <c r="H147" s="87"/>
    </row>
    <row r="148" spans="1:8" x14ac:dyDescent="0.25">
      <c r="A148" s="94"/>
      <c r="B148" s="94" t="s">
        <v>191</v>
      </c>
      <c r="C148" s="87">
        <v>114.56</v>
      </c>
      <c r="D148" s="96">
        <v>122.66</v>
      </c>
      <c r="E148" s="137">
        <f t="shared" si="10"/>
        <v>7.070530726256978E-2</v>
      </c>
      <c r="F148" s="92">
        <f t="shared" si="9"/>
        <v>135.89638164530157</v>
      </c>
      <c r="H148" s="87"/>
    </row>
    <row r="149" spans="1:8" x14ac:dyDescent="0.25">
      <c r="A149" s="94"/>
      <c r="B149" s="94" t="s">
        <v>192</v>
      </c>
      <c r="C149" s="87">
        <v>46.25</v>
      </c>
      <c r="D149" s="96">
        <v>49.05</v>
      </c>
      <c r="E149" s="137">
        <f t="shared" si="10"/>
        <v>6.0540540540540477E-2</v>
      </c>
      <c r="F149" s="92">
        <f t="shared" si="9"/>
        <v>53.571021010961815</v>
      </c>
      <c r="H149" s="87"/>
    </row>
    <row r="150" spans="1:8" x14ac:dyDescent="0.25">
      <c r="A150" s="94"/>
      <c r="B150" s="94" t="s">
        <v>193</v>
      </c>
      <c r="D150" s="96">
        <v>45.55</v>
      </c>
      <c r="E150" s="137">
        <f t="shared" si="10"/>
        <v>0</v>
      </c>
      <c r="F150" s="92">
        <f t="shared" si="9"/>
        <v>45.55</v>
      </c>
      <c r="H150" s="87"/>
    </row>
    <row r="151" spans="1:8" x14ac:dyDescent="0.25">
      <c r="A151" s="94"/>
      <c r="B151" s="94" t="s">
        <v>194</v>
      </c>
      <c r="D151" s="96">
        <v>29.98</v>
      </c>
      <c r="E151" s="137">
        <f t="shared" si="10"/>
        <v>0</v>
      </c>
      <c r="F151" s="92">
        <f t="shared" si="9"/>
        <v>29.98</v>
      </c>
    </row>
    <row r="152" spans="1:8" x14ac:dyDescent="0.25">
      <c r="A152" s="94"/>
      <c r="B152" s="94" t="s">
        <v>198</v>
      </c>
      <c r="D152" s="96">
        <v>58.37</v>
      </c>
      <c r="E152" s="137">
        <f t="shared" si="10"/>
        <v>0</v>
      </c>
      <c r="F152" s="92">
        <f t="shared" si="9"/>
        <v>58.37</v>
      </c>
    </row>
    <row r="153" spans="1:8" x14ac:dyDescent="0.25">
      <c r="A153" s="94"/>
      <c r="B153" s="94" t="s">
        <v>199</v>
      </c>
      <c r="C153" s="87">
        <v>72.06</v>
      </c>
      <c r="D153" s="96">
        <v>77.97</v>
      </c>
      <c r="E153" s="137">
        <f t="shared" si="10"/>
        <v>8.201498751040795E-2</v>
      </c>
      <c r="F153" s="92">
        <f t="shared" si="9"/>
        <v>87.75612718021506</v>
      </c>
    </row>
    <row r="154" spans="1:8" x14ac:dyDescent="0.25">
      <c r="A154" s="94"/>
      <c r="B154" s="94" t="s">
        <v>200</v>
      </c>
      <c r="C154" s="87">
        <v>87.93</v>
      </c>
      <c r="D154" s="96">
        <v>93.9</v>
      </c>
      <c r="E154" s="137">
        <f t="shared" si="10"/>
        <v>6.7894916410781284E-2</v>
      </c>
      <c r="F154" s="92">
        <f t="shared" si="9"/>
        <v>103.6235271876906</v>
      </c>
      <c r="H154" s="87"/>
    </row>
    <row r="155" spans="1:8" x14ac:dyDescent="0.25">
      <c r="A155" s="94" t="s">
        <v>201</v>
      </c>
      <c r="B155" s="94" t="s">
        <v>249</v>
      </c>
      <c r="C155" s="87">
        <v>79.16</v>
      </c>
      <c r="D155" s="96">
        <v>93.28</v>
      </c>
      <c r="E155" s="137">
        <f t="shared" si="10"/>
        <v>0.1783729156139465</v>
      </c>
      <c r="F155" s="92">
        <f t="shared" si="9"/>
        <v>119.31984079827444</v>
      </c>
      <c r="H155" s="87"/>
    </row>
    <row r="156" spans="1:8" x14ac:dyDescent="0.25">
      <c r="A156" s="94"/>
      <c r="B156" s="94" t="s">
        <v>206</v>
      </c>
      <c r="C156" s="87">
        <v>130.21</v>
      </c>
      <c r="D156" s="96">
        <v>137.02000000000001</v>
      </c>
      <c r="E156" s="137">
        <f t="shared" si="10"/>
        <v>5.2300130558328869E-2</v>
      </c>
      <c r="F156" s="92">
        <f t="shared" si="9"/>
        <v>147.90859088924134</v>
      </c>
      <c r="H156" s="87"/>
    </row>
    <row r="157" spans="1:8" x14ac:dyDescent="0.25">
      <c r="A157" s="94"/>
      <c r="B157" s="94" t="s">
        <v>207</v>
      </c>
      <c r="C157" s="87">
        <v>53.75</v>
      </c>
      <c r="D157" s="96">
        <v>55.85</v>
      </c>
      <c r="E157" s="137">
        <f t="shared" si="10"/>
        <v>3.9069767441860491E-2</v>
      </c>
      <c r="F157" s="92">
        <f t="shared" si="9"/>
        <v>59.154834104219745</v>
      </c>
      <c r="H157" s="87"/>
    </row>
    <row r="158" spans="1:8" x14ac:dyDescent="0.25">
      <c r="A158" s="94" t="s">
        <v>209</v>
      </c>
      <c r="B158" s="94" t="s">
        <v>211</v>
      </c>
      <c r="C158" s="87">
        <v>28.26</v>
      </c>
      <c r="D158" s="96">
        <v>28.53</v>
      </c>
      <c r="E158" s="137">
        <f t="shared" si="10"/>
        <v>9.554140127388519E-3</v>
      </c>
      <c r="F158" s="92">
        <f t="shared" si="9"/>
        <v>28.939844476152093</v>
      </c>
      <c r="H158" s="87"/>
    </row>
    <row r="159" spans="1:8" x14ac:dyDescent="0.25">
      <c r="A159" s="94" t="s">
        <v>209</v>
      </c>
      <c r="B159" s="94" t="s">
        <v>213</v>
      </c>
      <c r="D159" s="96">
        <v>85.55</v>
      </c>
      <c r="E159" s="137">
        <f t="shared" si="10"/>
        <v>0</v>
      </c>
      <c r="F159" s="92">
        <f t="shared" si="9"/>
        <v>85.55</v>
      </c>
      <c r="H159" s="87"/>
    </row>
    <row r="160" spans="1:8" x14ac:dyDescent="0.25">
      <c r="B160" t="s">
        <v>216</v>
      </c>
      <c r="D160" s="87">
        <v>46.57</v>
      </c>
      <c r="E160" s="137">
        <f t="shared" si="10"/>
        <v>0</v>
      </c>
      <c r="F160" s="92">
        <f t="shared" si="9"/>
        <v>46.57</v>
      </c>
    </row>
    <row r="161" spans="1:8" x14ac:dyDescent="0.25">
      <c r="B161" t="s">
        <v>217</v>
      </c>
      <c r="D161" s="87">
        <v>59.73</v>
      </c>
      <c r="E161" s="137">
        <f t="shared" si="10"/>
        <v>0</v>
      </c>
      <c r="F161" s="92">
        <f t="shared" si="9"/>
        <v>59.73</v>
      </c>
    </row>
    <row r="162" spans="1:8" x14ac:dyDescent="0.25">
      <c r="B162" t="s">
        <v>218</v>
      </c>
      <c r="C162" s="87">
        <v>55.74</v>
      </c>
      <c r="D162" s="87">
        <v>64.64</v>
      </c>
      <c r="E162" s="137">
        <f t="shared" si="10"/>
        <v>0.15966989594546105</v>
      </c>
      <c r="F162" s="92">
        <f t="shared" si="9"/>
        <v>80.724046304908313</v>
      </c>
    </row>
    <row r="163" spans="1:8" x14ac:dyDescent="0.25">
      <c r="B163" t="s">
        <v>219</v>
      </c>
      <c r="C163" s="87">
        <v>61.31</v>
      </c>
      <c r="D163" s="87">
        <v>68.5</v>
      </c>
      <c r="E163" s="137">
        <f t="shared" si="10"/>
        <v>0.11727287555048112</v>
      </c>
      <c r="F163" s="92">
        <f t="shared" si="9"/>
        <v>80.896448280295473</v>
      </c>
      <c r="H163" s="87"/>
    </row>
    <row r="164" spans="1:8" x14ac:dyDescent="0.25">
      <c r="B164" t="s">
        <v>220</v>
      </c>
      <c r="C164" s="87">
        <v>77.709999999999994</v>
      </c>
      <c r="D164" s="87">
        <v>85.62</v>
      </c>
      <c r="E164" s="137">
        <f t="shared" si="10"/>
        <v>0.10178870158280802</v>
      </c>
      <c r="F164" s="92">
        <f t="shared" si="9"/>
        <v>99.019948314246747</v>
      </c>
      <c r="H164" s="87"/>
    </row>
    <row r="165" spans="1:8" x14ac:dyDescent="0.25">
      <c r="B165" t="s">
        <v>221</v>
      </c>
      <c r="C165" s="87">
        <v>51.07</v>
      </c>
      <c r="D165" s="87">
        <v>58.37</v>
      </c>
      <c r="E165" s="137">
        <f t="shared" si="10"/>
        <v>0.1429410612884276</v>
      </c>
      <c r="F165" s="92">
        <f t="shared" si="9"/>
        <v>71.322317513653715</v>
      </c>
      <c r="H165" s="87"/>
    </row>
    <row r="166" spans="1:8" x14ac:dyDescent="0.25">
      <c r="A166" t="s">
        <v>224</v>
      </c>
      <c r="B166" t="s">
        <v>225</v>
      </c>
      <c r="C166" s="87">
        <v>58.08</v>
      </c>
      <c r="D166" s="87">
        <v>66.09</v>
      </c>
      <c r="E166" s="137">
        <f t="shared" si="10"/>
        <v>0.13791322314049595</v>
      </c>
      <c r="F166" s="92">
        <f t="shared" si="9"/>
        <v>80.223105182901193</v>
      </c>
      <c r="H166" s="87"/>
    </row>
    <row r="167" spans="1:8" x14ac:dyDescent="0.25">
      <c r="A167" t="s">
        <v>224</v>
      </c>
      <c r="B167" t="s">
        <v>226</v>
      </c>
      <c r="C167" s="87">
        <v>33.5</v>
      </c>
      <c r="D167" s="87">
        <v>36.42</v>
      </c>
      <c r="E167" s="137">
        <f t="shared" si="10"/>
        <v>8.7164179104477657E-2</v>
      </c>
      <c r="F167" s="92">
        <f t="shared" si="9"/>
        <v>41.284083055170214</v>
      </c>
      <c r="H167" s="87"/>
    </row>
    <row r="168" spans="1:8" x14ac:dyDescent="0.25">
      <c r="A168" t="s">
        <v>224</v>
      </c>
      <c r="B168" t="s">
        <v>227</v>
      </c>
      <c r="C168" s="87">
        <v>70.36</v>
      </c>
      <c r="D168" s="87">
        <v>83.81</v>
      </c>
      <c r="E168" s="137">
        <f t="shared" si="10"/>
        <v>0.19115974985787385</v>
      </c>
      <c r="F168" s="92">
        <f t="shared" si="9"/>
        <v>108.9559258516738</v>
      </c>
      <c r="H168" s="87"/>
    </row>
    <row r="169" spans="1:8" x14ac:dyDescent="0.25">
      <c r="A169" t="s">
        <v>250</v>
      </c>
      <c r="B169" t="s">
        <v>251</v>
      </c>
      <c r="C169" s="87">
        <v>125.88</v>
      </c>
      <c r="D169" s="87">
        <v>143.47</v>
      </c>
      <c r="E169" s="137">
        <f t="shared" si="10"/>
        <v>0.13973625675246271</v>
      </c>
      <c r="F169" s="92">
        <f t="shared" si="9"/>
        <v>174.5692091376753</v>
      </c>
      <c r="H169" s="87"/>
    </row>
    <row r="170" spans="1:8" x14ac:dyDescent="0.25">
      <c r="A170" t="s">
        <v>250</v>
      </c>
      <c r="B170" t="s">
        <v>252</v>
      </c>
      <c r="C170" s="87">
        <v>103</v>
      </c>
      <c r="D170" s="87">
        <v>118.73</v>
      </c>
      <c r="E170" s="137">
        <f t="shared" si="10"/>
        <v>0.15271844660194178</v>
      </c>
      <c r="F170" s="92">
        <f t="shared" si="9"/>
        <v>146.94179218780693</v>
      </c>
      <c r="H170" s="87"/>
    </row>
    <row r="171" spans="1:8" x14ac:dyDescent="0.25">
      <c r="A171" t="s">
        <v>230</v>
      </c>
      <c r="B171" t="s">
        <v>230</v>
      </c>
      <c r="C171" s="87">
        <v>81.650000000000006</v>
      </c>
      <c r="D171" s="87">
        <v>91.66</v>
      </c>
      <c r="E171" s="137">
        <f t="shared" si="10"/>
        <v>0.12259644825474575</v>
      </c>
      <c r="F171" s="92">
        <f t="shared" si="9"/>
        <v>109.02230219328064</v>
      </c>
      <c r="H171" s="87"/>
    </row>
    <row r="172" spans="1:8" x14ac:dyDescent="0.25">
      <c r="A172" t="s">
        <v>253</v>
      </c>
      <c r="B172" t="s">
        <v>253</v>
      </c>
      <c r="C172" s="87"/>
      <c r="D172" s="87">
        <v>154.84</v>
      </c>
      <c r="E172" s="137">
        <f t="shared" si="10"/>
        <v>0</v>
      </c>
      <c r="F172" s="92">
        <f t="shared" si="9"/>
        <v>154.84</v>
      </c>
      <c r="H172" s="87"/>
    </row>
    <row r="173" spans="1:8" x14ac:dyDescent="0.25">
      <c r="A173" t="s">
        <v>231</v>
      </c>
      <c r="B173" t="s">
        <v>232</v>
      </c>
      <c r="C173" s="87">
        <v>102.55</v>
      </c>
      <c r="D173" s="87">
        <v>111.55</v>
      </c>
      <c r="E173" s="137">
        <f t="shared" si="10"/>
        <v>8.7762067284251594E-2</v>
      </c>
      <c r="F173" s="92">
        <f t="shared" si="9"/>
        <v>126.5524156635729</v>
      </c>
      <c r="H173" s="87"/>
    </row>
    <row r="174" spans="1:8" x14ac:dyDescent="0.25">
      <c r="A174" t="s">
        <v>231</v>
      </c>
      <c r="B174" t="s">
        <v>233</v>
      </c>
      <c r="C174" s="87">
        <v>78.03</v>
      </c>
      <c r="D174" s="87">
        <v>93.56</v>
      </c>
      <c r="E174" s="137">
        <f t="shared" si="10"/>
        <v>0.19902601563501218</v>
      </c>
      <c r="F174" s="92">
        <f t="shared" si="9"/>
        <v>122.83810908000133</v>
      </c>
      <c r="H174" s="87"/>
    </row>
    <row r="175" spans="1:8" x14ac:dyDescent="0.25">
      <c r="A175" t="s">
        <v>231</v>
      </c>
      <c r="B175" t="s">
        <v>234</v>
      </c>
      <c r="C175" s="87">
        <v>112.95</v>
      </c>
      <c r="D175" s="87">
        <v>121.79</v>
      </c>
      <c r="E175" s="137">
        <f t="shared" si="10"/>
        <v>7.8264718902169128E-2</v>
      </c>
      <c r="F175" s="92">
        <f t="shared" si="9"/>
        <v>136.36399726201378</v>
      </c>
      <c r="H175" s="87"/>
    </row>
    <row r="176" spans="1:8" x14ac:dyDescent="0.25">
      <c r="B176" t="s">
        <v>235</v>
      </c>
      <c r="C176" s="87">
        <v>68.489999999999995</v>
      </c>
      <c r="D176" s="87">
        <v>69.78</v>
      </c>
      <c r="E176" s="137">
        <f t="shared" si="10"/>
        <v>1.8834866403854671E-2</v>
      </c>
      <c r="F176" s="92">
        <f t="shared" si="9"/>
        <v>71.760699507784054</v>
      </c>
      <c r="H176" s="87"/>
    </row>
    <row r="177" spans="1:12" x14ac:dyDescent="0.25">
      <c r="B177" t="s">
        <v>254</v>
      </c>
      <c r="C177" s="87">
        <v>137.28</v>
      </c>
      <c r="D177" s="87">
        <v>144.96</v>
      </c>
      <c r="E177" s="137">
        <f t="shared" si="10"/>
        <v>5.5944055944055993E-2</v>
      </c>
      <c r="F177" s="92">
        <f t="shared" si="9"/>
        <v>157.29305410986328</v>
      </c>
      <c r="H177" s="87"/>
    </row>
    <row r="178" spans="1:12" x14ac:dyDescent="0.25">
      <c r="B178" t="s">
        <v>236</v>
      </c>
      <c r="C178" s="87">
        <v>33.32</v>
      </c>
      <c r="D178" s="87">
        <v>37.43</v>
      </c>
      <c r="E178" s="137">
        <f t="shared" si="10"/>
        <v>0.12334933973589433</v>
      </c>
      <c r="F178" s="92">
        <f t="shared" si="9"/>
        <v>44.564811992257404</v>
      </c>
      <c r="H178" s="87"/>
    </row>
    <row r="179" spans="1:12" x14ac:dyDescent="0.25">
      <c r="B179" t="s">
        <v>237</v>
      </c>
      <c r="C179" s="138">
        <v>213.52</v>
      </c>
      <c r="D179" s="87">
        <v>233.74</v>
      </c>
      <c r="E179" s="137">
        <f t="shared" si="10"/>
        <v>9.4698388909704001E-2</v>
      </c>
      <c r="F179" s="92">
        <f t="shared" si="9"/>
        <v>267.71626543530294</v>
      </c>
      <c r="H179" s="87"/>
    </row>
    <row r="180" spans="1:12" x14ac:dyDescent="0.25">
      <c r="B180" t="s">
        <v>238</v>
      </c>
      <c r="C180" s="87">
        <v>47.31</v>
      </c>
      <c r="D180" s="87">
        <v>53.15</v>
      </c>
      <c r="E180" s="137">
        <f t="shared" si="10"/>
        <v>0.12344113295286401</v>
      </c>
      <c r="F180" s="92">
        <f t="shared" si="9"/>
        <v>63.289075258723955</v>
      </c>
      <c r="H180" s="138"/>
    </row>
    <row r="181" spans="1:12" x14ac:dyDescent="0.25">
      <c r="B181" t="s">
        <v>239</v>
      </c>
      <c r="C181" s="87">
        <v>112.59</v>
      </c>
      <c r="D181" s="87">
        <v>126.41</v>
      </c>
      <c r="E181" s="137">
        <f t="shared" si="10"/>
        <v>0.1227462474464872</v>
      </c>
      <c r="F181" s="92">
        <f t="shared" si="9"/>
        <v>150.38476781276083</v>
      </c>
      <c r="H181" s="87"/>
    </row>
    <row r="182" spans="1:12" x14ac:dyDescent="0.25">
      <c r="B182" t="s">
        <v>240</v>
      </c>
      <c r="C182" s="87">
        <v>72.22</v>
      </c>
      <c r="D182" s="87">
        <v>81.650000000000006</v>
      </c>
      <c r="E182" s="137">
        <f t="shared" si="10"/>
        <v>0.13057324840764342</v>
      </c>
      <c r="F182" s="92">
        <f t="shared" si="9"/>
        <v>98.153151062572661</v>
      </c>
      <c r="H182" s="87"/>
    </row>
    <row r="183" spans="1:12" x14ac:dyDescent="0.25">
      <c r="B183" t="s">
        <v>255</v>
      </c>
      <c r="D183" s="87">
        <v>49.77</v>
      </c>
      <c r="E183" s="137">
        <f t="shared" si="10"/>
        <v>0</v>
      </c>
      <c r="F183" s="92">
        <f t="shared" si="9"/>
        <v>49.77</v>
      </c>
      <c r="H183" s="87"/>
    </row>
    <row r="184" spans="1:12" x14ac:dyDescent="0.25">
      <c r="A184" t="s">
        <v>241</v>
      </c>
      <c r="B184" t="s">
        <v>244</v>
      </c>
      <c r="D184" s="87">
        <v>40.49</v>
      </c>
      <c r="E184" s="137">
        <f t="shared" si="10"/>
        <v>0</v>
      </c>
      <c r="F184" s="92">
        <f t="shared" si="9"/>
        <v>40.49</v>
      </c>
    </row>
    <row r="185" spans="1:12" x14ac:dyDescent="0.25">
      <c r="A185" t="s">
        <v>241</v>
      </c>
      <c r="B185" t="s">
        <v>246</v>
      </c>
      <c r="C185" s="87">
        <v>63.09</v>
      </c>
      <c r="D185" s="87">
        <v>71.3</v>
      </c>
      <c r="E185" s="137">
        <f t="shared" si="10"/>
        <v>0.13013155809161506</v>
      </c>
      <c r="F185" s="92">
        <f t="shared" si="9"/>
        <v>85.660978995687813</v>
      </c>
    </row>
    <row r="186" spans="1:12" x14ac:dyDescent="0.25">
      <c r="E186" s="147" t="s">
        <v>480</v>
      </c>
      <c r="F186" s="92">
        <f>AVERAGE(F140:F185)</f>
        <v>99.25665963159949</v>
      </c>
      <c r="H186" s="87"/>
    </row>
    <row r="187" spans="1:12" x14ac:dyDescent="0.25">
      <c r="F187" s="92"/>
    </row>
    <row r="188" spans="1:12" x14ac:dyDescent="0.25">
      <c r="F188" s="92"/>
    </row>
    <row r="189" spans="1:12" ht="21" x14ac:dyDescent="0.35">
      <c r="A189" s="85" t="s">
        <v>257</v>
      </c>
      <c r="F189" s="92"/>
    </row>
    <row r="190" spans="1:12" ht="21" x14ac:dyDescent="0.35">
      <c r="A190" s="85"/>
      <c r="B190" s="86" t="s">
        <v>258</v>
      </c>
      <c r="C190" s="86"/>
      <c r="H190" s="92" t="s">
        <v>479</v>
      </c>
      <c r="I190" s="90" t="s">
        <v>421</v>
      </c>
      <c r="J190" s="90" t="s">
        <v>422</v>
      </c>
      <c r="K190" s="90" t="s">
        <v>423</v>
      </c>
    </row>
    <row r="191" spans="1:12" x14ac:dyDescent="0.25">
      <c r="A191" t="s">
        <v>259</v>
      </c>
      <c r="B191" t="s">
        <v>260</v>
      </c>
      <c r="C191" s="87">
        <v>9.0399999999999991</v>
      </c>
      <c r="D191" s="87">
        <v>9.91</v>
      </c>
      <c r="E191" s="137">
        <f t="shared" ref="E191:E199" si="11">IF(C191="",0,(D191-C191)/C191)</f>
        <v>9.6238938053097467E-2</v>
      </c>
      <c r="F191" s="92">
        <f t="shared" ref="F191:F192" si="12">D191*(1+E191)^1.5</f>
        <v>11.374478404641073</v>
      </c>
      <c r="H191" s="92">
        <f t="shared" ref="H191:H199" si="13">D191*(1+E191)^1.5*((D193+D194)/2+1)</f>
        <v>23.670289560058073</v>
      </c>
      <c r="I191" s="87">
        <f t="shared" ref="I191:I197" si="14">$D$191*H193</f>
        <v>18.552880240199645</v>
      </c>
      <c r="J191" s="87">
        <f t="shared" ref="J191:J197" si="15">$D$192*H193</f>
        <v>18.14101004314173</v>
      </c>
      <c r="K191" s="87">
        <f>AVERAGE(I191,J191)</f>
        <v>18.346945141670687</v>
      </c>
      <c r="L191" s="87">
        <f>SUM(K191:K192)</f>
        <v>31.601073918269023</v>
      </c>
    </row>
    <row r="192" spans="1:12" x14ac:dyDescent="0.25">
      <c r="A192" t="s">
        <v>259</v>
      </c>
      <c r="B192" t="s">
        <v>261</v>
      </c>
      <c r="C192" s="87">
        <v>8.89</v>
      </c>
      <c r="D192" s="87">
        <v>9.69</v>
      </c>
      <c r="E192" s="137">
        <f t="shared" si="11"/>
        <v>8.9988751406074111E-2</v>
      </c>
      <c r="F192" s="91">
        <f t="shared" si="12"/>
        <v>11.026985440966964</v>
      </c>
      <c r="H192" s="92">
        <f t="shared" si="13"/>
        <v>18.266201382961775</v>
      </c>
      <c r="I192" s="87">
        <f t="shared" si="14"/>
        <v>13.402899609805051</v>
      </c>
      <c r="J192" s="87">
        <f t="shared" si="15"/>
        <v>13.105357943391617</v>
      </c>
      <c r="K192" s="87">
        <f t="shared" ref="K192:K197" si="16">AVERAGE(I192,J192)</f>
        <v>13.254128776598334</v>
      </c>
    </row>
    <row r="193" spans="1:12" x14ac:dyDescent="0.25">
      <c r="A193" t="s">
        <v>262</v>
      </c>
      <c r="B193" t="s">
        <v>263</v>
      </c>
      <c r="C193" s="88">
        <v>1.272</v>
      </c>
      <c r="D193" s="88">
        <v>1.29</v>
      </c>
      <c r="E193" s="137">
        <f t="shared" si="11"/>
        <v>1.4150943396226428E-2</v>
      </c>
      <c r="H193" s="92">
        <f t="shared" si="13"/>
        <v>1.8721372593541519</v>
      </c>
      <c r="I193" s="149">
        <f t="shared" si="14"/>
        <v>8.5286599649999992</v>
      </c>
      <c r="J193" s="149">
        <f t="shared" si="15"/>
        <v>8.3393254349999992</v>
      </c>
      <c r="K193" s="149">
        <f t="shared" si="16"/>
        <v>8.4339926999999992</v>
      </c>
      <c r="L193" s="111"/>
    </row>
    <row r="194" spans="1:12" x14ac:dyDescent="0.25">
      <c r="A194" t="s">
        <v>262</v>
      </c>
      <c r="B194" t="s">
        <v>264</v>
      </c>
      <c r="C194" s="88">
        <v>0.90100000000000002</v>
      </c>
      <c r="D194" s="88">
        <v>0.872</v>
      </c>
      <c r="E194" s="137">
        <f t="shared" si="11"/>
        <v>-3.2186459489456185E-2</v>
      </c>
      <c r="H194" s="92">
        <f t="shared" si="13"/>
        <v>1.3524621200610545</v>
      </c>
      <c r="I194" s="149">
        <f t="shared" si="14"/>
        <v>8.0133895150000001</v>
      </c>
      <c r="J194" s="149">
        <f t="shared" si="15"/>
        <v>7.8354938849999991</v>
      </c>
      <c r="K194" s="149">
        <f t="shared" si="16"/>
        <v>7.9244416999999991</v>
      </c>
      <c r="L194" s="111"/>
    </row>
    <row r="195" spans="1:12" s="139" customFormat="1" x14ac:dyDescent="0.25">
      <c r="A195" s="139" t="s">
        <v>262</v>
      </c>
      <c r="B195" s="139" t="s">
        <v>265</v>
      </c>
      <c r="D195" s="140">
        <v>0.441</v>
      </c>
      <c r="E195" s="141">
        <f t="shared" si="11"/>
        <v>0</v>
      </c>
      <c r="H195" s="142">
        <f t="shared" si="13"/>
        <v>0.86061149999999997</v>
      </c>
      <c r="I195" s="143">
        <f t="shared" si="14"/>
        <v>12.231765948408968</v>
      </c>
      <c r="J195" s="143">
        <f t="shared" si="15"/>
        <v>11.960223212924612</v>
      </c>
      <c r="K195" s="143">
        <f t="shared" si="16"/>
        <v>12.09599458066679</v>
      </c>
    </row>
    <row r="196" spans="1:12" s="139" customFormat="1" x14ac:dyDescent="0.25">
      <c r="A196" s="139" t="s">
        <v>262</v>
      </c>
      <c r="B196" s="139" t="s">
        <v>266</v>
      </c>
      <c r="D196" s="140">
        <v>0.40100000000000002</v>
      </c>
      <c r="E196" s="141">
        <f t="shared" si="11"/>
        <v>0</v>
      </c>
      <c r="H196" s="142">
        <f t="shared" si="13"/>
        <v>0.80861649999999996</v>
      </c>
      <c r="I196" s="143">
        <f t="shared" si="14"/>
        <v>10.365860000000001</v>
      </c>
      <c r="J196" s="143">
        <f t="shared" si="15"/>
        <v>10.13574</v>
      </c>
      <c r="K196" s="143">
        <f t="shared" si="16"/>
        <v>10.250800000000002</v>
      </c>
    </row>
    <row r="197" spans="1:12" s="111" customFormat="1" x14ac:dyDescent="0.25">
      <c r="A197" s="111" t="s">
        <v>262</v>
      </c>
      <c r="B197" s="111" t="s">
        <v>267</v>
      </c>
      <c r="C197" s="144">
        <v>0.878</v>
      </c>
      <c r="D197" s="144">
        <v>0.85699999999999998</v>
      </c>
      <c r="E197" s="145">
        <f t="shared" si="11"/>
        <v>-2.3917995444191365E-2</v>
      </c>
      <c r="H197" s="150">
        <f t="shared" si="13"/>
        <v>1.2342851612925296</v>
      </c>
      <c r="I197" s="149">
        <f t="shared" si="14"/>
        <v>130.91738348968815</v>
      </c>
      <c r="J197" s="149">
        <f t="shared" si="15"/>
        <v>128.01104399748519</v>
      </c>
      <c r="K197" s="149">
        <f t="shared" si="16"/>
        <v>129.46421374358667</v>
      </c>
    </row>
    <row r="198" spans="1:12" s="139" customFormat="1" x14ac:dyDescent="0.25">
      <c r="A198" s="139" t="s">
        <v>262</v>
      </c>
      <c r="B198" s="139" t="s">
        <v>268</v>
      </c>
      <c r="D198" s="140">
        <v>1.046</v>
      </c>
      <c r="E198" s="141">
        <f t="shared" si="11"/>
        <v>0</v>
      </c>
      <c r="H198" s="142">
        <f t="shared" si="13"/>
        <v>1.046</v>
      </c>
    </row>
    <row r="199" spans="1:12" s="139" customFormat="1" x14ac:dyDescent="0.25">
      <c r="A199" s="139" t="s">
        <v>262</v>
      </c>
      <c r="B199" s="139" t="s">
        <v>269</v>
      </c>
      <c r="C199" s="140">
        <v>1.0249999999999999</v>
      </c>
      <c r="D199" s="140">
        <v>0.98699999999999999</v>
      </c>
      <c r="E199" s="141">
        <f t="shared" si="11"/>
        <v>-3.7073170731707246E-2</v>
      </c>
      <c r="H199" s="142">
        <f t="shared" si="13"/>
        <v>13.210634055468027</v>
      </c>
    </row>
    <row r="200" spans="1:12" s="111" customFormat="1" x14ac:dyDescent="0.25">
      <c r="E200" s="145"/>
    </row>
    <row r="201" spans="1:12" ht="21" x14ac:dyDescent="0.35">
      <c r="A201" s="85" t="s">
        <v>270</v>
      </c>
    </row>
    <row r="202" spans="1:12" x14ac:dyDescent="0.25">
      <c r="A202" t="s">
        <v>271</v>
      </c>
      <c r="B202" t="s">
        <v>272</v>
      </c>
      <c r="C202" s="87">
        <v>25.76</v>
      </c>
      <c r="D202" s="87">
        <v>26.33</v>
      </c>
      <c r="E202" s="137">
        <f t="shared" ref="E202:E218" si="17">IF(C202="",0,(D202-C202)/C202)</f>
        <v>2.2127329192546456E-2</v>
      </c>
      <c r="F202" s="92">
        <f t="shared" ref="F202:F218" si="18">D202*(1+E202)^1.5</f>
        <v>27.208735556766907</v>
      </c>
    </row>
    <row r="203" spans="1:12" x14ac:dyDescent="0.25">
      <c r="A203" t="s">
        <v>271</v>
      </c>
      <c r="B203" t="s">
        <v>273</v>
      </c>
      <c r="C203" s="87">
        <v>37.229999999999997</v>
      </c>
      <c r="D203" s="87">
        <v>36.340000000000003</v>
      </c>
      <c r="E203" s="137">
        <f t="shared" si="17"/>
        <v>-2.390545259199553E-2</v>
      </c>
      <c r="F203" s="92">
        <f t="shared" si="18"/>
        <v>35.044732805351721</v>
      </c>
      <c r="H203" s="87"/>
    </row>
    <row r="204" spans="1:12" x14ac:dyDescent="0.25">
      <c r="A204" t="s">
        <v>271</v>
      </c>
      <c r="B204" t="s">
        <v>274</v>
      </c>
      <c r="C204" s="87">
        <v>48.63</v>
      </c>
      <c r="D204" s="87">
        <v>50.75</v>
      </c>
      <c r="E204" s="137">
        <f t="shared" si="17"/>
        <v>4.3594488998560506E-2</v>
      </c>
      <c r="F204" s="92">
        <f t="shared" si="18"/>
        <v>54.104540388503459</v>
      </c>
      <c r="H204" s="87"/>
    </row>
    <row r="205" spans="1:12" x14ac:dyDescent="0.25">
      <c r="A205" t="s">
        <v>271</v>
      </c>
      <c r="B205" t="s">
        <v>275</v>
      </c>
      <c r="C205" s="87">
        <v>30.71</v>
      </c>
      <c r="D205" s="87">
        <v>30.85</v>
      </c>
      <c r="E205" s="137">
        <f t="shared" si="17"/>
        <v>4.5587756431130109E-3</v>
      </c>
      <c r="F205" s="92">
        <f t="shared" si="18"/>
        <v>31.061197587320443</v>
      </c>
      <c r="H205" s="87"/>
    </row>
    <row r="206" spans="1:12" x14ac:dyDescent="0.25">
      <c r="A206" t="s">
        <v>271</v>
      </c>
      <c r="B206" t="s">
        <v>276</v>
      </c>
      <c r="C206" s="87">
        <v>37.1</v>
      </c>
      <c r="D206" s="87">
        <v>40.51</v>
      </c>
      <c r="E206" s="137">
        <f t="shared" si="17"/>
        <v>9.1913746630727669E-2</v>
      </c>
      <c r="F206" s="92">
        <f t="shared" si="18"/>
        <v>46.221575378704941</v>
      </c>
      <c r="H206" s="87"/>
    </row>
    <row r="207" spans="1:12" x14ac:dyDescent="0.25">
      <c r="A207" t="s">
        <v>271</v>
      </c>
      <c r="B207" t="s">
        <v>277</v>
      </c>
      <c r="C207" s="87">
        <v>43.97</v>
      </c>
      <c r="D207" s="87">
        <v>50.4</v>
      </c>
      <c r="E207" s="137">
        <f t="shared" si="17"/>
        <v>0.14623607004775985</v>
      </c>
      <c r="F207" s="92">
        <f t="shared" si="18"/>
        <v>61.850276103081811</v>
      </c>
      <c r="H207" s="87"/>
    </row>
    <row r="208" spans="1:12" x14ac:dyDescent="0.25">
      <c r="A208" t="s">
        <v>271</v>
      </c>
      <c r="B208" t="s">
        <v>278</v>
      </c>
      <c r="C208" s="87">
        <v>32.46</v>
      </c>
      <c r="D208" s="87">
        <v>36.35</v>
      </c>
      <c r="E208" s="137">
        <f t="shared" si="17"/>
        <v>0.11983980283425756</v>
      </c>
      <c r="F208" s="92">
        <f t="shared" si="18"/>
        <v>43.076287289987114</v>
      </c>
      <c r="H208" s="87"/>
    </row>
    <row r="209" spans="1:8" x14ac:dyDescent="0.25">
      <c r="A209" t="s">
        <v>271</v>
      </c>
      <c r="B209" t="s">
        <v>279</v>
      </c>
      <c r="C209" s="87">
        <v>22.11</v>
      </c>
      <c r="D209" s="87">
        <v>28.5</v>
      </c>
      <c r="E209" s="137">
        <f t="shared" si="17"/>
        <v>0.28900949796472186</v>
      </c>
      <c r="F209" s="92">
        <f t="shared" si="18"/>
        <v>41.708928803922404</v>
      </c>
      <c r="H209" s="87"/>
    </row>
    <row r="210" spans="1:8" x14ac:dyDescent="0.25">
      <c r="A210" t="s">
        <v>271</v>
      </c>
      <c r="B210" t="s">
        <v>280</v>
      </c>
      <c r="C210" s="87">
        <v>18.12</v>
      </c>
      <c r="D210" s="87">
        <v>24.23</v>
      </c>
      <c r="E210" s="137">
        <f t="shared" si="17"/>
        <v>0.33719646799116992</v>
      </c>
      <c r="F210" s="92">
        <f t="shared" si="18"/>
        <v>37.466769226462603</v>
      </c>
      <c r="H210" s="87"/>
    </row>
    <row r="211" spans="1:8" x14ac:dyDescent="0.25">
      <c r="A211" t="s">
        <v>271</v>
      </c>
      <c r="B211" t="s">
        <v>281</v>
      </c>
      <c r="D211" s="87">
        <v>17.46</v>
      </c>
      <c r="E211" s="137">
        <f t="shared" si="17"/>
        <v>0</v>
      </c>
      <c r="F211" s="92">
        <f t="shared" si="18"/>
        <v>17.46</v>
      </c>
      <c r="H211" s="87"/>
    </row>
    <row r="212" spans="1:8" x14ac:dyDescent="0.25">
      <c r="A212" t="s">
        <v>282</v>
      </c>
      <c r="B212" t="s">
        <v>283</v>
      </c>
      <c r="C212" s="87">
        <v>34.22</v>
      </c>
      <c r="D212" s="87">
        <v>36.619999999999997</v>
      </c>
      <c r="E212" s="137">
        <f t="shared" si="17"/>
        <v>7.0134424313267052E-2</v>
      </c>
      <c r="F212" s="92">
        <f t="shared" si="18"/>
        <v>40.539262356924247</v>
      </c>
    </row>
    <row r="213" spans="1:8" x14ac:dyDescent="0.25">
      <c r="A213" t="s">
        <v>282</v>
      </c>
      <c r="B213" t="s">
        <v>284</v>
      </c>
      <c r="C213" s="87">
        <v>37.69</v>
      </c>
      <c r="D213" s="87">
        <v>35.26</v>
      </c>
      <c r="E213" s="137">
        <f t="shared" si="17"/>
        <v>-6.4473335102149101E-2</v>
      </c>
      <c r="F213" s="92">
        <f t="shared" si="18"/>
        <v>31.905574109651575</v>
      </c>
      <c r="H213" s="87"/>
    </row>
    <row r="214" spans="1:8" x14ac:dyDescent="0.25">
      <c r="A214" t="s">
        <v>282</v>
      </c>
      <c r="B214" t="s">
        <v>285</v>
      </c>
      <c r="C214" s="87">
        <v>31.96</v>
      </c>
      <c r="D214" s="87">
        <v>37.619999999999997</v>
      </c>
      <c r="E214" s="137">
        <f t="shared" si="17"/>
        <v>0.17709637046307874</v>
      </c>
      <c r="F214" s="92">
        <f t="shared" si="18"/>
        <v>48.043741554860503</v>
      </c>
      <c r="H214" s="87"/>
    </row>
    <row r="215" spans="1:8" x14ac:dyDescent="0.25">
      <c r="A215" t="s">
        <v>282</v>
      </c>
      <c r="B215" t="s">
        <v>286</v>
      </c>
      <c r="C215" s="87">
        <v>34.409999999999997</v>
      </c>
      <c r="D215" s="87">
        <v>35.75</v>
      </c>
      <c r="E215" s="137">
        <f t="shared" si="17"/>
        <v>3.8942167974426144E-2</v>
      </c>
      <c r="F215" s="92">
        <f t="shared" si="18"/>
        <v>37.858474172599671</v>
      </c>
      <c r="H215" s="87"/>
    </row>
    <row r="216" spans="1:8" x14ac:dyDescent="0.25">
      <c r="A216" t="s">
        <v>282</v>
      </c>
      <c r="B216" t="s">
        <v>287</v>
      </c>
      <c r="C216" s="87">
        <v>35.53</v>
      </c>
      <c r="D216" s="87">
        <v>36.44</v>
      </c>
      <c r="E216" s="137">
        <f t="shared" si="17"/>
        <v>2.5612158739093626E-2</v>
      </c>
      <c r="F216" s="92">
        <f t="shared" si="18"/>
        <v>37.848886698234629</v>
      </c>
      <c r="H216" s="87"/>
    </row>
    <row r="217" spans="1:8" x14ac:dyDescent="0.25">
      <c r="A217" t="s">
        <v>282</v>
      </c>
      <c r="B217" t="s">
        <v>288</v>
      </c>
      <c r="C217" s="87">
        <v>47.71</v>
      </c>
      <c r="D217" s="87">
        <v>50.39</v>
      </c>
      <c r="E217" s="137">
        <f t="shared" si="17"/>
        <v>5.6172710123663795E-2</v>
      </c>
      <c r="F217" s="92">
        <f t="shared" si="18"/>
        <v>54.694892243708473</v>
      </c>
      <c r="H217" s="87"/>
    </row>
    <row r="218" spans="1:8" x14ac:dyDescent="0.25">
      <c r="A218" t="s">
        <v>282</v>
      </c>
      <c r="B218" t="s">
        <v>289</v>
      </c>
      <c r="C218" s="87">
        <v>74.48</v>
      </c>
      <c r="D218" s="87">
        <v>70.930000000000007</v>
      </c>
      <c r="E218" s="137">
        <f t="shared" si="17"/>
        <v>-4.7663802363050442E-2</v>
      </c>
      <c r="F218" s="92">
        <f t="shared" si="18"/>
        <v>65.919726629045016</v>
      </c>
      <c r="H218" s="87"/>
    </row>
    <row r="219" spans="1:8" x14ac:dyDescent="0.25">
      <c r="H219" s="87"/>
    </row>
    <row r="220" spans="1:8" ht="21" x14ac:dyDescent="0.35">
      <c r="A220" s="85" t="s">
        <v>290</v>
      </c>
    </row>
    <row r="221" spans="1:8" x14ac:dyDescent="0.25">
      <c r="B221" t="s">
        <v>291</v>
      </c>
      <c r="C221" s="87">
        <v>86.56</v>
      </c>
      <c r="D221" s="87">
        <v>83.43</v>
      </c>
      <c r="E221" s="137">
        <f t="shared" ref="E221:E224" si="19">IF(C221="",0,(D221-C221)/C221)</f>
        <v>-3.6159889094269815E-2</v>
      </c>
      <c r="F221" s="92">
        <f t="shared" ref="F221:F224" si="20">D221*(1+E221)^1.5</f>
        <v>78.945928569486043</v>
      </c>
    </row>
    <row r="222" spans="1:8" x14ac:dyDescent="0.25">
      <c r="B222" t="s">
        <v>292</v>
      </c>
      <c r="C222" s="87">
        <v>29.9</v>
      </c>
      <c r="D222" s="87">
        <v>33.92</v>
      </c>
      <c r="E222" s="137">
        <f t="shared" si="19"/>
        <v>0.13444816053511716</v>
      </c>
      <c r="F222" s="92">
        <f t="shared" si="20"/>
        <v>40.985744319330827</v>
      </c>
    </row>
    <row r="223" spans="1:8" x14ac:dyDescent="0.25">
      <c r="B223" t="s">
        <v>293</v>
      </c>
      <c r="C223" s="87">
        <v>98.76</v>
      </c>
      <c r="D223" s="87">
        <v>96.96</v>
      </c>
      <c r="E223" s="137">
        <f t="shared" si="19"/>
        <v>-1.822600243013377E-2</v>
      </c>
      <c r="F223" s="92">
        <f t="shared" si="20"/>
        <v>94.321325474873007</v>
      </c>
    </row>
    <row r="224" spans="1:8" x14ac:dyDescent="0.25">
      <c r="B224" t="s">
        <v>294</v>
      </c>
      <c r="C224" s="87">
        <v>42.58</v>
      </c>
      <c r="D224" s="87">
        <v>44.64</v>
      </c>
      <c r="E224" s="137">
        <f t="shared" si="19"/>
        <v>4.8379520901831903E-2</v>
      </c>
      <c r="F224" s="92">
        <f t="shared" si="20"/>
        <v>47.918363664281962</v>
      </c>
    </row>
    <row r="225" spans="1:6" x14ac:dyDescent="0.25">
      <c r="C225" s="87"/>
      <c r="D225" s="87"/>
      <c r="E225" s="146" t="s">
        <v>480</v>
      </c>
      <c r="F225" s="92">
        <f>AVERAGE(F221:F224)</f>
        <v>65.54284050699296</v>
      </c>
    </row>
    <row r="227" spans="1:6" ht="21" x14ac:dyDescent="0.35">
      <c r="A227" s="85" t="s">
        <v>295</v>
      </c>
    </row>
    <row r="228" spans="1:6" x14ac:dyDescent="0.25">
      <c r="B228" t="s">
        <v>296</v>
      </c>
      <c r="D228" s="87">
        <v>49.08</v>
      </c>
      <c r="E228" s="137">
        <f t="shared" ref="E228:E237" si="21">IF(C228="",0,(D228-C228)/C228)</f>
        <v>0</v>
      </c>
      <c r="F228" s="92">
        <f t="shared" ref="F228:F237" si="22">D228*(1+E228)^1.5</f>
        <v>49.08</v>
      </c>
    </row>
    <row r="229" spans="1:6" x14ac:dyDescent="0.25">
      <c r="B229" t="s">
        <v>157</v>
      </c>
      <c r="C229" s="87">
        <v>29.68</v>
      </c>
      <c r="D229" s="87">
        <v>35.32</v>
      </c>
      <c r="E229" s="137">
        <f t="shared" si="21"/>
        <v>0.19002695417789758</v>
      </c>
      <c r="F229" s="92">
        <f t="shared" si="22"/>
        <v>45.851747522978521</v>
      </c>
    </row>
    <row r="230" spans="1:6" x14ac:dyDescent="0.25">
      <c r="A230" t="s">
        <v>297</v>
      </c>
      <c r="B230" t="s">
        <v>298</v>
      </c>
      <c r="D230" s="87">
        <v>32.65</v>
      </c>
      <c r="E230" s="137">
        <f t="shared" si="21"/>
        <v>0</v>
      </c>
      <c r="F230" s="92">
        <f t="shared" si="22"/>
        <v>32.65</v>
      </c>
    </row>
    <row r="231" spans="1:6" x14ac:dyDescent="0.25">
      <c r="A231" t="s">
        <v>297</v>
      </c>
      <c r="B231" t="s">
        <v>299</v>
      </c>
      <c r="D231" s="87">
        <v>39.93</v>
      </c>
      <c r="E231" s="137">
        <f t="shared" si="21"/>
        <v>0</v>
      </c>
      <c r="F231" s="92">
        <f t="shared" si="22"/>
        <v>39.93</v>
      </c>
    </row>
    <row r="232" spans="1:6" x14ac:dyDescent="0.25">
      <c r="A232" t="s">
        <v>297</v>
      </c>
      <c r="B232" t="s">
        <v>300</v>
      </c>
      <c r="D232" s="87">
        <v>59.22</v>
      </c>
      <c r="E232" s="137">
        <f t="shared" si="21"/>
        <v>0</v>
      </c>
      <c r="F232" s="92">
        <f t="shared" si="22"/>
        <v>59.22</v>
      </c>
    </row>
    <row r="233" spans="1:6" x14ac:dyDescent="0.25">
      <c r="A233" t="s">
        <v>297</v>
      </c>
      <c r="B233" t="s">
        <v>301</v>
      </c>
      <c r="D233" s="87">
        <v>79.59</v>
      </c>
      <c r="E233" s="137">
        <f t="shared" si="21"/>
        <v>0</v>
      </c>
      <c r="F233" s="92">
        <f t="shared" si="22"/>
        <v>79.59</v>
      </c>
    </row>
    <row r="234" spans="1:6" x14ac:dyDescent="0.25">
      <c r="A234" t="s">
        <v>297</v>
      </c>
      <c r="B234" t="s">
        <v>302</v>
      </c>
      <c r="D234" s="87">
        <v>111.93</v>
      </c>
      <c r="E234" s="137">
        <f t="shared" si="21"/>
        <v>0</v>
      </c>
      <c r="F234" s="92">
        <f t="shared" si="22"/>
        <v>111.93</v>
      </c>
    </row>
    <row r="235" spans="1:6" x14ac:dyDescent="0.25">
      <c r="A235" t="s">
        <v>297</v>
      </c>
      <c r="B235" t="s">
        <v>303</v>
      </c>
      <c r="D235" s="87">
        <v>103.95</v>
      </c>
      <c r="E235" s="137">
        <f t="shared" si="21"/>
        <v>0</v>
      </c>
      <c r="F235" s="92">
        <f t="shared" si="22"/>
        <v>103.95</v>
      </c>
    </row>
    <row r="236" spans="1:6" x14ac:dyDescent="0.25">
      <c r="A236" t="s">
        <v>297</v>
      </c>
      <c r="B236" t="s">
        <v>304</v>
      </c>
      <c r="D236" s="87">
        <v>27.19</v>
      </c>
      <c r="E236" s="137">
        <f t="shared" si="21"/>
        <v>0</v>
      </c>
      <c r="F236" s="92">
        <f t="shared" si="22"/>
        <v>27.19</v>
      </c>
    </row>
    <row r="237" spans="1:6" x14ac:dyDescent="0.25">
      <c r="A237" t="s">
        <v>297</v>
      </c>
      <c r="B237" t="s">
        <v>305</v>
      </c>
      <c r="D237" s="87">
        <v>38.56</v>
      </c>
      <c r="E237" s="137">
        <f t="shared" si="21"/>
        <v>0</v>
      </c>
      <c r="F237" s="92">
        <f t="shared" si="22"/>
        <v>38.56</v>
      </c>
    </row>
    <row r="239" spans="1:6" ht="21" x14ac:dyDescent="0.35">
      <c r="A239" s="97" t="s">
        <v>306</v>
      </c>
      <c r="B239" s="97"/>
      <c r="C239" s="97"/>
      <c r="D239" s="94"/>
    </row>
    <row r="240" spans="1:6" x14ac:dyDescent="0.25">
      <c r="A240" s="94" t="s">
        <v>307</v>
      </c>
      <c r="B240" s="94" t="s">
        <v>308</v>
      </c>
      <c r="C240" s="87">
        <v>45.51</v>
      </c>
      <c r="D240" s="96">
        <v>47.19</v>
      </c>
      <c r="E240" s="137">
        <f t="shared" ref="E240:E286" si="23">IF(C240="",0,(D240-C240)/C240)</f>
        <v>3.6914963744232032E-2</v>
      </c>
      <c r="F240" s="92">
        <f t="shared" ref="F240:F286" si="24">D240*(1+E240)^1.5</f>
        <v>49.826994295702875</v>
      </c>
    </row>
    <row r="241" spans="1:8" x14ac:dyDescent="0.25">
      <c r="A241" s="94" t="s">
        <v>307</v>
      </c>
      <c r="B241" s="94" t="s">
        <v>309</v>
      </c>
      <c r="C241" s="87">
        <v>42.32</v>
      </c>
      <c r="D241" s="96">
        <v>44.46</v>
      </c>
      <c r="E241" s="137">
        <f t="shared" si="23"/>
        <v>5.0567107750472601E-2</v>
      </c>
      <c r="F241" s="92">
        <f t="shared" si="24"/>
        <v>47.874599887041711</v>
      </c>
      <c r="H241" s="87"/>
    </row>
    <row r="242" spans="1:8" x14ac:dyDescent="0.25">
      <c r="A242" s="94" t="s">
        <v>307</v>
      </c>
      <c r="B242" s="94" t="s">
        <v>310</v>
      </c>
      <c r="C242" s="87">
        <v>48.88</v>
      </c>
      <c r="D242" s="96">
        <v>49.59</v>
      </c>
      <c r="E242" s="137">
        <f t="shared" si="23"/>
        <v>1.452536824877252E-2</v>
      </c>
      <c r="F242" s="92">
        <f t="shared" si="24"/>
        <v>50.674383624443436</v>
      </c>
      <c r="H242" s="87"/>
    </row>
    <row r="243" spans="1:8" x14ac:dyDescent="0.25">
      <c r="A243" s="94" t="s">
        <v>307</v>
      </c>
      <c r="B243" s="94" t="s">
        <v>311</v>
      </c>
      <c r="C243" s="87">
        <v>20.399999999999999</v>
      </c>
      <c r="D243" s="96">
        <v>25.55</v>
      </c>
      <c r="E243" s="137">
        <f t="shared" si="23"/>
        <v>0.25245098039215697</v>
      </c>
      <c r="F243" s="92">
        <f t="shared" si="24"/>
        <v>35.812283187271412</v>
      </c>
      <c r="H243" s="87"/>
    </row>
    <row r="244" spans="1:8" x14ac:dyDescent="0.25">
      <c r="A244" s="94" t="s">
        <v>307</v>
      </c>
      <c r="B244" s="94" t="s">
        <v>102</v>
      </c>
      <c r="C244" s="87">
        <v>47.04</v>
      </c>
      <c r="D244" s="96">
        <v>50.96</v>
      </c>
      <c r="E244" s="137">
        <f t="shared" si="23"/>
        <v>8.333333333333337E-2</v>
      </c>
      <c r="F244" s="92">
        <f t="shared" si="24"/>
        <v>57.460920471930159</v>
      </c>
      <c r="H244" s="87"/>
    </row>
    <row r="245" spans="1:8" x14ac:dyDescent="0.25">
      <c r="A245" s="94" t="s">
        <v>307</v>
      </c>
      <c r="B245" s="94" t="s">
        <v>312</v>
      </c>
      <c r="C245" s="87">
        <v>29.01</v>
      </c>
      <c r="D245" s="96">
        <v>35.200000000000003</v>
      </c>
      <c r="E245" s="137">
        <f t="shared" si="23"/>
        <v>0.21337469837986905</v>
      </c>
      <c r="F245" s="92">
        <f t="shared" si="24"/>
        <v>47.047339081513293</v>
      </c>
      <c r="H245" s="87"/>
    </row>
    <row r="246" spans="1:8" x14ac:dyDescent="0.25">
      <c r="A246" s="94" t="s">
        <v>307</v>
      </c>
      <c r="B246" s="94" t="s">
        <v>313</v>
      </c>
      <c r="C246" s="87">
        <v>3.3</v>
      </c>
      <c r="D246" s="96">
        <v>3.72</v>
      </c>
      <c r="E246" s="137">
        <f t="shared" si="23"/>
        <v>0.1272727272727274</v>
      </c>
      <c r="F246" s="92">
        <f t="shared" si="24"/>
        <v>4.4523207095486947</v>
      </c>
      <c r="H246" s="87"/>
    </row>
    <row r="247" spans="1:8" x14ac:dyDescent="0.25">
      <c r="A247" s="94" t="s">
        <v>314</v>
      </c>
      <c r="B247" s="94" t="s">
        <v>308</v>
      </c>
      <c r="C247" s="87">
        <v>45.29</v>
      </c>
      <c r="D247" s="96">
        <v>46.64</v>
      </c>
      <c r="E247" s="137">
        <f t="shared" si="23"/>
        <v>2.9807904614705266E-2</v>
      </c>
      <c r="F247" s="92">
        <f t="shared" si="24"/>
        <v>48.740824714893726</v>
      </c>
      <c r="H247" s="87"/>
    </row>
    <row r="248" spans="1:8" x14ac:dyDescent="0.25">
      <c r="A248" s="94" t="s">
        <v>314</v>
      </c>
      <c r="B248" s="94" t="s">
        <v>315</v>
      </c>
      <c r="C248" s="87">
        <v>45.37</v>
      </c>
      <c r="D248" s="96">
        <v>46.94</v>
      </c>
      <c r="E248" s="137">
        <f t="shared" si="23"/>
        <v>3.4604364117258112E-2</v>
      </c>
      <c r="F248" s="92">
        <f t="shared" si="24"/>
        <v>49.397451586400877</v>
      </c>
      <c r="H248" s="87"/>
    </row>
    <row r="249" spans="1:8" x14ac:dyDescent="0.25">
      <c r="A249" s="94" t="s">
        <v>314</v>
      </c>
      <c r="B249" s="94" t="s">
        <v>316</v>
      </c>
      <c r="C249" s="87">
        <v>56.43</v>
      </c>
      <c r="D249" s="96">
        <v>57.42</v>
      </c>
      <c r="E249" s="137">
        <f t="shared" si="23"/>
        <v>1.7543859649122841E-2</v>
      </c>
      <c r="F249" s="92">
        <f t="shared" si="24"/>
        <v>58.937660803352102</v>
      </c>
      <c r="H249" s="87"/>
    </row>
    <row r="250" spans="1:8" x14ac:dyDescent="0.25">
      <c r="A250" s="94" t="s">
        <v>314</v>
      </c>
      <c r="B250" s="94" t="s">
        <v>317</v>
      </c>
      <c r="C250" s="96">
        <v>23.29</v>
      </c>
      <c r="D250" s="96">
        <v>26.87</v>
      </c>
      <c r="E250" s="137">
        <f t="shared" si="23"/>
        <v>0.15371404036066991</v>
      </c>
      <c r="F250" s="92">
        <f t="shared" si="24"/>
        <v>33.297753449250358</v>
      </c>
      <c r="H250" s="87"/>
    </row>
    <row r="251" spans="1:8" x14ac:dyDescent="0.25">
      <c r="A251" s="94" t="s">
        <v>314</v>
      </c>
      <c r="B251" s="94" t="s">
        <v>318</v>
      </c>
      <c r="C251" s="96">
        <v>22.9</v>
      </c>
      <c r="D251" s="96">
        <v>25.12</v>
      </c>
      <c r="E251" s="137">
        <f t="shared" si="23"/>
        <v>9.6943231441048147E-2</v>
      </c>
      <c r="F251" s="92">
        <f t="shared" si="24"/>
        <v>28.859969258747814</v>
      </c>
    </row>
    <row r="252" spans="1:8" x14ac:dyDescent="0.25">
      <c r="A252" s="94" t="s">
        <v>314</v>
      </c>
      <c r="B252" s="94" t="s">
        <v>102</v>
      </c>
      <c r="C252" s="96">
        <v>35.72</v>
      </c>
      <c r="D252" s="96">
        <v>40.51</v>
      </c>
      <c r="E252" s="137">
        <f t="shared" si="23"/>
        <v>0.13409854423292272</v>
      </c>
      <c r="F252" s="92">
        <f t="shared" si="24"/>
        <v>48.92585598666102</v>
      </c>
    </row>
    <row r="253" spans="1:8" x14ac:dyDescent="0.25">
      <c r="A253" s="94" t="s">
        <v>314</v>
      </c>
      <c r="B253" s="94" t="s">
        <v>319</v>
      </c>
      <c r="C253" s="96">
        <v>29.75</v>
      </c>
      <c r="D253" s="96">
        <v>30.41</v>
      </c>
      <c r="E253" s="137">
        <f t="shared" si="23"/>
        <v>2.2184873949579836E-2</v>
      </c>
      <c r="F253" s="92">
        <f t="shared" si="24"/>
        <v>31.427555011651645</v>
      </c>
    </row>
    <row r="254" spans="1:8" x14ac:dyDescent="0.25">
      <c r="A254" s="94" t="s">
        <v>314</v>
      </c>
      <c r="B254" s="94" t="s">
        <v>320</v>
      </c>
      <c r="C254" s="96">
        <v>21.94</v>
      </c>
      <c r="D254" s="96">
        <v>25.06</v>
      </c>
      <c r="E254" s="137">
        <f t="shared" si="23"/>
        <v>0.14220601640838637</v>
      </c>
      <c r="F254" s="92">
        <f t="shared" si="24"/>
        <v>30.591285823723947</v>
      </c>
    </row>
    <row r="255" spans="1:8" x14ac:dyDescent="0.25">
      <c r="A255" s="94" t="s">
        <v>314</v>
      </c>
      <c r="B255" s="94" t="s">
        <v>170</v>
      </c>
      <c r="C255" s="96">
        <v>22.14</v>
      </c>
      <c r="D255" s="96">
        <v>24.52</v>
      </c>
      <c r="E255" s="137">
        <f t="shared" si="23"/>
        <v>0.10749774164408306</v>
      </c>
      <c r="F255" s="92">
        <f t="shared" si="24"/>
        <v>28.578191350426994</v>
      </c>
    </row>
    <row r="256" spans="1:8" x14ac:dyDescent="0.25">
      <c r="A256" s="94" t="s">
        <v>314</v>
      </c>
      <c r="B256" s="94" t="s">
        <v>313</v>
      </c>
      <c r="C256" s="96">
        <v>2.8</v>
      </c>
      <c r="D256" s="96">
        <v>4.0199999999999996</v>
      </c>
      <c r="E256" s="137">
        <f t="shared" si="23"/>
        <v>0.43571428571428567</v>
      </c>
      <c r="F256" s="92">
        <f t="shared" si="24"/>
        <v>6.9155716568663825</v>
      </c>
    </row>
    <row r="257" spans="1:6" x14ac:dyDescent="0.25">
      <c r="A257" s="94" t="s">
        <v>321</v>
      </c>
      <c r="B257" s="94" t="s">
        <v>322</v>
      </c>
      <c r="C257" s="96">
        <v>45.43</v>
      </c>
      <c r="D257" s="96">
        <v>46.92</v>
      </c>
      <c r="E257" s="137">
        <f t="shared" si="23"/>
        <v>3.27977107638125E-2</v>
      </c>
      <c r="F257" s="92">
        <f t="shared" si="24"/>
        <v>49.247127439040874</v>
      </c>
    </row>
    <row r="258" spans="1:6" x14ac:dyDescent="0.25">
      <c r="A258" s="94" t="s">
        <v>321</v>
      </c>
      <c r="B258" s="94" t="s">
        <v>323</v>
      </c>
      <c r="C258" s="96">
        <v>44.24</v>
      </c>
      <c r="D258" s="96">
        <v>46.97</v>
      </c>
      <c r="E258" s="137">
        <f t="shared" si="23"/>
        <v>6.1708860759493597E-2</v>
      </c>
      <c r="F258" s="92">
        <f t="shared" si="24"/>
        <v>51.384096310182478</v>
      </c>
    </row>
    <row r="259" spans="1:6" x14ac:dyDescent="0.25">
      <c r="A259" s="94" t="s">
        <v>321</v>
      </c>
      <c r="B259" s="94" t="s">
        <v>324</v>
      </c>
      <c r="C259" s="96">
        <v>33.47</v>
      </c>
      <c r="D259" s="96">
        <v>36.43</v>
      </c>
      <c r="E259" s="137">
        <f t="shared" si="23"/>
        <v>8.8437406632805526E-2</v>
      </c>
      <c r="F259" s="92">
        <f t="shared" si="24"/>
        <v>41.367984264542763</v>
      </c>
    </row>
    <row r="260" spans="1:6" x14ac:dyDescent="0.25">
      <c r="A260" s="94" t="s">
        <v>321</v>
      </c>
      <c r="B260" s="94" t="s">
        <v>325</v>
      </c>
      <c r="C260" s="96">
        <v>20.239999999999998</v>
      </c>
      <c r="D260" s="96">
        <v>24.33</v>
      </c>
      <c r="E260" s="137">
        <f t="shared" si="23"/>
        <v>0.20207509881422925</v>
      </c>
      <c r="F260" s="92">
        <f t="shared" si="24"/>
        <v>32.065610291220423</v>
      </c>
    </row>
    <row r="261" spans="1:6" x14ac:dyDescent="0.25">
      <c r="A261" s="94" t="s">
        <v>321</v>
      </c>
      <c r="B261" s="94" t="s">
        <v>326</v>
      </c>
      <c r="C261" s="96">
        <v>42.23</v>
      </c>
      <c r="D261" s="96">
        <v>45.62</v>
      </c>
      <c r="E261" s="137">
        <f t="shared" si="23"/>
        <v>8.0274686242008064E-2</v>
      </c>
      <c r="F261" s="92">
        <f t="shared" si="24"/>
        <v>51.222005709491391</v>
      </c>
    </row>
    <row r="262" spans="1:6" x14ac:dyDescent="0.25">
      <c r="A262" s="94" t="s">
        <v>321</v>
      </c>
      <c r="B262" s="94" t="s">
        <v>327</v>
      </c>
      <c r="C262" s="96">
        <v>25.32</v>
      </c>
      <c r="D262" s="96">
        <v>27.73</v>
      </c>
      <c r="E262" s="137">
        <f t="shared" si="23"/>
        <v>9.5181674565560828E-2</v>
      </c>
      <c r="F262" s="92">
        <f t="shared" si="24"/>
        <v>31.781846218868406</v>
      </c>
    </row>
    <row r="263" spans="1:6" x14ac:dyDescent="0.25">
      <c r="A263" s="94" t="s">
        <v>321</v>
      </c>
      <c r="B263" s="94" t="s">
        <v>328</v>
      </c>
      <c r="C263" s="96">
        <v>44.71</v>
      </c>
      <c r="D263" s="96">
        <v>50.52</v>
      </c>
      <c r="E263" s="137">
        <f t="shared" si="23"/>
        <v>0.129948557369716</v>
      </c>
      <c r="F263" s="92">
        <f t="shared" si="24"/>
        <v>60.680807283386073</v>
      </c>
    </row>
    <row r="264" spans="1:6" x14ac:dyDescent="0.25">
      <c r="A264" s="94" t="s">
        <v>321</v>
      </c>
      <c r="B264" s="94" t="s">
        <v>329</v>
      </c>
      <c r="C264" s="96">
        <v>116.76</v>
      </c>
      <c r="D264" s="96">
        <v>125.52</v>
      </c>
      <c r="E264" s="137">
        <f t="shared" si="23"/>
        <v>7.502569373072962E-2</v>
      </c>
      <c r="F264" s="92">
        <f t="shared" si="24"/>
        <v>139.90756465509807</v>
      </c>
    </row>
    <row r="265" spans="1:6" x14ac:dyDescent="0.25">
      <c r="A265" s="94" t="s">
        <v>321</v>
      </c>
      <c r="B265" s="94" t="s">
        <v>330</v>
      </c>
      <c r="C265" s="96">
        <v>40.25</v>
      </c>
      <c r="D265" s="96">
        <v>41.98</v>
      </c>
      <c r="E265" s="137">
        <f t="shared" si="23"/>
        <v>4.2981366459627253E-2</v>
      </c>
      <c r="F265" s="92">
        <f t="shared" si="24"/>
        <v>44.715414258948492</v>
      </c>
    </row>
    <row r="266" spans="1:6" x14ac:dyDescent="0.25">
      <c r="A266" s="94" t="s">
        <v>321</v>
      </c>
      <c r="B266" s="94" t="s">
        <v>331</v>
      </c>
      <c r="C266" s="96">
        <v>3.12</v>
      </c>
      <c r="D266" s="96">
        <v>4.1100000000000003</v>
      </c>
      <c r="E266" s="137">
        <f t="shared" si="23"/>
        <v>0.31730769230769235</v>
      </c>
      <c r="F266" s="92">
        <f t="shared" si="24"/>
        <v>6.2140202425568942</v>
      </c>
    </row>
    <row r="267" spans="1:6" x14ac:dyDescent="0.25">
      <c r="A267" s="94" t="s">
        <v>321</v>
      </c>
      <c r="B267" s="94" t="s">
        <v>332</v>
      </c>
      <c r="C267" s="96">
        <v>46.25</v>
      </c>
      <c r="D267" s="96">
        <v>62.43</v>
      </c>
      <c r="E267" s="137">
        <f t="shared" si="23"/>
        <v>0.34983783783783784</v>
      </c>
      <c r="F267" s="92">
        <f t="shared" si="24"/>
        <v>97.907448242177693</v>
      </c>
    </row>
    <row r="268" spans="1:6" x14ac:dyDescent="0.25">
      <c r="A268" s="94" t="s">
        <v>321</v>
      </c>
      <c r="B268" s="94" t="s">
        <v>333</v>
      </c>
      <c r="C268" s="96">
        <v>24.7</v>
      </c>
      <c r="D268" s="96">
        <v>30.41</v>
      </c>
      <c r="E268" s="137">
        <f t="shared" si="23"/>
        <v>0.23117408906882594</v>
      </c>
      <c r="F268" s="92">
        <f t="shared" si="24"/>
        <v>41.542786194706686</v>
      </c>
    </row>
    <row r="269" spans="1:6" x14ac:dyDescent="0.25">
      <c r="A269" s="94" t="s">
        <v>321</v>
      </c>
      <c r="B269" s="94" t="s">
        <v>334</v>
      </c>
      <c r="C269" s="96">
        <v>28.19</v>
      </c>
      <c r="D269" s="96">
        <v>28.43</v>
      </c>
      <c r="E269" s="137">
        <f t="shared" si="23"/>
        <v>8.513657325292601E-3</v>
      </c>
      <c r="F269" s="92">
        <f t="shared" si="24"/>
        <v>28.793836576202967</v>
      </c>
    </row>
    <row r="270" spans="1:6" x14ac:dyDescent="0.25">
      <c r="A270" s="94" t="s">
        <v>321</v>
      </c>
      <c r="B270" s="94" t="s">
        <v>335</v>
      </c>
      <c r="C270" s="96">
        <v>16.87</v>
      </c>
      <c r="D270" s="96">
        <v>22.52</v>
      </c>
      <c r="E270" s="137">
        <f t="shared" si="23"/>
        <v>0.33491404860699459</v>
      </c>
      <c r="F270" s="92">
        <f t="shared" si="24"/>
        <v>34.733483475116614</v>
      </c>
    </row>
    <row r="271" spans="1:6" x14ac:dyDescent="0.25">
      <c r="A271" s="94" t="s">
        <v>321</v>
      </c>
      <c r="B271" s="94" t="s">
        <v>336</v>
      </c>
      <c r="C271" s="96">
        <v>40.950000000000003</v>
      </c>
      <c r="D271" s="96">
        <v>43.29</v>
      </c>
      <c r="E271" s="137">
        <f t="shared" si="23"/>
        <v>5.7142857142857051E-2</v>
      </c>
      <c r="F271" s="92">
        <f t="shared" si="24"/>
        <v>47.053085271032238</v>
      </c>
    </row>
    <row r="272" spans="1:6" x14ac:dyDescent="0.25">
      <c r="A272" s="94" t="s">
        <v>321</v>
      </c>
      <c r="B272" s="94" t="s">
        <v>337</v>
      </c>
      <c r="C272" s="96">
        <v>84.4</v>
      </c>
      <c r="D272" s="96">
        <v>88.75</v>
      </c>
      <c r="E272" s="137">
        <f t="shared" si="23"/>
        <v>5.1540284360189502E-2</v>
      </c>
      <c r="F272" s="92">
        <f t="shared" si="24"/>
        <v>95.698963577199692</v>
      </c>
    </row>
    <row r="273" spans="1:6" x14ac:dyDescent="0.25">
      <c r="A273" s="94" t="s">
        <v>321</v>
      </c>
      <c r="B273" s="94" t="s">
        <v>338</v>
      </c>
      <c r="C273" s="96">
        <v>73.08</v>
      </c>
      <c r="D273" s="96">
        <v>78.87</v>
      </c>
      <c r="E273" s="137">
        <f t="shared" si="23"/>
        <v>7.9228243021346553E-2</v>
      </c>
      <c r="F273" s="92">
        <f t="shared" si="24"/>
        <v>88.426369375052388</v>
      </c>
    </row>
    <row r="274" spans="1:6" x14ac:dyDescent="0.25">
      <c r="A274" s="94" t="s">
        <v>321</v>
      </c>
      <c r="B274" s="94" t="s">
        <v>339</v>
      </c>
      <c r="C274" s="96">
        <v>5.7</v>
      </c>
      <c r="D274" s="96">
        <v>6.53</v>
      </c>
      <c r="E274" s="137">
        <f t="shared" si="23"/>
        <v>0.14561403508771931</v>
      </c>
      <c r="F274" s="92">
        <f t="shared" si="24"/>
        <v>8.0070155085298715</v>
      </c>
    </row>
    <row r="275" spans="1:6" x14ac:dyDescent="0.25">
      <c r="A275" s="94" t="s">
        <v>340</v>
      </c>
      <c r="B275" s="94" t="s">
        <v>341</v>
      </c>
      <c r="C275" s="96">
        <v>44.57</v>
      </c>
      <c r="D275" s="96">
        <v>46.38</v>
      </c>
      <c r="E275" s="137">
        <f t="shared" si="23"/>
        <v>4.0610275970383719E-2</v>
      </c>
      <c r="F275" s="92">
        <f t="shared" si="24"/>
        <v>49.233749271166943</v>
      </c>
    </row>
    <row r="276" spans="1:6" x14ac:dyDescent="0.25">
      <c r="A276" s="94" t="s">
        <v>340</v>
      </c>
      <c r="B276" s="94" t="s">
        <v>342</v>
      </c>
      <c r="C276" s="96">
        <v>71.08</v>
      </c>
      <c r="D276" s="96">
        <v>77.040000000000006</v>
      </c>
      <c r="E276" s="137">
        <f t="shared" si="23"/>
        <v>8.3849184018007991E-2</v>
      </c>
      <c r="F276" s="92">
        <f t="shared" si="24"/>
        <v>86.929975373084531</v>
      </c>
    </row>
    <row r="277" spans="1:6" x14ac:dyDescent="0.25">
      <c r="A277" s="94" t="s">
        <v>340</v>
      </c>
      <c r="B277" s="94" t="s">
        <v>343</v>
      </c>
      <c r="C277" s="96">
        <v>57.19</v>
      </c>
      <c r="D277" s="96">
        <v>57.96</v>
      </c>
      <c r="E277" s="137">
        <f t="shared" si="23"/>
        <v>1.3463892288861745E-2</v>
      </c>
      <c r="F277" s="92">
        <f t="shared" si="24"/>
        <v>59.13448204100834</v>
      </c>
    </row>
    <row r="278" spans="1:6" x14ac:dyDescent="0.25">
      <c r="A278" s="94" t="s">
        <v>340</v>
      </c>
      <c r="B278" s="94" t="s">
        <v>344</v>
      </c>
      <c r="C278" s="96">
        <v>26.11</v>
      </c>
      <c r="D278" s="96">
        <v>27.76</v>
      </c>
      <c r="E278" s="137">
        <f t="shared" si="23"/>
        <v>6.3194178475679902E-2</v>
      </c>
      <c r="F278" s="92">
        <f t="shared" si="24"/>
        <v>30.43255017496654</v>
      </c>
    </row>
    <row r="279" spans="1:6" x14ac:dyDescent="0.25">
      <c r="A279" s="94" t="s">
        <v>340</v>
      </c>
      <c r="B279" s="94" t="s">
        <v>345</v>
      </c>
      <c r="C279" s="96">
        <v>25.84</v>
      </c>
      <c r="D279" s="96">
        <v>25.74</v>
      </c>
      <c r="E279" s="137">
        <f t="shared" si="23"/>
        <v>-3.8699690402477331E-3</v>
      </c>
      <c r="F279" s="92">
        <f t="shared" si="24"/>
        <v>25.59072515094774</v>
      </c>
    </row>
    <row r="280" spans="1:6" x14ac:dyDescent="0.25">
      <c r="A280" s="94" t="s">
        <v>340</v>
      </c>
      <c r="B280" s="94" t="s">
        <v>317</v>
      </c>
      <c r="C280" s="96">
        <v>23.46</v>
      </c>
      <c r="D280" s="96">
        <v>25</v>
      </c>
      <c r="E280" s="137">
        <f t="shared" si="23"/>
        <v>6.5643648763853327E-2</v>
      </c>
      <c r="F280" s="92">
        <f t="shared" si="24"/>
        <v>27.501603094873388</v>
      </c>
    </row>
    <row r="281" spans="1:6" x14ac:dyDescent="0.25">
      <c r="A281" s="94" t="s">
        <v>340</v>
      </c>
      <c r="B281" s="94" t="s">
        <v>318</v>
      </c>
      <c r="C281" s="96">
        <v>23.29</v>
      </c>
      <c r="D281" s="96">
        <v>24.37</v>
      </c>
      <c r="E281" s="137">
        <f t="shared" si="23"/>
        <v>4.6371833404894883E-2</v>
      </c>
      <c r="F281" s="92">
        <f t="shared" si="24"/>
        <v>26.084624555403206</v>
      </c>
    </row>
    <row r="282" spans="1:6" x14ac:dyDescent="0.25">
      <c r="A282" s="94" t="s">
        <v>340</v>
      </c>
      <c r="B282" s="94" t="s">
        <v>346</v>
      </c>
      <c r="C282" s="96">
        <v>24.57</v>
      </c>
      <c r="D282" s="96">
        <v>28.62</v>
      </c>
      <c r="E282" s="137">
        <f t="shared" si="23"/>
        <v>0.16483516483516486</v>
      </c>
      <c r="F282" s="92">
        <f t="shared" si="24"/>
        <v>35.980429135973942</v>
      </c>
    </row>
    <row r="283" spans="1:6" x14ac:dyDescent="0.25">
      <c r="A283" s="94" t="s">
        <v>340</v>
      </c>
      <c r="B283" s="94" t="s">
        <v>347</v>
      </c>
      <c r="C283" s="96">
        <v>88.22</v>
      </c>
      <c r="D283" s="96">
        <v>99.96</v>
      </c>
      <c r="E283" s="137">
        <f t="shared" si="23"/>
        <v>0.13307639990931755</v>
      </c>
      <c r="F283" s="92">
        <f t="shared" si="24"/>
        <v>120.56327548891554</v>
      </c>
    </row>
    <row r="284" spans="1:6" x14ac:dyDescent="0.25">
      <c r="A284" s="94" t="s">
        <v>340</v>
      </c>
      <c r="B284" s="94" t="s">
        <v>348</v>
      </c>
      <c r="C284" s="96">
        <v>25.56</v>
      </c>
      <c r="D284" s="96">
        <v>26.79</v>
      </c>
      <c r="E284" s="137">
        <f t="shared" si="23"/>
        <v>4.8122065727699552E-2</v>
      </c>
      <c r="F284" s="92">
        <f t="shared" si="24"/>
        <v>28.746866345579434</v>
      </c>
    </row>
    <row r="285" spans="1:6" x14ac:dyDescent="0.25">
      <c r="A285" s="94" t="s">
        <v>340</v>
      </c>
      <c r="B285" s="94" t="s">
        <v>349</v>
      </c>
      <c r="C285" s="96">
        <v>15.74</v>
      </c>
      <c r="D285" s="96">
        <v>16.36</v>
      </c>
      <c r="E285" s="137">
        <f t="shared" si="23"/>
        <v>3.9390088945362084E-2</v>
      </c>
      <c r="F285" s="92">
        <f t="shared" si="24"/>
        <v>17.336090133887243</v>
      </c>
    </row>
    <row r="286" spans="1:6" x14ac:dyDescent="0.25">
      <c r="A286" s="94" t="s">
        <v>340</v>
      </c>
      <c r="B286" s="94" t="s">
        <v>313</v>
      </c>
      <c r="C286" s="96">
        <v>2.96</v>
      </c>
      <c r="D286" s="96">
        <v>3.75</v>
      </c>
      <c r="E286" s="137">
        <f t="shared" si="23"/>
        <v>0.26689189189189189</v>
      </c>
      <c r="F286" s="92">
        <f t="shared" si="24"/>
        <v>5.3473745249376234</v>
      </c>
    </row>
    <row r="288" spans="1:6" ht="21" x14ac:dyDescent="0.35">
      <c r="A288" s="85" t="s">
        <v>350</v>
      </c>
    </row>
    <row r="289" spans="1:9" x14ac:dyDescent="0.25">
      <c r="B289" s="86" t="s">
        <v>351</v>
      </c>
      <c r="C289" s="86"/>
    </row>
    <row r="290" spans="1:9" x14ac:dyDescent="0.25">
      <c r="B290" t="s">
        <v>352</v>
      </c>
      <c r="C290" s="87">
        <v>49.02</v>
      </c>
      <c r="D290" s="87">
        <v>77.900000000000006</v>
      </c>
      <c r="E290" s="137">
        <f t="shared" ref="E290:E292" si="25">IF(C290="",0,(D290-C290)/C290)</f>
        <v>0.58914728682170547</v>
      </c>
      <c r="F290" s="92">
        <f t="shared" ref="F290:F292" si="26">D290*(1+E290)^1.5</f>
        <v>156.05715448302124</v>
      </c>
    </row>
    <row r="291" spans="1:9" x14ac:dyDescent="0.25">
      <c r="B291" t="s">
        <v>167</v>
      </c>
      <c r="C291" s="87">
        <v>24.73</v>
      </c>
      <c r="D291" s="87">
        <v>27.46</v>
      </c>
      <c r="E291" s="137">
        <f t="shared" si="25"/>
        <v>0.11039223615042459</v>
      </c>
      <c r="F291" s="92">
        <f t="shared" si="26"/>
        <v>32.130327901875887</v>
      </c>
    </row>
    <row r="292" spans="1:9" x14ac:dyDescent="0.25">
      <c r="B292" t="s">
        <v>353</v>
      </c>
      <c r="C292" s="87">
        <v>77.72</v>
      </c>
      <c r="D292" s="87">
        <v>89.99</v>
      </c>
      <c r="E292" s="137">
        <f t="shared" si="25"/>
        <v>0.15787442099845594</v>
      </c>
      <c r="F292" s="92">
        <f t="shared" si="26"/>
        <v>112.12086551975719</v>
      </c>
    </row>
    <row r="294" spans="1:9" x14ac:dyDescent="0.25">
      <c r="B294" s="86" t="s">
        <v>354</v>
      </c>
      <c r="C294" s="86"/>
      <c r="G294" s="148" t="s">
        <v>481</v>
      </c>
    </row>
    <row r="295" spans="1:9" x14ac:dyDescent="0.25">
      <c r="A295" t="s">
        <v>355</v>
      </c>
      <c r="B295" t="s">
        <v>356</v>
      </c>
      <c r="C295" s="87">
        <v>300.62</v>
      </c>
      <c r="D295" s="87">
        <v>324.93</v>
      </c>
      <c r="E295" s="137">
        <f t="shared" ref="E295:E317" si="27">IF(C295="",0,(D295-C295)/C295)</f>
        <v>8.0866209833011779E-2</v>
      </c>
      <c r="F295" s="92">
        <f t="shared" ref="F295:F318" si="28">D295*(1+E295)^1.5</f>
        <v>365.13017112814362</v>
      </c>
      <c r="G295" s="92">
        <f t="shared" ref="G295:G318" si="29">F295+$J$322</f>
        <v>2229.8842261252698</v>
      </c>
      <c r="I295" s="87"/>
    </row>
    <row r="296" spans="1:9" x14ac:dyDescent="0.25">
      <c r="A296" t="s">
        <v>355</v>
      </c>
      <c r="B296" t="s">
        <v>357</v>
      </c>
      <c r="C296" s="87">
        <v>398.58</v>
      </c>
      <c r="D296" s="87">
        <v>415.96</v>
      </c>
      <c r="E296" s="137">
        <f t="shared" si="27"/>
        <v>4.3604797029454551E-2</v>
      </c>
      <c r="F296" s="92">
        <f t="shared" si="28"/>
        <v>443.46124261986398</v>
      </c>
      <c r="G296" s="92">
        <f t="shared" si="29"/>
        <v>2308.2152976169905</v>
      </c>
    </row>
    <row r="297" spans="1:9" x14ac:dyDescent="0.25">
      <c r="A297" t="s">
        <v>355</v>
      </c>
      <c r="B297" t="s">
        <v>358</v>
      </c>
      <c r="C297" s="87">
        <v>160.9</v>
      </c>
      <c r="D297" s="87">
        <v>169.46</v>
      </c>
      <c r="E297" s="137">
        <f t="shared" si="27"/>
        <v>5.3200745804847745E-2</v>
      </c>
      <c r="F297" s="92">
        <f t="shared" si="28"/>
        <v>183.16139351211245</v>
      </c>
      <c r="G297" s="92">
        <f t="shared" si="29"/>
        <v>2047.9154485092388</v>
      </c>
    </row>
    <row r="298" spans="1:9" x14ac:dyDescent="0.25">
      <c r="A298" t="s">
        <v>355</v>
      </c>
      <c r="B298" t="s">
        <v>359</v>
      </c>
      <c r="C298" s="87">
        <v>389.98</v>
      </c>
      <c r="D298" s="87">
        <v>405.23</v>
      </c>
      <c r="E298" s="137">
        <f t="shared" si="27"/>
        <v>3.9104569465100769E-2</v>
      </c>
      <c r="F298" s="92">
        <f t="shared" si="28"/>
        <v>429.23039851100378</v>
      </c>
      <c r="G298" s="92">
        <f t="shared" si="29"/>
        <v>2293.9844535081302</v>
      </c>
    </row>
    <row r="299" spans="1:9" x14ac:dyDescent="0.25">
      <c r="A299" t="s">
        <v>355</v>
      </c>
      <c r="B299" t="s">
        <v>360</v>
      </c>
      <c r="C299" s="87">
        <v>157.65</v>
      </c>
      <c r="D299" s="87">
        <v>172.17</v>
      </c>
      <c r="E299" s="137">
        <f t="shared" si="27"/>
        <v>9.210275927687904E-2</v>
      </c>
      <c r="F299" s="92">
        <f t="shared" si="28"/>
        <v>196.49555751436245</v>
      </c>
      <c r="G299" s="92">
        <f t="shared" si="29"/>
        <v>2061.249612511489</v>
      </c>
    </row>
    <row r="300" spans="1:9" x14ac:dyDescent="0.25">
      <c r="A300" t="s">
        <v>355</v>
      </c>
      <c r="B300" t="s">
        <v>361</v>
      </c>
      <c r="C300" s="87">
        <v>352.66</v>
      </c>
      <c r="D300" s="87">
        <v>363.25</v>
      </c>
      <c r="E300" s="137">
        <f t="shared" si="27"/>
        <v>3.0028923042023405E-2</v>
      </c>
      <c r="F300" s="92">
        <f t="shared" si="28"/>
        <v>379.73423488464329</v>
      </c>
      <c r="G300" s="92">
        <f t="shared" si="29"/>
        <v>2244.4882898817696</v>
      </c>
    </row>
    <row r="301" spans="1:9" x14ac:dyDescent="0.25">
      <c r="A301" t="s">
        <v>355</v>
      </c>
      <c r="B301" t="s">
        <v>362</v>
      </c>
      <c r="C301" s="87">
        <v>451.75</v>
      </c>
      <c r="D301" s="87">
        <v>459.57</v>
      </c>
      <c r="E301" s="137">
        <f t="shared" si="27"/>
        <v>1.7310459324847798E-2</v>
      </c>
      <c r="F301" s="92">
        <f t="shared" si="28"/>
        <v>471.55454530809914</v>
      </c>
      <c r="G301" s="92">
        <f t="shared" si="29"/>
        <v>2336.3086003052254</v>
      </c>
    </row>
    <row r="302" spans="1:9" x14ac:dyDescent="0.25">
      <c r="A302" t="s">
        <v>355</v>
      </c>
      <c r="B302" t="s">
        <v>363</v>
      </c>
      <c r="C302" s="87">
        <v>341.44</v>
      </c>
      <c r="D302" s="87">
        <v>380.71</v>
      </c>
      <c r="E302" s="137">
        <f t="shared" si="27"/>
        <v>0.1150128865979381</v>
      </c>
      <c r="F302" s="92">
        <f t="shared" si="28"/>
        <v>448.24361761931522</v>
      </c>
      <c r="G302" s="92">
        <f t="shared" si="29"/>
        <v>2312.9976726164414</v>
      </c>
    </row>
    <row r="303" spans="1:9" x14ac:dyDescent="0.25">
      <c r="A303" t="s">
        <v>355</v>
      </c>
      <c r="B303" t="s">
        <v>364</v>
      </c>
      <c r="C303" s="87">
        <v>416.7</v>
      </c>
      <c r="D303" s="87">
        <v>438.91</v>
      </c>
      <c r="E303" s="137">
        <f t="shared" si="27"/>
        <v>5.3299736021118399E-2</v>
      </c>
      <c r="F303" s="92">
        <f t="shared" si="28"/>
        <v>474.4641889276304</v>
      </c>
      <c r="G303" s="92">
        <f t="shared" si="29"/>
        <v>2339.2182439247567</v>
      </c>
    </row>
    <row r="304" spans="1:9" x14ac:dyDescent="0.25">
      <c r="A304" t="s">
        <v>355</v>
      </c>
      <c r="B304" t="s">
        <v>365</v>
      </c>
      <c r="C304" s="87">
        <v>371.57</v>
      </c>
      <c r="D304" s="87">
        <v>391.64</v>
      </c>
      <c r="E304" s="137">
        <f t="shared" si="27"/>
        <v>5.4014048496918467E-2</v>
      </c>
      <c r="F304" s="92">
        <f t="shared" si="28"/>
        <v>423.79579287955903</v>
      </c>
      <c r="G304" s="92">
        <f t="shared" si="29"/>
        <v>2288.5498478766854</v>
      </c>
    </row>
    <row r="305" spans="1:9" x14ac:dyDescent="0.25">
      <c r="A305" t="s">
        <v>355</v>
      </c>
      <c r="B305" t="s">
        <v>366</v>
      </c>
      <c r="C305" s="87">
        <v>470.21</v>
      </c>
      <c r="D305" s="87">
        <v>483.9</v>
      </c>
      <c r="E305" s="137">
        <f t="shared" si="27"/>
        <v>2.9114650900661402E-2</v>
      </c>
      <c r="F305" s="92">
        <f t="shared" si="28"/>
        <v>505.18595001933369</v>
      </c>
      <c r="G305" s="92">
        <f t="shared" si="29"/>
        <v>2369.94000501646</v>
      </c>
      <c r="H305" s="87"/>
    </row>
    <row r="306" spans="1:9" x14ac:dyDescent="0.25">
      <c r="A306" t="s">
        <v>355</v>
      </c>
      <c r="B306" t="s">
        <v>367</v>
      </c>
      <c r="C306" s="87">
        <v>248.78</v>
      </c>
      <c r="D306" s="87">
        <v>358.46</v>
      </c>
      <c r="E306" s="137">
        <f t="shared" si="27"/>
        <v>0.44087145268912281</v>
      </c>
      <c r="F306" s="92">
        <f t="shared" si="28"/>
        <v>619.98125073749463</v>
      </c>
      <c r="G306" s="92">
        <f t="shared" si="29"/>
        <v>2484.7353057346209</v>
      </c>
      <c r="H306" s="87"/>
    </row>
    <row r="307" spans="1:9" x14ac:dyDescent="0.25">
      <c r="A307" t="s">
        <v>355</v>
      </c>
      <c r="B307" t="s">
        <v>368</v>
      </c>
      <c r="C307" s="87">
        <v>170.41</v>
      </c>
      <c r="D307" s="87">
        <v>187.28</v>
      </c>
      <c r="E307" s="137">
        <f t="shared" si="27"/>
        <v>9.8996537761868467E-2</v>
      </c>
      <c r="F307" s="92">
        <f t="shared" si="28"/>
        <v>215.76742916461421</v>
      </c>
      <c r="G307" s="92">
        <f t="shared" si="29"/>
        <v>2080.5214841617408</v>
      </c>
    </row>
    <row r="308" spans="1:9" x14ac:dyDescent="0.25">
      <c r="A308" t="s">
        <v>355</v>
      </c>
      <c r="B308" t="s">
        <v>369</v>
      </c>
      <c r="C308" s="87">
        <v>129.18</v>
      </c>
      <c r="D308" s="87">
        <v>185.29</v>
      </c>
      <c r="E308" s="137">
        <f t="shared" si="27"/>
        <v>0.43435516333797786</v>
      </c>
      <c r="F308" s="92">
        <f t="shared" si="28"/>
        <v>318.30028902966768</v>
      </c>
      <c r="G308" s="92">
        <f t="shared" si="29"/>
        <v>2183.0543440267938</v>
      </c>
    </row>
    <row r="309" spans="1:9" x14ac:dyDescent="0.25">
      <c r="A309" t="s">
        <v>355</v>
      </c>
      <c r="B309" t="s">
        <v>370</v>
      </c>
      <c r="C309" s="87">
        <v>115.94</v>
      </c>
      <c r="D309" s="87">
        <v>147.32</v>
      </c>
      <c r="E309" s="137">
        <f t="shared" si="27"/>
        <v>0.27065723650163875</v>
      </c>
      <c r="F309" s="92">
        <f t="shared" si="28"/>
        <v>211.01062867501818</v>
      </c>
      <c r="G309" s="92">
        <f t="shared" si="29"/>
        <v>2075.7646836721447</v>
      </c>
    </row>
    <row r="310" spans="1:9" x14ac:dyDescent="0.25">
      <c r="A310" t="s">
        <v>355</v>
      </c>
      <c r="B310" t="s">
        <v>371</v>
      </c>
      <c r="C310" s="87">
        <v>286.25</v>
      </c>
      <c r="D310" s="87">
        <v>332.24</v>
      </c>
      <c r="E310" s="137">
        <f t="shared" si="27"/>
        <v>0.16066375545851533</v>
      </c>
      <c r="F310" s="92">
        <f t="shared" si="28"/>
        <v>415.44310188084143</v>
      </c>
      <c r="G310" s="92">
        <f t="shared" si="29"/>
        <v>2280.1971568779677</v>
      </c>
    </row>
    <row r="311" spans="1:9" x14ac:dyDescent="0.25">
      <c r="A311" t="s">
        <v>355</v>
      </c>
      <c r="B311" t="s">
        <v>372</v>
      </c>
      <c r="C311" s="87">
        <v>134.74</v>
      </c>
      <c r="D311" s="87">
        <v>164.02</v>
      </c>
      <c r="E311" s="137">
        <f t="shared" si="27"/>
        <v>0.21730740685765176</v>
      </c>
      <c r="F311" s="92">
        <f t="shared" si="28"/>
        <v>220.29122825020323</v>
      </c>
      <c r="G311" s="92">
        <f t="shared" si="29"/>
        <v>2085.0452832473297</v>
      </c>
    </row>
    <row r="312" spans="1:9" x14ac:dyDescent="0.25">
      <c r="A312" t="s">
        <v>355</v>
      </c>
      <c r="B312" t="s">
        <v>373</v>
      </c>
      <c r="C312" s="87">
        <v>98.72</v>
      </c>
      <c r="D312" s="87">
        <v>130.65</v>
      </c>
      <c r="E312" s="137">
        <f t="shared" si="27"/>
        <v>0.32344003241491093</v>
      </c>
      <c r="F312" s="92">
        <f t="shared" si="28"/>
        <v>198.91421267276789</v>
      </c>
      <c r="G312" s="92">
        <f t="shared" si="29"/>
        <v>2063.6682676698942</v>
      </c>
    </row>
    <row r="313" spans="1:9" x14ac:dyDescent="0.25">
      <c r="A313" t="s">
        <v>355</v>
      </c>
      <c r="B313" t="s">
        <v>374</v>
      </c>
      <c r="C313" s="87">
        <v>173.52</v>
      </c>
      <c r="D313" s="87">
        <v>234.22</v>
      </c>
      <c r="E313" s="137">
        <f t="shared" si="27"/>
        <v>0.34981558321807277</v>
      </c>
      <c r="F313" s="92">
        <f t="shared" si="28"/>
        <v>367.31243659605718</v>
      </c>
      <c r="G313" s="92">
        <f t="shared" si="29"/>
        <v>2232.0664915931834</v>
      </c>
    </row>
    <row r="314" spans="1:9" x14ac:dyDescent="0.25">
      <c r="A314" t="s">
        <v>355</v>
      </c>
      <c r="B314" t="s">
        <v>375</v>
      </c>
      <c r="C314" s="87">
        <v>413.58</v>
      </c>
      <c r="D314" s="87">
        <v>477.19</v>
      </c>
      <c r="E314" s="137">
        <f t="shared" si="27"/>
        <v>0.15380337540500028</v>
      </c>
      <c r="F314" s="92">
        <f t="shared" si="28"/>
        <v>591.41051487097832</v>
      </c>
      <c r="G314" s="92">
        <f t="shared" si="29"/>
        <v>2456.1645698681045</v>
      </c>
    </row>
    <row r="315" spans="1:9" x14ac:dyDescent="0.25">
      <c r="A315" t="s">
        <v>355</v>
      </c>
      <c r="B315" t="s">
        <v>376</v>
      </c>
      <c r="C315" s="87">
        <v>10.98</v>
      </c>
      <c r="D315" s="87">
        <v>10.14</v>
      </c>
      <c r="E315" s="137">
        <f t="shared" si="27"/>
        <v>-7.6502732240437146E-2</v>
      </c>
      <c r="F315" s="92">
        <f t="shared" si="28"/>
        <v>8.9989404379192202</v>
      </c>
      <c r="G315" s="92">
        <f t="shared" si="29"/>
        <v>1873.7529954350455</v>
      </c>
      <c r="H315" s="87"/>
      <c r="I315" s="87"/>
    </row>
    <row r="316" spans="1:9" x14ac:dyDescent="0.25">
      <c r="A316" t="s">
        <v>355</v>
      </c>
      <c r="B316" t="s">
        <v>377</v>
      </c>
      <c r="C316" s="87">
        <v>62.54</v>
      </c>
      <c r="D316" s="87">
        <v>62.51</v>
      </c>
      <c r="E316" s="137">
        <f t="shared" si="27"/>
        <v>-4.7969299648226952E-4</v>
      </c>
      <c r="F316" s="92">
        <f t="shared" si="28"/>
        <v>62.465026980573676</v>
      </c>
      <c r="G316" s="92">
        <f t="shared" si="29"/>
        <v>1927.2190819776999</v>
      </c>
      <c r="H316" s="87"/>
      <c r="I316" s="87"/>
    </row>
    <row r="317" spans="1:9" x14ac:dyDescent="0.25">
      <c r="A317" t="s">
        <v>355</v>
      </c>
      <c r="B317" t="s">
        <v>378</v>
      </c>
      <c r="C317" s="87">
        <v>10.98</v>
      </c>
      <c r="D317" s="87">
        <v>8.6999999999999993</v>
      </c>
      <c r="E317" s="137">
        <f t="shared" si="27"/>
        <v>-0.20765027322404381</v>
      </c>
      <c r="F317" s="92">
        <f t="shared" si="28"/>
        <v>6.1361309802349684</v>
      </c>
      <c r="G317" s="92">
        <f t="shared" si="29"/>
        <v>1870.8901859773614</v>
      </c>
      <c r="H317" s="87"/>
      <c r="I317" s="87"/>
    </row>
    <row r="318" spans="1:9" x14ac:dyDescent="0.25">
      <c r="A318" t="s">
        <v>355</v>
      </c>
      <c r="B318" t="s">
        <v>379</v>
      </c>
      <c r="C318" s="87">
        <v>86.7</v>
      </c>
      <c r="D318" s="87">
        <v>88.1</v>
      </c>
      <c r="E318" s="137">
        <f>IF(C318="",0,(D318-C318)/C318)</f>
        <v>1.6147635524798056E-2</v>
      </c>
      <c r="F318" s="92">
        <f t="shared" si="28"/>
        <v>90.242501390535679</v>
      </c>
      <c r="G318" s="92">
        <f t="shared" si="29"/>
        <v>1954.9965563876619</v>
      </c>
      <c r="H318" s="87"/>
      <c r="I318" s="87"/>
    </row>
    <row r="319" spans="1:9" x14ac:dyDescent="0.25">
      <c r="C319" s="87"/>
      <c r="F319" s="86" t="s">
        <v>480</v>
      </c>
      <c r="G319" s="92">
        <f>AVERAGE(G295:G318)</f>
        <v>2183.3678376884168</v>
      </c>
    </row>
    <row r="320" spans="1:9" x14ac:dyDescent="0.25">
      <c r="C320" s="87"/>
    </row>
    <row r="321" spans="1:10" x14ac:dyDescent="0.25">
      <c r="B321" s="86" t="s">
        <v>380</v>
      </c>
      <c r="C321" s="87"/>
    </row>
    <row r="322" spans="1:10" x14ac:dyDescent="0.25">
      <c r="A322" t="s">
        <v>381</v>
      </c>
      <c r="B322" t="s">
        <v>382</v>
      </c>
      <c r="C322" s="87">
        <v>39.28</v>
      </c>
      <c r="D322" s="87">
        <v>42.78</v>
      </c>
      <c r="E322" s="137">
        <f>IF(C322="",0,(D322-C322)/C322)</f>
        <v>8.910386965376782E-2</v>
      </c>
      <c r="F322" s="92">
        <f t="shared" ref="F322:F369" si="30">D322*(1+E322)^1.5</f>
        <v>48.62333374547633</v>
      </c>
      <c r="G322" s="151"/>
      <c r="H322" s="86" t="s">
        <v>381</v>
      </c>
      <c r="I322" s="92">
        <f>SUM(F322:F345)</f>
        <v>1819.9108098250554</v>
      </c>
      <c r="J322" s="87">
        <f>AVERAGE(I322:I323)</f>
        <v>1864.7540549971263</v>
      </c>
    </row>
    <row r="323" spans="1:10" x14ac:dyDescent="0.25">
      <c r="A323" t="s">
        <v>381</v>
      </c>
      <c r="B323" t="s">
        <v>383</v>
      </c>
      <c r="C323" s="87">
        <v>49.5</v>
      </c>
      <c r="D323" s="87">
        <v>50.38</v>
      </c>
      <c r="E323" s="137">
        <f t="shared" ref="E323:E369" si="31">IF(C323="",0,(D323-C323)/C323)</f>
        <v>1.777777777777783E-2</v>
      </c>
      <c r="F323" s="92">
        <f t="shared" si="30"/>
        <v>51.729420054794829</v>
      </c>
      <c r="G323" s="151"/>
      <c r="H323" s="86" t="s">
        <v>404</v>
      </c>
      <c r="I323" s="92">
        <f>SUM(F346:F369)</f>
        <v>1909.5973001691971</v>
      </c>
      <c r="J323" s="87"/>
    </row>
    <row r="324" spans="1:10" x14ac:dyDescent="0.25">
      <c r="A324" t="s">
        <v>381</v>
      </c>
      <c r="B324" t="s">
        <v>384</v>
      </c>
      <c r="C324" s="87">
        <v>59.35</v>
      </c>
      <c r="D324" s="87">
        <v>61.53</v>
      </c>
      <c r="E324" s="137">
        <f t="shared" si="31"/>
        <v>3.6731255265374886E-2</v>
      </c>
      <c r="F324" s="92">
        <f t="shared" si="30"/>
        <v>64.951053963949121</v>
      </c>
      <c r="G324" s="151"/>
      <c r="H324" s="87"/>
    </row>
    <row r="325" spans="1:10" x14ac:dyDescent="0.25">
      <c r="A325" t="s">
        <v>381</v>
      </c>
      <c r="B325" t="s">
        <v>385</v>
      </c>
      <c r="D325" s="87">
        <v>166.5</v>
      </c>
      <c r="E325" s="137">
        <f t="shared" si="31"/>
        <v>0</v>
      </c>
      <c r="F325" s="92">
        <f t="shared" si="30"/>
        <v>166.5</v>
      </c>
      <c r="G325" s="137"/>
    </row>
    <row r="326" spans="1:10" x14ac:dyDescent="0.25">
      <c r="A326" t="s">
        <v>381</v>
      </c>
      <c r="B326" t="s">
        <v>386</v>
      </c>
      <c r="D326" s="87">
        <v>38.49</v>
      </c>
      <c r="E326" s="137">
        <f t="shared" si="31"/>
        <v>0</v>
      </c>
      <c r="F326" s="92">
        <f t="shared" si="30"/>
        <v>38.49</v>
      </c>
      <c r="G326" s="137"/>
    </row>
    <row r="327" spans="1:10" x14ac:dyDescent="0.25">
      <c r="A327" t="s">
        <v>381</v>
      </c>
      <c r="B327" t="s">
        <v>387</v>
      </c>
      <c r="C327" s="87">
        <v>25.41</v>
      </c>
      <c r="D327" s="87">
        <v>26.87</v>
      </c>
      <c r="E327" s="137">
        <f t="shared" si="31"/>
        <v>5.7457693821330216E-2</v>
      </c>
      <c r="F327" s="92">
        <f t="shared" si="30"/>
        <v>29.218786058339038</v>
      </c>
      <c r="G327" s="151"/>
      <c r="H327" s="87"/>
    </row>
    <row r="328" spans="1:10" x14ac:dyDescent="0.25">
      <c r="A328" t="s">
        <v>381</v>
      </c>
      <c r="B328" t="s">
        <v>162</v>
      </c>
      <c r="C328" s="87">
        <v>41.22</v>
      </c>
      <c r="D328" s="87">
        <v>43.79</v>
      </c>
      <c r="E328" s="137">
        <f t="shared" si="31"/>
        <v>6.2348374575448819E-2</v>
      </c>
      <c r="F328" s="92">
        <f t="shared" si="30"/>
        <v>47.948539345869001</v>
      </c>
      <c r="G328" s="151"/>
      <c r="H328" s="87"/>
    </row>
    <row r="329" spans="1:10" x14ac:dyDescent="0.25">
      <c r="A329" t="s">
        <v>381</v>
      </c>
      <c r="B329" t="s">
        <v>388</v>
      </c>
      <c r="C329" s="87">
        <v>34.049999999999997</v>
      </c>
      <c r="D329" s="87">
        <v>36.35</v>
      </c>
      <c r="E329" s="137">
        <f t="shared" si="31"/>
        <v>6.754772393538927E-2</v>
      </c>
      <c r="F329" s="92">
        <f t="shared" si="30"/>
        <v>40.094551852532071</v>
      </c>
      <c r="G329" s="151"/>
      <c r="H329" s="87"/>
    </row>
    <row r="330" spans="1:10" x14ac:dyDescent="0.25">
      <c r="A330" t="s">
        <v>381</v>
      </c>
      <c r="B330" t="s">
        <v>389</v>
      </c>
      <c r="C330" s="87">
        <v>109.68</v>
      </c>
      <c r="D330" s="87">
        <v>110.14</v>
      </c>
      <c r="E330" s="137">
        <f t="shared" si="31"/>
        <v>4.1940189642596069E-3</v>
      </c>
      <c r="F330" s="92">
        <f t="shared" si="30"/>
        <v>110.83361986856578</v>
      </c>
      <c r="G330" s="151"/>
      <c r="H330" s="87"/>
    </row>
    <row r="331" spans="1:10" x14ac:dyDescent="0.25">
      <c r="A331" t="s">
        <v>381</v>
      </c>
      <c r="B331" t="s">
        <v>390</v>
      </c>
      <c r="C331" s="87">
        <v>26.23</v>
      </c>
      <c r="D331" s="87">
        <v>29.62</v>
      </c>
      <c r="E331" s="137">
        <f t="shared" si="31"/>
        <v>0.12924132672512392</v>
      </c>
      <c r="F331" s="92">
        <f t="shared" si="30"/>
        <v>35.543909919083596</v>
      </c>
      <c r="G331" s="151"/>
      <c r="H331" s="87"/>
    </row>
    <row r="332" spans="1:10" x14ac:dyDescent="0.25">
      <c r="A332" t="s">
        <v>381</v>
      </c>
      <c r="B332" t="s">
        <v>391</v>
      </c>
      <c r="C332" s="87">
        <v>48.31</v>
      </c>
      <c r="D332" s="87">
        <v>96.43</v>
      </c>
      <c r="E332" s="137">
        <f t="shared" si="31"/>
        <v>0.99606706685986346</v>
      </c>
      <c r="F332" s="92">
        <f t="shared" si="30"/>
        <v>271.94110672428013</v>
      </c>
      <c r="G332" s="151"/>
      <c r="H332" s="87"/>
    </row>
    <row r="333" spans="1:10" x14ac:dyDescent="0.25">
      <c r="A333" t="s">
        <v>381</v>
      </c>
      <c r="B333" t="s">
        <v>392</v>
      </c>
      <c r="C333" s="87">
        <v>46</v>
      </c>
      <c r="D333" s="87">
        <v>38.25</v>
      </c>
      <c r="E333" s="137">
        <f t="shared" si="31"/>
        <v>-0.16847826086956522</v>
      </c>
      <c r="F333" s="92">
        <f t="shared" si="30"/>
        <v>29.0029284507252</v>
      </c>
      <c r="G333" s="151"/>
      <c r="H333" s="87"/>
    </row>
    <row r="334" spans="1:10" x14ac:dyDescent="0.25">
      <c r="A334" t="s">
        <v>381</v>
      </c>
      <c r="B334" t="s">
        <v>393</v>
      </c>
      <c r="C334" s="87">
        <v>31.13</v>
      </c>
      <c r="D334" s="87">
        <v>36.950000000000003</v>
      </c>
      <c r="E334" s="137">
        <f t="shared" si="31"/>
        <v>0.1869579184066818</v>
      </c>
      <c r="F334" s="92">
        <f t="shared" si="30"/>
        <v>47.782341272945196</v>
      </c>
      <c r="G334" s="151"/>
      <c r="H334" s="87"/>
    </row>
    <row r="335" spans="1:10" x14ac:dyDescent="0.25">
      <c r="A335" t="s">
        <v>381</v>
      </c>
      <c r="B335" t="s">
        <v>394</v>
      </c>
      <c r="C335" s="87">
        <v>20.75</v>
      </c>
      <c r="D335" s="87">
        <v>25.27</v>
      </c>
      <c r="E335" s="137">
        <f t="shared" si="31"/>
        <v>0.2178313253012048</v>
      </c>
      <c r="F335" s="92">
        <f t="shared" si="30"/>
        <v>33.96142879660399</v>
      </c>
      <c r="G335" s="151"/>
      <c r="H335" s="87"/>
    </row>
    <row r="336" spans="1:10" x14ac:dyDescent="0.25">
      <c r="A336" t="s">
        <v>381</v>
      </c>
      <c r="B336" t="s">
        <v>313</v>
      </c>
      <c r="C336" s="87">
        <v>3.9</v>
      </c>
      <c r="D336" s="87">
        <v>4.7699999999999996</v>
      </c>
      <c r="E336" s="137">
        <f t="shared" si="31"/>
        <v>0.22307692307692301</v>
      </c>
      <c r="F336" s="92">
        <f t="shared" si="30"/>
        <v>6.452069503152404</v>
      </c>
      <c r="G336" s="151"/>
      <c r="H336" s="87"/>
    </row>
    <row r="337" spans="1:8" x14ac:dyDescent="0.25">
      <c r="A337" t="s">
        <v>381</v>
      </c>
      <c r="B337" t="s">
        <v>395</v>
      </c>
      <c r="C337" s="87">
        <v>50.68</v>
      </c>
      <c r="D337" s="87">
        <v>64.63</v>
      </c>
      <c r="E337" s="137">
        <f t="shared" si="31"/>
        <v>0.27525651144435664</v>
      </c>
      <c r="F337" s="92">
        <f t="shared" si="30"/>
        <v>93.074450416906672</v>
      </c>
      <c r="G337" s="151"/>
      <c r="H337" s="87"/>
    </row>
    <row r="338" spans="1:8" x14ac:dyDescent="0.25">
      <c r="A338" t="s">
        <v>381</v>
      </c>
      <c r="B338" t="s">
        <v>396</v>
      </c>
      <c r="C338" s="87">
        <v>329.6</v>
      </c>
      <c r="D338" s="87">
        <v>359.76</v>
      </c>
      <c r="E338" s="137">
        <f t="shared" si="31"/>
        <v>9.1504854368931937E-2</v>
      </c>
      <c r="F338" s="92">
        <f t="shared" si="30"/>
        <v>410.25263756027317</v>
      </c>
      <c r="G338" s="151"/>
      <c r="H338" s="87"/>
    </row>
    <row r="339" spans="1:8" x14ac:dyDescent="0.25">
      <c r="A339" t="s">
        <v>381</v>
      </c>
      <c r="B339" t="s">
        <v>397</v>
      </c>
      <c r="C339" s="87">
        <v>23.29</v>
      </c>
      <c r="D339" s="87">
        <v>27.28</v>
      </c>
      <c r="E339" s="137">
        <f t="shared" si="31"/>
        <v>0.171318162301417</v>
      </c>
      <c r="F339" s="92">
        <f t="shared" si="30"/>
        <v>34.582523613870919</v>
      </c>
      <c r="G339" s="151"/>
      <c r="H339" s="87"/>
    </row>
    <row r="340" spans="1:8" x14ac:dyDescent="0.25">
      <c r="A340" t="s">
        <v>381</v>
      </c>
      <c r="B340" t="s">
        <v>398</v>
      </c>
      <c r="C340" s="87">
        <v>20.11</v>
      </c>
      <c r="D340" s="87">
        <v>22.12</v>
      </c>
      <c r="E340" s="137">
        <f t="shared" si="31"/>
        <v>9.9950273495773331E-2</v>
      </c>
      <c r="F340" s="92">
        <f t="shared" si="30"/>
        <v>25.517886456863909</v>
      </c>
      <c r="G340" s="151"/>
      <c r="H340" s="87"/>
    </row>
    <row r="341" spans="1:8" x14ac:dyDescent="0.25">
      <c r="A341" t="s">
        <v>381</v>
      </c>
      <c r="B341" t="s">
        <v>399</v>
      </c>
      <c r="C341" s="87">
        <v>39.61</v>
      </c>
      <c r="D341" s="87">
        <v>40.6</v>
      </c>
      <c r="E341" s="137">
        <f t="shared" si="31"/>
        <v>2.4993688462509517E-2</v>
      </c>
      <c r="F341" s="92">
        <f t="shared" si="30"/>
        <v>42.131587196654472</v>
      </c>
      <c r="G341" s="151"/>
      <c r="H341" s="87"/>
    </row>
    <row r="342" spans="1:8" x14ac:dyDescent="0.25">
      <c r="A342" t="s">
        <v>381</v>
      </c>
      <c r="B342" t="s">
        <v>400</v>
      </c>
      <c r="C342" s="87">
        <v>25.82</v>
      </c>
      <c r="D342" s="87">
        <v>26.99</v>
      </c>
      <c r="E342" s="137">
        <f t="shared" si="31"/>
        <v>4.5313710302091331E-2</v>
      </c>
      <c r="F342" s="92">
        <f t="shared" si="30"/>
        <v>28.845153505946424</v>
      </c>
      <c r="G342" s="151"/>
      <c r="H342" s="87"/>
    </row>
    <row r="343" spans="1:8" x14ac:dyDescent="0.25">
      <c r="A343" t="s">
        <v>381</v>
      </c>
      <c r="B343" t="s">
        <v>401</v>
      </c>
      <c r="C343" s="87">
        <v>36.880000000000003</v>
      </c>
      <c r="D343" s="87">
        <v>39.869999999999997</v>
      </c>
      <c r="E343" s="137">
        <f t="shared" si="31"/>
        <v>8.1073752711496597E-2</v>
      </c>
      <c r="F343" s="92">
        <f t="shared" si="30"/>
        <v>44.815600553761257</v>
      </c>
      <c r="G343" s="151"/>
      <c r="H343" s="87"/>
    </row>
    <row r="344" spans="1:8" x14ac:dyDescent="0.25">
      <c r="A344" t="s">
        <v>381</v>
      </c>
      <c r="B344" t="s">
        <v>402</v>
      </c>
      <c r="C344" s="87">
        <v>21.28</v>
      </c>
      <c r="D344" s="87">
        <v>27.33</v>
      </c>
      <c r="E344" s="137">
        <f t="shared" si="31"/>
        <v>0.28430451127819534</v>
      </c>
      <c r="F344" s="92">
        <f t="shared" si="30"/>
        <v>39.777880964462241</v>
      </c>
      <c r="G344" s="151"/>
      <c r="H344" s="87"/>
    </row>
    <row r="345" spans="1:8" x14ac:dyDescent="0.25">
      <c r="A345" t="s">
        <v>381</v>
      </c>
      <c r="B345" t="s">
        <v>403</v>
      </c>
      <c r="D345" s="87">
        <v>77.84</v>
      </c>
      <c r="E345" s="137">
        <f t="shared" si="31"/>
        <v>0</v>
      </c>
      <c r="F345" s="92">
        <f t="shared" si="30"/>
        <v>77.84</v>
      </c>
      <c r="G345" s="137"/>
    </row>
    <row r="346" spans="1:8" x14ac:dyDescent="0.25">
      <c r="A346" t="s">
        <v>404</v>
      </c>
      <c r="B346" t="s">
        <v>382</v>
      </c>
      <c r="C346" s="87">
        <v>41.89</v>
      </c>
      <c r="D346" s="87">
        <v>43.79</v>
      </c>
      <c r="E346" s="137">
        <f t="shared" si="31"/>
        <v>4.5356887085223167E-2</v>
      </c>
      <c r="F346" s="92">
        <f t="shared" si="30"/>
        <v>46.802798567886249</v>
      </c>
      <c r="G346" s="151"/>
      <c r="H346" s="87"/>
    </row>
    <row r="347" spans="1:8" x14ac:dyDescent="0.25">
      <c r="A347" t="s">
        <v>404</v>
      </c>
      <c r="B347" t="s">
        <v>383</v>
      </c>
      <c r="C347" s="87">
        <v>49.51</v>
      </c>
      <c r="D347" s="87">
        <v>50.71</v>
      </c>
      <c r="E347" s="137">
        <f t="shared" si="31"/>
        <v>2.4237527772167297E-2</v>
      </c>
      <c r="F347" s="92">
        <f t="shared" si="30"/>
        <v>52.564754071518422</v>
      </c>
      <c r="G347" s="151"/>
      <c r="H347" s="87"/>
    </row>
    <row r="348" spans="1:8" x14ac:dyDescent="0.25">
      <c r="A348" t="s">
        <v>404</v>
      </c>
      <c r="B348" t="s">
        <v>384</v>
      </c>
      <c r="C348" s="87">
        <v>59.76</v>
      </c>
      <c r="D348" s="87">
        <v>59.79</v>
      </c>
      <c r="E348" s="137">
        <f t="shared" si="31"/>
        <v>5.0200803212853309E-4</v>
      </c>
      <c r="F348" s="92">
        <f t="shared" si="30"/>
        <v>59.835028240314273</v>
      </c>
      <c r="G348" s="151"/>
      <c r="H348" s="87"/>
    </row>
    <row r="349" spans="1:8" x14ac:dyDescent="0.25">
      <c r="A349" t="s">
        <v>404</v>
      </c>
      <c r="B349" t="s">
        <v>405</v>
      </c>
      <c r="D349" s="87">
        <v>119.48</v>
      </c>
      <c r="E349" s="137">
        <f t="shared" si="31"/>
        <v>0</v>
      </c>
      <c r="F349" s="92">
        <f t="shared" si="30"/>
        <v>119.48</v>
      </c>
      <c r="G349" s="137"/>
    </row>
    <row r="350" spans="1:8" x14ac:dyDescent="0.25">
      <c r="A350" t="s">
        <v>404</v>
      </c>
      <c r="B350" t="s">
        <v>387</v>
      </c>
      <c r="D350" s="87">
        <v>31.42</v>
      </c>
      <c r="E350" s="137">
        <f t="shared" si="31"/>
        <v>0</v>
      </c>
      <c r="F350" s="92">
        <f t="shared" si="30"/>
        <v>31.42</v>
      </c>
      <c r="G350" s="137"/>
    </row>
    <row r="351" spans="1:8" x14ac:dyDescent="0.25">
      <c r="A351" t="s">
        <v>404</v>
      </c>
      <c r="B351" t="s">
        <v>162</v>
      </c>
      <c r="D351" s="87">
        <v>44.06</v>
      </c>
      <c r="E351" s="137">
        <f t="shared" si="31"/>
        <v>0</v>
      </c>
      <c r="F351" s="92">
        <f t="shared" si="30"/>
        <v>44.06</v>
      </c>
      <c r="G351" s="137"/>
    </row>
    <row r="352" spans="1:8" x14ac:dyDescent="0.25">
      <c r="A352" t="s">
        <v>404</v>
      </c>
      <c r="B352" t="s">
        <v>386</v>
      </c>
      <c r="D352" s="87">
        <v>37.450000000000003</v>
      </c>
      <c r="E352" s="137">
        <f t="shared" si="31"/>
        <v>0</v>
      </c>
      <c r="F352" s="92">
        <f t="shared" si="30"/>
        <v>37.450000000000003</v>
      </c>
      <c r="G352" s="137"/>
    </row>
    <row r="353" spans="1:8" x14ac:dyDescent="0.25">
      <c r="A353" t="s">
        <v>404</v>
      </c>
      <c r="B353" t="s">
        <v>388</v>
      </c>
      <c r="C353" s="87">
        <v>34.409999999999997</v>
      </c>
      <c r="D353" s="87">
        <v>37.79</v>
      </c>
      <c r="E353" s="137">
        <f t="shared" si="31"/>
        <v>9.8227259517582183E-2</v>
      </c>
      <c r="F353" s="92">
        <f t="shared" si="30"/>
        <v>43.492584995424792</v>
      </c>
      <c r="G353" s="137"/>
      <c r="H353" s="87"/>
    </row>
    <row r="354" spans="1:8" x14ac:dyDescent="0.25">
      <c r="A354" t="s">
        <v>404</v>
      </c>
      <c r="B354" t="s">
        <v>406</v>
      </c>
      <c r="C354" s="87">
        <v>193.2</v>
      </c>
      <c r="D354" s="87">
        <v>201.49</v>
      </c>
      <c r="E354" s="137">
        <f t="shared" si="31"/>
        <v>4.2908902691511493E-2</v>
      </c>
      <c r="F354" s="92">
        <f t="shared" si="30"/>
        <v>214.59670978767176</v>
      </c>
      <c r="G354" s="151"/>
      <c r="H354" s="87"/>
    </row>
    <row r="355" spans="1:8" x14ac:dyDescent="0.25">
      <c r="A355" t="s">
        <v>404</v>
      </c>
      <c r="B355" t="s">
        <v>390</v>
      </c>
      <c r="C355" s="87">
        <v>26.38</v>
      </c>
      <c r="D355" s="87">
        <v>31.56</v>
      </c>
      <c r="E355" s="137">
        <f t="shared" si="31"/>
        <v>0.19636087945413191</v>
      </c>
      <c r="F355" s="92">
        <f t="shared" si="30"/>
        <v>41.298121679208464</v>
      </c>
      <c r="G355" s="137"/>
      <c r="H355" s="87"/>
    </row>
    <row r="356" spans="1:8" x14ac:dyDescent="0.25">
      <c r="A356" t="s">
        <v>404</v>
      </c>
      <c r="B356" t="s">
        <v>391</v>
      </c>
      <c r="C356" s="87">
        <v>62.73</v>
      </c>
      <c r="D356" s="87">
        <v>97.44</v>
      </c>
      <c r="E356" s="137">
        <f t="shared" si="31"/>
        <v>0.55332376853180298</v>
      </c>
      <c r="F356" s="92">
        <f t="shared" si="30"/>
        <v>188.63846635396609</v>
      </c>
      <c r="G356" s="137"/>
      <c r="H356" s="87"/>
    </row>
    <row r="357" spans="1:8" x14ac:dyDescent="0.25">
      <c r="A357" t="s">
        <v>404</v>
      </c>
      <c r="B357" t="s">
        <v>392</v>
      </c>
      <c r="C357" s="87">
        <v>63.14</v>
      </c>
      <c r="D357" s="87">
        <v>39.520000000000003</v>
      </c>
      <c r="E357" s="137">
        <f t="shared" si="31"/>
        <v>-0.37408932530883748</v>
      </c>
      <c r="F357" s="92">
        <f t="shared" si="30"/>
        <v>19.569758822692954</v>
      </c>
      <c r="G357" s="137"/>
      <c r="H357" s="87"/>
    </row>
    <row r="358" spans="1:8" x14ac:dyDescent="0.25">
      <c r="A358" t="s">
        <v>404</v>
      </c>
      <c r="B358" t="s">
        <v>393</v>
      </c>
      <c r="C358" s="87">
        <v>44.23</v>
      </c>
      <c r="D358" s="87">
        <v>56.85</v>
      </c>
      <c r="E358" s="137">
        <f t="shared" si="31"/>
        <v>0.28532670133393634</v>
      </c>
      <c r="F358" s="92">
        <f t="shared" si="30"/>
        <v>82.842035912755321</v>
      </c>
      <c r="G358" s="151"/>
      <c r="H358" s="87"/>
    </row>
    <row r="359" spans="1:8" x14ac:dyDescent="0.25">
      <c r="A359" t="s">
        <v>404</v>
      </c>
      <c r="B359" t="s">
        <v>394</v>
      </c>
      <c r="C359" s="87">
        <v>25.87</v>
      </c>
      <c r="D359" s="87">
        <v>32.42</v>
      </c>
      <c r="E359" s="137">
        <f t="shared" si="31"/>
        <v>0.25318902203324317</v>
      </c>
      <c r="F359" s="92">
        <f t="shared" si="30"/>
        <v>45.481825039391211</v>
      </c>
      <c r="G359" s="137"/>
      <c r="H359" s="87"/>
    </row>
    <row r="360" spans="1:8" x14ac:dyDescent="0.25">
      <c r="A360" t="s">
        <v>404</v>
      </c>
      <c r="B360" t="s">
        <v>313</v>
      </c>
      <c r="C360" s="87">
        <v>4.18</v>
      </c>
      <c r="D360" s="87">
        <v>4.75</v>
      </c>
      <c r="E360" s="137">
        <f t="shared" si="31"/>
        <v>0.13636363636363644</v>
      </c>
      <c r="F360" s="92">
        <f t="shared" si="30"/>
        <v>5.7539966061883501</v>
      </c>
      <c r="G360" s="151"/>
      <c r="H360" s="87"/>
    </row>
    <row r="361" spans="1:8" x14ac:dyDescent="0.25">
      <c r="A361" t="s">
        <v>404</v>
      </c>
      <c r="B361" t="s">
        <v>395</v>
      </c>
      <c r="C361" s="87">
        <v>56.62</v>
      </c>
      <c r="D361" s="87">
        <v>65.2</v>
      </c>
      <c r="E361" s="137">
        <f t="shared" si="31"/>
        <v>0.15153655951960449</v>
      </c>
      <c r="F361" s="92">
        <f t="shared" si="30"/>
        <v>80.56829846148969</v>
      </c>
      <c r="G361" s="151"/>
      <c r="H361" s="87"/>
    </row>
    <row r="362" spans="1:8" x14ac:dyDescent="0.25">
      <c r="A362" t="s">
        <v>404</v>
      </c>
      <c r="B362" t="s">
        <v>407</v>
      </c>
      <c r="C362" s="87">
        <v>77.02</v>
      </c>
      <c r="D362" s="87">
        <v>72.28</v>
      </c>
      <c r="E362" s="137">
        <f t="shared" si="31"/>
        <v>-6.1542456504803882E-2</v>
      </c>
      <c r="F362" s="92">
        <f t="shared" si="30"/>
        <v>65.711304410338741</v>
      </c>
      <c r="G362" s="137"/>
      <c r="H362" s="87"/>
    </row>
    <row r="363" spans="1:8" x14ac:dyDescent="0.25">
      <c r="A363" t="s">
        <v>404</v>
      </c>
      <c r="B363" t="s">
        <v>408</v>
      </c>
      <c r="C363" s="87">
        <v>472.84</v>
      </c>
      <c r="D363" s="87">
        <v>480.75</v>
      </c>
      <c r="E363" s="137">
        <f t="shared" si="31"/>
        <v>1.6728703155401457E-2</v>
      </c>
      <c r="F363" s="92">
        <f t="shared" si="30"/>
        <v>492.8637978923723</v>
      </c>
      <c r="G363" s="137"/>
      <c r="H363" s="87"/>
    </row>
    <row r="364" spans="1:8" x14ac:dyDescent="0.25">
      <c r="A364" t="s">
        <v>404</v>
      </c>
      <c r="B364" t="s">
        <v>397</v>
      </c>
      <c r="C364" s="87">
        <v>23.42</v>
      </c>
      <c r="D364" s="87">
        <v>26.63</v>
      </c>
      <c r="E364" s="137">
        <f t="shared" si="31"/>
        <v>0.13706233988044395</v>
      </c>
      <c r="F364" s="92">
        <f t="shared" si="30"/>
        <v>32.288478451618417</v>
      </c>
      <c r="G364" s="151"/>
      <c r="H364" s="87"/>
    </row>
    <row r="365" spans="1:8" x14ac:dyDescent="0.25">
      <c r="A365" t="s">
        <v>404</v>
      </c>
      <c r="B365" t="s">
        <v>398</v>
      </c>
      <c r="C365" s="87">
        <v>20.63</v>
      </c>
      <c r="D365" s="87">
        <v>21.36</v>
      </c>
      <c r="E365" s="137">
        <f t="shared" si="31"/>
        <v>3.5385361124575881E-2</v>
      </c>
      <c r="F365" s="92">
        <f t="shared" si="30"/>
        <v>22.503718103557269</v>
      </c>
      <c r="G365" s="151"/>
      <c r="H365" s="87"/>
    </row>
    <row r="366" spans="1:8" x14ac:dyDescent="0.25">
      <c r="A366" t="s">
        <v>404</v>
      </c>
      <c r="B366" t="s">
        <v>403</v>
      </c>
      <c r="C366" s="87">
        <v>83.45</v>
      </c>
      <c r="D366" s="87">
        <v>74.239999999999995</v>
      </c>
      <c r="E366" s="137">
        <f t="shared" si="31"/>
        <v>-0.11036548831635719</v>
      </c>
      <c r="F366" s="92">
        <f t="shared" si="30"/>
        <v>62.295316476987907</v>
      </c>
      <c r="G366" s="137"/>
      <c r="H366" s="87"/>
    </row>
    <row r="367" spans="1:8" x14ac:dyDescent="0.25">
      <c r="A367" t="s">
        <v>404</v>
      </c>
      <c r="B367" t="s">
        <v>400</v>
      </c>
      <c r="C367" s="87">
        <v>32.36</v>
      </c>
      <c r="D367" s="87">
        <v>33.92</v>
      </c>
      <c r="E367" s="137">
        <f t="shared" si="31"/>
        <v>4.8207663782447535E-2</v>
      </c>
      <c r="F367" s="92">
        <f t="shared" si="30"/>
        <v>36.402133626002907</v>
      </c>
      <c r="G367" s="137"/>
      <c r="H367" s="87"/>
    </row>
    <row r="368" spans="1:8" x14ac:dyDescent="0.25">
      <c r="A368" t="s">
        <v>404</v>
      </c>
      <c r="B368" t="s">
        <v>409</v>
      </c>
      <c r="C368" s="87">
        <v>38.409999999999997</v>
      </c>
      <c r="D368" s="87">
        <v>43.56</v>
      </c>
      <c r="E368" s="137">
        <f t="shared" si="31"/>
        <v>0.13407966675344979</v>
      </c>
      <c r="F368" s="92">
        <f t="shared" si="30"/>
        <v>52.60817266981195</v>
      </c>
      <c r="G368" s="137"/>
      <c r="H368" s="87"/>
    </row>
    <row r="369" spans="1:6" x14ac:dyDescent="0.25">
      <c r="A369" t="s">
        <v>404</v>
      </c>
      <c r="B369" t="s">
        <v>402</v>
      </c>
      <c r="D369" s="87">
        <v>31.07</v>
      </c>
      <c r="E369" s="137">
        <f t="shared" si="31"/>
        <v>0</v>
      </c>
      <c r="F369" s="92">
        <f t="shared" si="30"/>
        <v>31.07</v>
      </c>
    </row>
    <row r="371" spans="1:6" ht="21" x14ac:dyDescent="0.35">
      <c r="A371" s="85" t="s">
        <v>410</v>
      </c>
    </row>
    <row r="372" spans="1:6" x14ac:dyDescent="0.25">
      <c r="A372" t="s">
        <v>411</v>
      </c>
      <c r="B372" t="s">
        <v>412</v>
      </c>
      <c r="C372" s="87">
        <v>34.92</v>
      </c>
      <c r="D372" s="87">
        <v>40.39</v>
      </c>
      <c r="E372" s="137">
        <f t="shared" ref="E372:E375" si="32">IF(C372="",0,(D372-C372)/C372)</f>
        <v>0.15664375715922105</v>
      </c>
      <c r="F372" s="92">
        <f t="shared" ref="F372:F375" si="33">D372*(1+E372)^1.5</f>
        <v>50.242735909831758</v>
      </c>
    </row>
    <row r="373" spans="1:6" x14ac:dyDescent="0.25">
      <c r="A373" t="s">
        <v>411</v>
      </c>
      <c r="B373" t="s">
        <v>413</v>
      </c>
      <c r="C373" s="87">
        <v>29.03</v>
      </c>
      <c r="D373" s="87">
        <v>31.88</v>
      </c>
      <c r="E373" s="137">
        <f t="shared" si="32"/>
        <v>9.8174302445745709E-2</v>
      </c>
      <c r="F373" s="92">
        <f t="shared" si="33"/>
        <v>36.688100585230998</v>
      </c>
    </row>
    <row r="374" spans="1:6" x14ac:dyDescent="0.25">
      <c r="A374" t="s">
        <v>411</v>
      </c>
      <c r="B374" t="s">
        <v>414</v>
      </c>
      <c r="C374" s="87">
        <v>51.35</v>
      </c>
      <c r="D374" s="87">
        <v>53.15</v>
      </c>
      <c r="E374" s="137">
        <f t="shared" si="32"/>
        <v>3.505355404089576E-2</v>
      </c>
      <c r="F374" s="92">
        <f t="shared" si="33"/>
        <v>55.968993920574576</v>
      </c>
    </row>
    <row r="375" spans="1:6" x14ac:dyDescent="0.25">
      <c r="A375" t="s">
        <v>411</v>
      </c>
      <c r="B375" t="s">
        <v>415</v>
      </c>
      <c r="C375" s="87">
        <v>76.739999999999995</v>
      </c>
      <c r="D375" s="87">
        <v>73.790000000000006</v>
      </c>
      <c r="E375" s="137">
        <f t="shared" si="32"/>
        <v>-3.8441490747980048E-2</v>
      </c>
      <c r="F375" s="92">
        <f t="shared" si="33"/>
        <v>69.576260573741138</v>
      </c>
    </row>
    <row r="379" spans="1:6" ht="21" x14ac:dyDescent="0.35">
      <c r="A379" s="85" t="s">
        <v>256</v>
      </c>
    </row>
    <row r="380" spans="1:6" x14ac:dyDescent="0.25">
      <c r="B380" s="86" t="s">
        <v>426</v>
      </c>
      <c r="C380" s="86"/>
    </row>
    <row r="381" spans="1:6" x14ac:dyDescent="0.25">
      <c r="A381" t="s">
        <v>427</v>
      </c>
      <c r="B381" t="s">
        <v>428</v>
      </c>
      <c r="C381" s="87">
        <v>69.7</v>
      </c>
      <c r="D381" s="87">
        <v>71.709999999999994</v>
      </c>
      <c r="E381" s="137">
        <f t="shared" ref="E381:E422" si="34">IF(C381="",0,(D381-C381)/C381)</f>
        <v>2.8837876614060128E-2</v>
      </c>
      <c r="F381" s="92">
        <f t="shared" ref="F381:F389" si="35">D381*(1+E381)^1.5</f>
        <v>74.834203243882683</v>
      </c>
    </row>
    <row r="382" spans="1:6" x14ac:dyDescent="0.25">
      <c r="A382" t="s">
        <v>427</v>
      </c>
      <c r="B382" t="s">
        <v>429</v>
      </c>
      <c r="C382" s="87">
        <v>46.88</v>
      </c>
      <c r="D382" s="87">
        <v>51.1</v>
      </c>
      <c r="E382" s="137">
        <f t="shared" si="34"/>
        <v>9.0017064846416348E-2</v>
      </c>
      <c r="F382" s="92">
        <f t="shared" si="35"/>
        <v>58.15282884279663</v>
      </c>
    </row>
    <row r="383" spans="1:6" x14ac:dyDescent="0.25">
      <c r="A383" t="s">
        <v>427</v>
      </c>
      <c r="B383" t="s">
        <v>430</v>
      </c>
      <c r="C383" s="87">
        <v>99.28</v>
      </c>
      <c r="D383" s="87">
        <v>100.13</v>
      </c>
      <c r="E383" s="137">
        <f t="shared" si="34"/>
        <v>8.5616438356163806E-3</v>
      </c>
      <c r="F383" s="92">
        <f t="shared" si="35"/>
        <v>101.41866456985466</v>
      </c>
    </row>
    <row r="384" spans="1:6" x14ac:dyDescent="0.25">
      <c r="B384" t="s">
        <v>431</v>
      </c>
      <c r="C384" s="87">
        <v>21.07</v>
      </c>
      <c r="D384" s="87">
        <v>22.99</v>
      </c>
      <c r="E384" s="137">
        <f t="shared" si="34"/>
        <v>9.1124822021831905E-2</v>
      </c>
      <c r="F384" s="92">
        <f t="shared" si="35"/>
        <v>26.20297634354387</v>
      </c>
    </row>
    <row r="385" spans="2:10" x14ac:dyDescent="0.25">
      <c r="B385" t="s">
        <v>432</v>
      </c>
      <c r="C385" s="87">
        <v>20.36</v>
      </c>
      <c r="D385" s="87">
        <v>22.03</v>
      </c>
      <c r="E385" s="137">
        <f t="shared" si="34"/>
        <v>8.2023575638506957E-2</v>
      </c>
      <c r="F385" s="92">
        <f t="shared" si="35"/>
        <v>24.79531228435571</v>
      </c>
    </row>
    <row r="386" spans="2:10" x14ac:dyDescent="0.25">
      <c r="B386" t="s">
        <v>433</v>
      </c>
      <c r="C386" s="87">
        <v>29.05</v>
      </c>
      <c r="D386" s="87">
        <v>30.94</v>
      </c>
      <c r="E386" s="137">
        <f t="shared" si="34"/>
        <v>6.5060240963855445E-2</v>
      </c>
      <c r="F386" s="92">
        <f t="shared" si="35"/>
        <v>34.008037301998982</v>
      </c>
    </row>
    <row r="387" spans="2:10" x14ac:dyDescent="0.25">
      <c r="B387" t="s">
        <v>434</v>
      </c>
      <c r="C387" s="87">
        <v>30.29</v>
      </c>
      <c r="D387" s="87">
        <v>31.11</v>
      </c>
      <c r="E387" s="137">
        <f t="shared" si="34"/>
        <v>2.7071640805546394E-2</v>
      </c>
      <c r="F387" s="92">
        <f t="shared" si="35"/>
        <v>32.381809816234117</v>
      </c>
    </row>
    <row r="388" spans="2:10" x14ac:dyDescent="0.25">
      <c r="B388" t="s">
        <v>435</v>
      </c>
      <c r="C388" s="87">
        <v>23.73</v>
      </c>
      <c r="D388" s="87">
        <v>25.92</v>
      </c>
      <c r="E388" s="137">
        <f t="shared" si="34"/>
        <v>9.2288242730720657E-2</v>
      </c>
      <c r="F388" s="92">
        <f t="shared" si="35"/>
        <v>29.589722051385301</v>
      </c>
    </row>
    <row r="389" spans="2:10" x14ac:dyDescent="0.25">
      <c r="B389" t="s">
        <v>436</v>
      </c>
      <c r="C389" s="87">
        <v>14.12</v>
      </c>
      <c r="D389" s="87">
        <v>15.65</v>
      </c>
      <c r="E389" s="137">
        <f t="shared" si="34"/>
        <v>0.1083569405099151</v>
      </c>
      <c r="F389" s="92">
        <f t="shared" si="35"/>
        <v>18.26138907644145</v>
      </c>
    </row>
    <row r="391" spans="2:10" x14ac:dyDescent="0.25">
      <c r="B391" s="86" t="s">
        <v>437</v>
      </c>
      <c r="C391" s="86"/>
    </row>
    <row r="392" spans="2:10" x14ac:dyDescent="0.25">
      <c r="B392" t="s">
        <v>438</v>
      </c>
      <c r="C392" s="87">
        <v>78.150000000000006</v>
      </c>
      <c r="D392" s="87">
        <v>77.13</v>
      </c>
      <c r="E392" s="137">
        <f t="shared" si="34"/>
        <v>-1.3051823416506847E-2</v>
      </c>
      <c r="F392" s="92">
        <f t="shared" ref="F392:F411" si="36">D392*(1+E392)^1.5</f>
        <v>75.624907224254883</v>
      </c>
      <c r="H392" s="92">
        <f>$F$392+F393</f>
        <v>162.04404878415409</v>
      </c>
      <c r="I392" s="87">
        <f t="shared" ref="I392:I410" si="37">H392+$I$413</f>
        <v>513.89381898008173</v>
      </c>
      <c r="J392" s="87">
        <f>AVERAGE(I392:I410)</f>
        <v>554.1899028215372</v>
      </c>
    </row>
    <row r="393" spans="2:10" x14ac:dyDescent="0.25">
      <c r="B393" t="s">
        <v>439</v>
      </c>
      <c r="C393" s="87">
        <v>73.8</v>
      </c>
      <c r="D393" s="87">
        <v>78.61</v>
      </c>
      <c r="E393" s="137">
        <f t="shared" si="34"/>
        <v>6.5176151761517642E-2</v>
      </c>
      <c r="F393" s="92">
        <f t="shared" si="36"/>
        <v>86.419141559899188</v>
      </c>
      <c r="H393" s="92">
        <f t="shared" ref="H393:H410" si="38">$F$392+F394</f>
        <v>185.02195802085004</v>
      </c>
      <c r="I393" s="87">
        <f t="shared" si="37"/>
        <v>536.87172821677768</v>
      </c>
    </row>
    <row r="394" spans="2:10" x14ac:dyDescent="0.25">
      <c r="B394" t="s">
        <v>440</v>
      </c>
      <c r="C394" s="87">
        <v>88.1</v>
      </c>
      <c r="D394" s="87">
        <v>96.07</v>
      </c>
      <c r="E394" s="137">
        <f t="shared" si="34"/>
        <v>9.0465380249716218E-2</v>
      </c>
      <c r="F394" s="92">
        <f t="shared" si="36"/>
        <v>109.39705079659515</v>
      </c>
      <c r="H394" s="92">
        <f t="shared" si="38"/>
        <v>123.1389779251887</v>
      </c>
      <c r="I394" s="87">
        <f t="shared" si="37"/>
        <v>474.98874812111637</v>
      </c>
      <c r="J394" s="87"/>
    </row>
    <row r="395" spans="2:10" x14ac:dyDescent="0.25">
      <c r="B395" t="s">
        <v>441</v>
      </c>
      <c r="C395" s="87">
        <v>50.34</v>
      </c>
      <c r="D395" s="87">
        <v>49.19</v>
      </c>
      <c r="E395" s="137">
        <f t="shared" si="34"/>
        <v>-2.284465633690913E-2</v>
      </c>
      <c r="F395" s="92">
        <f t="shared" si="36"/>
        <v>47.514070700933814</v>
      </c>
      <c r="H395" s="92">
        <f t="shared" si="38"/>
        <v>128.80350623634459</v>
      </c>
      <c r="I395" s="87">
        <f t="shared" si="37"/>
        <v>480.65327643227226</v>
      </c>
    </row>
    <row r="396" spans="2:10" x14ac:dyDescent="0.25">
      <c r="B396" t="s">
        <v>442</v>
      </c>
      <c r="C396" s="87">
        <v>61.95</v>
      </c>
      <c r="D396" s="87">
        <v>58.28</v>
      </c>
      <c r="E396" s="137">
        <f t="shared" si="34"/>
        <v>-5.9241323648103333E-2</v>
      </c>
      <c r="F396" s="92">
        <f t="shared" si="36"/>
        <v>53.178599012089698</v>
      </c>
      <c r="H396" s="92">
        <f t="shared" si="38"/>
        <v>160.28342796494087</v>
      </c>
      <c r="I396" s="87">
        <f t="shared" si="37"/>
        <v>512.13319816086857</v>
      </c>
    </row>
    <row r="397" spans="2:10" x14ac:dyDescent="0.25">
      <c r="B397" t="s">
        <v>443</v>
      </c>
      <c r="C397" s="87">
        <v>77.150000000000006</v>
      </c>
      <c r="D397" s="87">
        <v>80.069999999999993</v>
      </c>
      <c r="E397" s="137">
        <f t="shared" si="34"/>
        <v>3.7848347375242869E-2</v>
      </c>
      <c r="F397" s="92">
        <f t="shared" si="36"/>
        <v>84.658520740686001</v>
      </c>
      <c r="H397" s="92">
        <f t="shared" si="38"/>
        <v>182.37222935032625</v>
      </c>
      <c r="I397" s="87">
        <f t="shared" si="37"/>
        <v>534.22199954625398</v>
      </c>
    </row>
    <row r="398" spans="2:10" x14ac:dyDescent="0.25">
      <c r="B398" t="s">
        <v>444</v>
      </c>
      <c r="C398" s="87">
        <v>87.68</v>
      </c>
      <c r="D398" s="87">
        <v>94.86</v>
      </c>
      <c r="E398" s="137">
        <f t="shared" si="34"/>
        <v>8.1888686131386765E-2</v>
      </c>
      <c r="F398" s="92">
        <f t="shared" si="36"/>
        <v>106.74732212607137</v>
      </c>
      <c r="H398" s="92">
        <f t="shared" si="38"/>
        <v>126.06163470357509</v>
      </c>
      <c r="I398" s="87">
        <f t="shared" si="37"/>
        <v>477.91140489950283</v>
      </c>
    </row>
    <row r="399" spans="2:10" x14ac:dyDescent="0.25">
      <c r="B399" t="s">
        <v>445</v>
      </c>
      <c r="C399" s="87">
        <v>51.85</v>
      </c>
      <c r="D399" s="87">
        <v>51.28</v>
      </c>
      <c r="E399" s="137">
        <f t="shared" si="34"/>
        <v>-1.0993249758919967E-2</v>
      </c>
      <c r="F399" s="92">
        <f t="shared" si="36"/>
        <v>50.436727479320204</v>
      </c>
      <c r="H399" s="92">
        <f t="shared" si="38"/>
        <v>135.30983725273057</v>
      </c>
      <c r="I399" s="87">
        <f t="shared" si="37"/>
        <v>487.15960744865828</v>
      </c>
    </row>
    <row r="400" spans="2:10" x14ac:dyDescent="0.25">
      <c r="B400" t="s">
        <v>446</v>
      </c>
      <c r="C400" s="87">
        <v>61.42</v>
      </c>
      <c r="D400" s="87">
        <v>60.72</v>
      </c>
      <c r="E400" s="137">
        <f t="shared" si="34"/>
        <v>-1.1396939107782528E-2</v>
      </c>
      <c r="F400" s="92">
        <f t="shared" si="36"/>
        <v>59.684930028475705</v>
      </c>
      <c r="H400" s="92">
        <f t="shared" si="38"/>
        <v>198.90571135847227</v>
      </c>
      <c r="I400" s="87">
        <f t="shared" si="37"/>
        <v>550.75548155439992</v>
      </c>
    </row>
    <row r="401" spans="1:9" x14ac:dyDescent="0.25">
      <c r="B401" t="s">
        <v>447</v>
      </c>
      <c r="C401" s="87">
        <v>109.95</v>
      </c>
      <c r="D401" s="87">
        <v>115.1</v>
      </c>
      <c r="E401" s="137">
        <f t="shared" si="34"/>
        <v>4.6839472487494239E-2</v>
      </c>
      <c r="F401" s="92">
        <f t="shared" si="36"/>
        <v>123.28080413421739</v>
      </c>
      <c r="H401" s="92">
        <f t="shared" si="38"/>
        <v>217.10084128907292</v>
      </c>
      <c r="I401" s="87">
        <f t="shared" si="37"/>
        <v>568.95061148500065</v>
      </c>
    </row>
    <row r="402" spans="1:9" x14ac:dyDescent="0.25">
      <c r="B402" t="s">
        <v>448</v>
      </c>
      <c r="C402" s="87">
        <v>131.22</v>
      </c>
      <c r="D402" s="87">
        <v>135.22999999999999</v>
      </c>
      <c r="E402" s="137">
        <f t="shared" si="34"/>
        <v>3.0559365950312382E-2</v>
      </c>
      <c r="F402" s="92">
        <f t="shared" si="36"/>
        <v>141.47593406481803</v>
      </c>
      <c r="H402" s="92">
        <f t="shared" si="38"/>
        <v>198.40505710687401</v>
      </c>
      <c r="I402" s="87">
        <f t="shared" si="37"/>
        <v>550.25482730280169</v>
      </c>
    </row>
    <row r="403" spans="1:9" x14ac:dyDescent="0.25">
      <c r="B403" t="s">
        <v>449</v>
      </c>
      <c r="C403" s="87">
        <v>110.92</v>
      </c>
      <c r="D403" s="87">
        <v>115.52</v>
      </c>
      <c r="E403" s="137">
        <f t="shared" si="34"/>
        <v>4.1471330688784655E-2</v>
      </c>
      <c r="F403" s="92">
        <f t="shared" si="36"/>
        <v>122.78014988261913</v>
      </c>
      <c r="H403" s="92">
        <f t="shared" si="38"/>
        <v>218.991505175226</v>
      </c>
      <c r="I403" s="87">
        <f t="shared" si="37"/>
        <v>570.84127537115364</v>
      </c>
    </row>
    <row r="404" spans="1:9" x14ac:dyDescent="0.25">
      <c r="B404" t="s">
        <v>450</v>
      </c>
      <c r="C404" s="87">
        <v>131.22</v>
      </c>
      <c r="D404" s="87">
        <v>135.94999999999999</v>
      </c>
      <c r="E404" s="137">
        <f t="shared" si="34"/>
        <v>3.6046334400243789E-2</v>
      </c>
      <c r="F404" s="92">
        <f t="shared" si="36"/>
        <v>143.36659795097111</v>
      </c>
      <c r="H404" s="92">
        <f t="shared" si="38"/>
        <v>192.08346984861129</v>
      </c>
      <c r="I404" s="87">
        <f t="shared" si="37"/>
        <v>543.93324004453893</v>
      </c>
    </row>
    <row r="405" spans="1:9" x14ac:dyDescent="0.25">
      <c r="B405" t="s">
        <v>451</v>
      </c>
      <c r="C405" s="87">
        <v>105.67</v>
      </c>
      <c r="D405" s="87">
        <v>109.86</v>
      </c>
      <c r="E405" s="137">
        <f t="shared" si="34"/>
        <v>3.9651746001703396E-2</v>
      </c>
      <c r="F405" s="92">
        <f t="shared" si="36"/>
        <v>116.4585626243564</v>
      </c>
      <c r="H405" s="92">
        <f t="shared" si="38"/>
        <v>208.64601855912724</v>
      </c>
      <c r="I405" s="87">
        <f t="shared" si="37"/>
        <v>560.49578875505495</v>
      </c>
    </row>
    <row r="406" spans="1:9" x14ac:dyDescent="0.25">
      <c r="B406" t="s">
        <v>452</v>
      </c>
      <c r="C406" s="87">
        <v>132.32</v>
      </c>
      <c r="D406" s="87">
        <v>132.6</v>
      </c>
      <c r="E406" s="137">
        <f t="shared" si="34"/>
        <v>2.1160822249093195E-3</v>
      </c>
      <c r="F406" s="92">
        <f t="shared" si="36"/>
        <v>133.02111133487236</v>
      </c>
      <c r="H406" s="92">
        <f t="shared" si="38"/>
        <v>230.10959793234244</v>
      </c>
      <c r="I406" s="87">
        <f t="shared" si="37"/>
        <v>581.95936812827017</v>
      </c>
    </row>
    <row r="407" spans="1:9" ht="17.100000000000001" customHeight="1" x14ac:dyDescent="0.25">
      <c r="B407" t="s">
        <v>453</v>
      </c>
      <c r="C407" s="87">
        <v>145.68</v>
      </c>
      <c r="D407" s="87">
        <v>149.13999999999999</v>
      </c>
      <c r="E407" s="137">
        <f t="shared" si="34"/>
        <v>2.3750686436024022E-2</v>
      </c>
      <c r="F407" s="92">
        <f t="shared" si="36"/>
        <v>154.48469070808756</v>
      </c>
      <c r="H407" s="92">
        <f t="shared" si="38"/>
        <v>381.94526850411398</v>
      </c>
      <c r="I407" s="87">
        <f t="shared" si="37"/>
        <v>733.79503870004169</v>
      </c>
    </row>
    <row r="408" spans="1:9" x14ac:dyDescent="0.25">
      <c r="A408" t="s">
        <v>454</v>
      </c>
      <c r="B408" t="s">
        <v>455</v>
      </c>
      <c r="C408" s="87">
        <v>299.55</v>
      </c>
      <c r="D408" s="87">
        <v>302.24</v>
      </c>
      <c r="E408" s="137">
        <f t="shared" si="34"/>
        <v>8.9801368719746207E-3</v>
      </c>
      <c r="F408" s="92">
        <f t="shared" si="36"/>
        <v>306.32036127985907</v>
      </c>
      <c r="H408" s="92">
        <f t="shared" si="38"/>
        <v>309.62612106009647</v>
      </c>
      <c r="I408" s="87">
        <f t="shared" si="37"/>
        <v>661.47589125602417</v>
      </c>
    </row>
    <row r="409" spans="1:9" x14ac:dyDescent="0.25">
      <c r="A409" t="s">
        <v>454</v>
      </c>
      <c r="B409" t="s">
        <v>456</v>
      </c>
      <c r="C409" s="87">
        <v>216.73</v>
      </c>
      <c r="D409" s="87">
        <v>223.48</v>
      </c>
      <c r="E409" s="137">
        <f t="shared" si="34"/>
        <v>3.1144742306095142E-2</v>
      </c>
      <c r="F409" s="92">
        <f t="shared" si="36"/>
        <v>234.00121383584161</v>
      </c>
      <c r="H409" s="92">
        <f t="shared" si="38"/>
        <v>283.9600724944313</v>
      </c>
      <c r="I409" s="87">
        <f t="shared" si="37"/>
        <v>635.80984269035901</v>
      </c>
    </row>
    <row r="410" spans="1:9" x14ac:dyDescent="0.25">
      <c r="A410" t="s">
        <v>454</v>
      </c>
      <c r="B410" t="s">
        <v>457</v>
      </c>
      <c r="C410" s="87">
        <v>211</v>
      </c>
      <c r="D410" s="87">
        <v>209.93</v>
      </c>
      <c r="E410" s="137">
        <f t="shared" si="34"/>
        <v>-5.0710900473933326E-3</v>
      </c>
      <c r="F410" s="92">
        <f t="shared" si="36"/>
        <v>208.33516527017642</v>
      </c>
      <c r="H410" s="92">
        <f t="shared" si="38"/>
        <v>201.65323632010058</v>
      </c>
      <c r="I410" s="87">
        <f t="shared" si="37"/>
        <v>553.50300651602834</v>
      </c>
    </row>
    <row r="411" spans="1:9" x14ac:dyDescent="0.25">
      <c r="A411" t="s">
        <v>454</v>
      </c>
      <c r="B411" t="s">
        <v>458</v>
      </c>
      <c r="C411" s="87">
        <v>154.94999999999999</v>
      </c>
      <c r="D411" s="87">
        <v>142.66</v>
      </c>
      <c r="E411" s="137">
        <f t="shared" si="34"/>
        <v>-7.9315908357534645E-2</v>
      </c>
      <c r="F411" s="92">
        <f t="shared" si="36"/>
        <v>126.02832909584568</v>
      </c>
    </row>
    <row r="413" spans="1:9" x14ac:dyDescent="0.25">
      <c r="B413" s="86" t="s">
        <v>459</v>
      </c>
      <c r="C413" s="86"/>
      <c r="H413" t="s">
        <v>471</v>
      </c>
      <c r="I413" s="92">
        <f>SUM(F414:F415)</f>
        <v>351.8497701959277</v>
      </c>
    </row>
    <row r="414" spans="1:9" x14ac:dyDescent="0.25">
      <c r="A414" t="s">
        <v>460</v>
      </c>
      <c r="B414" t="s">
        <v>461</v>
      </c>
      <c r="C414" s="87">
        <v>124.68</v>
      </c>
      <c r="D414" s="87">
        <v>133.57</v>
      </c>
      <c r="E414" s="137">
        <f t="shared" si="34"/>
        <v>7.1302534488289909E-2</v>
      </c>
      <c r="F414" s="92">
        <f t="shared" ref="F414:F422" si="39">D414*(1+E414)^1.5</f>
        <v>148.10752498186261</v>
      </c>
      <c r="H414" t="s">
        <v>472</v>
      </c>
      <c r="I414" s="92">
        <f>SUM(F416:F422)</f>
        <v>1106.7740602978597</v>
      </c>
    </row>
    <row r="415" spans="1:9" x14ac:dyDescent="0.25">
      <c r="A415" t="s">
        <v>460</v>
      </c>
      <c r="B415" t="s">
        <v>462</v>
      </c>
      <c r="C415" s="87">
        <v>183.67</v>
      </c>
      <c r="D415" s="87">
        <v>191.45</v>
      </c>
      <c r="E415" s="137">
        <f t="shared" si="34"/>
        <v>4.2358577884248932E-2</v>
      </c>
      <c r="F415" s="92">
        <f t="shared" si="39"/>
        <v>203.74224521406509</v>
      </c>
    </row>
    <row r="416" spans="1:9" x14ac:dyDescent="0.25">
      <c r="A416" t="s">
        <v>463</v>
      </c>
      <c r="B416" t="s">
        <v>464</v>
      </c>
      <c r="C416" s="87">
        <v>99.13</v>
      </c>
      <c r="D416" s="87">
        <v>114.86</v>
      </c>
      <c r="E416" s="137">
        <f t="shared" si="34"/>
        <v>0.15868052052859885</v>
      </c>
      <c r="F416" s="92">
        <f t="shared" si="39"/>
        <v>143.25651127995883</v>
      </c>
    </row>
    <row r="417" spans="1:6" x14ac:dyDescent="0.25">
      <c r="A417" t="s">
        <v>463</v>
      </c>
      <c r="B417" t="s">
        <v>465</v>
      </c>
      <c r="C417" s="87">
        <v>33</v>
      </c>
      <c r="D417" s="87">
        <v>36.54</v>
      </c>
      <c r="E417" s="137">
        <f t="shared" si="34"/>
        <v>0.10727272727272724</v>
      </c>
      <c r="F417" s="92">
        <f t="shared" si="39"/>
        <v>42.574587391758953</v>
      </c>
    </row>
    <row r="418" spans="1:6" x14ac:dyDescent="0.25">
      <c r="A418" t="s">
        <v>463</v>
      </c>
      <c r="B418" t="s">
        <v>466</v>
      </c>
      <c r="C418" s="87">
        <v>37.56</v>
      </c>
      <c r="D418" s="87">
        <v>37.880000000000003</v>
      </c>
      <c r="E418" s="137">
        <f t="shared" si="34"/>
        <v>8.5197018104366425E-3</v>
      </c>
      <c r="F418" s="92">
        <f t="shared" si="39"/>
        <v>38.365119071907777</v>
      </c>
    </row>
    <row r="419" spans="1:6" x14ac:dyDescent="0.25">
      <c r="A419" t="s">
        <v>463</v>
      </c>
      <c r="B419" t="s">
        <v>467</v>
      </c>
      <c r="C419" s="87">
        <v>106.41</v>
      </c>
      <c r="D419" s="87">
        <v>115.03</v>
      </c>
      <c r="E419" s="137">
        <f t="shared" si="34"/>
        <v>8.1007424114275015E-2</v>
      </c>
      <c r="F419" s="92">
        <f t="shared" si="39"/>
        <v>129.2867846394272</v>
      </c>
    </row>
    <row r="420" spans="1:6" x14ac:dyDescent="0.25">
      <c r="A420" t="s">
        <v>463</v>
      </c>
      <c r="B420" t="s">
        <v>468</v>
      </c>
      <c r="C420" s="87">
        <v>186.61</v>
      </c>
      <c r="D420" s="87">
        <v>201.04</v>
      </c>
      <c r="E420" s="137">
        <f t="shared" si="34"/>
        <v>7.7327045710304798E-2</v>
      </c>
      <c r="F420" s="92">
        <f t="shared" si="39"/>
        <v>224.80388879280079</v>
      </c>
    </row>
    <row r="421" spans="1:6" x14ac:dyDescent="0.25">
      <c r="A421" t="s">
        <v>463</v>
      </c>
      <c r="B421" t="s">
        <v>469</v>
      </c>
      <c r="C421" s="87">
        <v>347.34</v>
      </c>
      <c r="D421" s="87">
        <v>273.79000000000002</v>
      </c>
      <c r="E421" s="137">
        <f t="shared" si="34"/>
        <v>-0.2117521736626935</v>
      </c>
      <c r="F421" s="92">
        <f t="shared" si="39"/>
        <v>191.60716912200627</v>
      </c>
    </row>
    <row r="422" spans="1:6" x14ac:dyDescent="0.25">
      <c r="A422" t="s">
        <v>463</v>
      </c>
      <c r="B422" t="s">
        <v>470</v>
      </c>
      <c r="D422" s="87">
        <v>336.88</v>
      </c>
      <c r="E422" s="137">
        <f t="shared" si="34"/>
        <v>0</v>
      </c>
      <c r="F422" s="92">
        <f t="shared" si="39"/>
        <v>336.88</v>
      </c>
    </row>
    <row r="426" spans="1:6" x14ac:dyDescent="0.25">
      <c r="B426" s="86" t="s">
        <v>576</v>
      </c>
    </row>
    <row r="427" spans="1:6" x14ac:dyDescent="0.25">
      <c r="A427" t="s">
        <v>577</v>
      </c>
      <c r="B427" t="s">
        <v>578</v>
      </c>
      <c r="C427" s="87">
        <v>129.80000000000001</v>
      </c>
    </row>
    <row r="428" spans="1:6" x14ac:dyDescent="0.25">
      <c r="A428" t="s">
        <v>577</v>
      </c>
      <c r="B428" t="s">
        <v>579</v>
      </c>
      <c r="C428" s="87">
        <v>197.89</v>
      </c>
    </row>
    <row r="429" spans="1:6" x14ac:dyDescent="0.25">
      <c r="A429" t="s">
        <v>577</v>
      </c>
      <c r="B429" t="s">
        <v>580</v>
      </c>
      <c r="C429" s="87">
        <v>249.9</v>
      </c>
    </row>
    <row r="430" spans="1:6" x14ac:dyDescent="0.25">
      <c r="A430" t="s">
        <v>577</v>
      </c>
      <c r="B430" t="s">
        <v>581</v>
      </c>
      <c r="C430" s="87">
        <v>316.52999999999997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B1:N66"/>
  <sheetViews>
    <sheetView workbookViewId="0">
      <selection activeCell="O4" sqref="O4:O9"/>
    </sheetView>
  </sheetViews>
  <sheetFormatPr defaultColWidth="11" defaultRowHeight="15.75" x14ac:dyDescent="0.25"/>
  <cols>
    <col min="2" max="2" width="26.875" customWidth="1"/>
    <col min="3" max="3" width="23.375" customWidth="1"/>
    <col min="6" max="6" width="13" customWidth="1"/>
    <col min="7" max="7" width="8.125" customWidth="1"/>
    <col min="8" max="8" width="17" customWidth="1"/>
  </cols>
  <sheetData>
    <row r="1" spans="2:14" ht="16.5" thickBot="1" x14ac:dyDescent="0.3"/>
    <row r="2" spans="2:14" ht="31.5" x14ac:dyDescent="0.25">
      <c r="B2" s="5" t="s">
        <v>42</v>
      </c>
      <c r="C2" s="6" t="s">
        <v>43</v>
      </c>
      <c r="D2" s="7">
        <v>0.55100000000000005</v>
      </c>
      <c r="H2" s="8"/>
      <c r="I2" s="9">
        <v>1987</v>
      </c>
      <c r="J2" s="10">
        <v>1991</v>
      </c>
      <c r="K2" s="10">
        <v>1996</v>
      </c>
      <c r="L2" s="10">
        <v>2001</v>
      </c>
      <c r="M2" s="10">
        <v>2006</v>
      </c>
      <c r="N2" s="11">
        <v>2011</v>
      </c>
    </row>
    <row r="3" spans="2:14" x14ac:dyDescent="0.25">
      <c r="B3" s="12" t="s">
        <v>44</v>
      </c>
      <c r="C3" s="13">
        <v>0.44900000000000001</v>
      </c>
      <c r="D3" s="14"/>
      <c r="H3" s="15" t="s">
        <v>45</v>
      </c>
      <c r="I3" s="16" t="s">
        <v>46</v>
      </c>
      <c r="J3" s="17" t="s">
        <v>46</v>
      </c>
      <c r="K3" s="17" t="s">
        <v>46</v>
      </c>
      <c r="L3" s="17" t="s">
        <v>46</v>
      </c>
      <c r="M3" s="17" t="s">
        <v>46</v>
      </c>
      <c r="N3" s="18" t="s">
        <v>46</v>
      </c>
    </row>
    <row r="4" spans="2:14" x14ac:dyDescent="0.25">
      <c r="B4" s="12" t="s">
        <v>47</v>
      </c>
      <c r="C4" s="13">
        <v>0.21099999999999999</v>
      </c>
      <c r="D4" s="14"/>
      <c r="H4" s="12">
        <v>0</v>
      </c>
      <c r="I4" s="19">
        <v>0.40600000000000003</v>
      </c>
      <c r="J4" s="20">
        <v>0.376</v>
      </c>
      <c r="K4" s="20">
        <v>0.32299999999999995</v>
      </c>
      <c r="L4" s="20">
        <v>0.34700000000000003</v>
      </c>
      <c r="M4" s="20">
        <v>0.36299999999999999</v>
      </c>
      <c r="N4" s="21">
        <v>0.44900000000000001</v>
      </c>
    </row>
    <row r="5" spans="2:14" x14ac:dyDescent="0.25">
      <c r="B5" s="12" t="s">
        <v>48</v>
      </c>
      <c r="C5" s="13">
        <v>0.152</v>
      </c>
      <c r="D5" s="14"/>
      <c r="H5" s="12">
        <v>1</v>
      </c>
      <c r="I5" s="19">
        <v>0.22500000000000001</v>
      </c>
      <c r="J5" s="20">
        <v>0.23100000000000001</v>
      </c>
      <c r="K5" s="20">
        <v>0.26100000000000001</v>
      </c>
      <c r="L5" s="20">
        <v>0.247</v>
      </c>
      <c r="M5" s="20">
        <v>0.26300000000000001</v>
      </c>
      <c r="N5" s="21">
        <v>0.21100000000000002</v>
      </c>
    </row>
    <row r="6" spans="2:14" x14ac:dyDescent="0.25">
      <c r="B6" s="12" t="s">
        <v>49</v>
      </c>
      <c r="C6" s="13">
        <v>6.0999999999999999E-2</v>
      </c>
      <c r="D6" s="14"/>
      <c r="H6" s="12">
        <v>2</v>
      </c>
      <c r="I6" s="19">
        <v>0.16200000000000001</v>
      </c>
      <c r="J6" s="20">
        <v>0.17499999999999999</v>
      </c>
      <c r="K6" s="20">
        <v>0.183</v>
      </c>
      <c r="L6" s="20">
        <v>0.182</v>
      </c>
      <c r="M6" s="20">
        <v>0.17499999999999999</v>
      </c>
      <c r="N6" s="21">
        <v>0.152</v>
      </c>
    </row>
    <row r="7" spans="2:14" x14ac:dyDescent="0.25">
      <c r="B7" s="12" t="s">
        <v>50</v>
      </c>
      <c r="C7" s="13">
        <v>0.127</v>
      </c>
      <c r="D7" s="14"/>
      <c r="H7" s="12">
        <v>3</v>
      </c>
      <c r="I7" s="19">
        <v>7.4999999999999997E-2</v>
      </c>
      <c r="J7" s="20">
        <v>7.5999999999999998E-2</v>
      </c>
      <c r="K7" s="20">
        <v>8.6999999999999994E-2</v>
      </c>
      <c r="L7" s="20">
        <v>0.08</v>
      </c>
      <c r="M7" s="20">
        <v>7.0999999999999994E-2</v>
      </c>
      <c r="N7" s="21">
        <v>6.0999999999999999E-2</v>
      </c>
    </row>
    <row r="8" spans="2:14" x14ac:dyDescent="0.25">
      <c r="B8" s="12"/>
      <c r="C8" s="22"/>
      <c r="D8" s="14"/>
      <c r="H8" s="23" t="s">
        <v>51</v>
      </c>
      <c r="I8" s="19">
        <v>0.13300000000000001</v>
      </c>
      <c r="J8" s="20">
        <v>0.14199999999999999</v>
      </c>
      <c r="K8" s="20">
        <v>0.14699999999999999</v>
      </c>
      <c r="L8" s="20">
        <v>0.14400000000000002</v>
      </c>
      <c r="M8" s="20">
        <v>0.128</v>
      </c>
      <c r="N8" s="21">
        <v>0.127</v>
      </c>
    </row>
    <row r="9" spans="2:14" ht="31.5" x14ac:dyDescent="0.25">
      <c r="B9" s="24" t="s">
        <v>52</v>
      </c>
      <c r="C9" s="25">
        <v>1.6</v>
      </c>
      <c r="D9" s="14"/>
      <c r="H9" s="26" t="s">
        <v>53</v>
      </c>
      <c r="I9" s="27">
        <v>1</v>
      </c>
      <c r="J9" s="28">
        <v>1.6</v>
      </c>
      <c r="K9" s="28">
        <v>1.9</v>
      </c>
      <c r="L9" s="28">
        <v>1.8</v>
      </c>
      <c r="M9" s="28">
        <v>1.7</v>
      </c>
      <c r="N9" s="29">
        <v>1.6</v>
      </c>
    </row>
    <row r="10" spans="2:14" ht="31.5" x14ac:dyDescent="0.25">
      <c r="B10" s="24" t="s">
        <v>54</v>
      </c>
      <c r="C10" s="25">
        <v>0.7</v>
      </c>
      <c r="D10" s="14"/>
      <c r="H10" s="12" t="s">
        <v>55</v>
      </c>
      <c r="I10" s="22">
        <v>0.8</v>
      </c>
      <c r="J10" s="30">
        <v>0.9</v>
      </c>
      <c r="K10" s="30">
        <v>1</v>
      </c>
      <c r="L10" s="30">
        <v>1</v>
      </c>
      <c r="M10" s="30">
        <v>0.7</v>
      </c>
      <c r="N10" s="14">
        <v>0.7</v>
      </c>
    </row>
    <row r="11" spans="2:14" ht="48" thickBot="1" x14ac:dyDescent="0.3">
      <c r="B11" s="98" t="s">
        <v>56</v>
      </c>
      <c r="C11" s="32">
        <v>0.29899999999999999</v>
      </c>
      <c r="D11" s="33"/>
      <c r="F11" s="88"/>
      <c r="H11" s="34" t="s">
        <v>57</v>
      </c>
      <c r="I11" s="35">
        <v>43.1</v>
      </c>
      <c r="J11" s="36">
        <v>50.2</v>
      </c>
      <c r="K11" s="37">
        <v>59.7</v>
      </c>
      <c r="L11" s="37">
        <v>70.8</v>
      </c>
      <c r="M11" s="37">
        <v>63.3</v>
      </c>
      <c r="N11" s="38">
        <v>60.5</v>
      </c>
    </row>
    <row r="12" spans="2:14" x14ac:dyDescent="0.25">
      <c r="I12" s="39"/>
      <c r="K12" s="40"/>
    </row>
    <row r="13" spans="2:14" ht="16.5" thickBot="1" x14ac:dyDescent="0.3">
      <c r="B13" s="30"/>
      <c r="C13" s="30"/>
    </row>
    <row r="14" spans="2:14" x14ac:dyDescent="0.25">
      <c r="B14" s="208" t="s">
        <v>58</v>
      </c>
      <c r="C14" s="209"/>
      <c r="I14" s="41"/>
      <c r="J14" s="41"/>
      <c r="K14" s="41"/>
      <c r="L14" s="41"/>
      <c r="M14" s="41"/>
      <c r="N14" s="41"/>
    </row>
    <row r="15" spans="2:14" x14ac:dyDescent="0.25">
      <c r="B15" s="12" t="s">
        <v>59</v>
      </c>
      <c r="C15" s="42">
        <v>1.6</v>
      </c>
      <c r="I15" s="41"/>
      <c r="J15" s="41"/>
      <c r="K15" s="41"/>
      <c r="L15" s="41"/>
      <c r="M15" s="41"/>
      <c r="N15" s="41"/>
    </row>
    <row r="16" spans="2:14" x14ac:dyDescent="0.25">
      <c r="B16" s="12" t="s">
        <v>60</v>
      </c>
      <c r="C16" s="42">
        <v>1.9</v>
      </c>
      <c r="I16" s="41"/>
      <c r="J16" s="41"/>
      <c r="K16" s="41"/>
      <c r="L16" s="41"/>
      <c r="M16" s="41"/>
      <c r="N16" s="41"/>
    </row>
    <row r="17" spans="2:14" x14ac:dyDescent="0.25">
      <c r="B17" s="12" t="s">
        <v>61</v>
      </c>
      <c r="C17" s="42">
        <v>1.2</v>
      </c>
      <c r="I17" s="41"/>
      <c r="J17" s="41"/>
      <c r="K17" s="41"/>
      <c r="L17" s="41"/>
      <c r="M17" s="41"/>
      <c r="N17" s="41"/>
    </row>
    <row r="18" spans="2:14" ht="16.5" thickBot="1" x14ac:dyDescent="0.3">
      <c r="B18" s="31" t="s">
        <v>62</v>
      </c>
      <c r="C18" s="43">
        <v>0.5</v>
      </c>
      <c r="I18" s="41"/>
      <c r="J18" s="41"/>
      <c r="K18" s="41"/>
      <c r="L18" s="41"/>
      <c r="M18" s="41"/>
      <c r="N18" s="41"/>
    </row>
    <row r="19" spans="2:14" ht="16.5" thickBot="1" x14ac:dyDescent="0.3"/>
    <row r="20" spans="2:14" x14ac:dyDescent="0.25">
      <c r="B20" s="208" t="s">
        <v>63</v>
      </c>
      <c r="C20" s="216"/>
      <c r="D20" s="44"/>
      <c r="E20" s="44"/>
      <c r="F20" s="45"/>
    </row>
    <row r="21" spans="2:14" x14ac:dyDescent="0.25">
      <c r="B21" s="46" t="s">
        <v>64</v>
      </c>
      <c r="C21" s="47" t="s">
        <v>59</v>
      </c>
      <c r="D21" s="48" t="s">
        <v>60</v>
      </c>
      <c r="E21" s="48" t="s">
        <v>61</v>
      </c>
      <c r="F21" s="49" t="s">
        <v>62</v>
      </c>
    </row>
    <row r="22" spans="2:14" x14ac:dyDescent="0.25">
      <c r="B22" s="12" t="s">
        <v>65</v>
      </c>
      <c r="C22" s="22">
        <v>0.9</v>
      </c>
      <c r="D22" s="30">
        <v>1.1000000000000001</v>
      </c>
      <c r="E22" s="30">
        <v>0.8</v>
      </c>
      <c r="F22" s="14">
        <v>0.3</v>
      </c>
    </row>
    <row r="23" spans="2:14" x14ac:dyDescent="0.25">
      <c r="B23" s="12" t="s">
        <v>66</v>
      </c>
      <c r="C23" s="22">
        <v>0.8</v>
      </c>
      <c r="D23" s="30">
        <v>0.9</v>
      </c>
      <c r="E23" s="30">
        <v>0.7</v>
      </c>
      <c r="F23" s="14">
        <v>0.4</v>
      </c>
    </row>
    <row r="24" spans="2:14" ht="16.5" thickBot="1" x14ac:dyDescent="0.3">
      <c r="B24" s="31" t="s">
        <v>67</v>
      </c>
      <c r="C24" s="50">
        <v>0.6</v>
      </c>
      <c r="D24" s="36">
        <v>0.7</v>
      </c>
      <c r="E24" s="36">
        <v>0.4</v>
      </c>
      <c r="F24" s="33">
        <v>0.1</v>
      </c>
    </row>
    <row r="25" spans="2:14" ht="16.5" thickBot="1" x14ac:dyDescent="0.3"/>
    <row r="26" spans="2:14" x14ac:dyDescent="0.25">
      <c r="B26" s="208" t="s">
        <v>68</v>
      </c>
      <c r="C26" s="216"/>
      <c r="D26" s="216"/>
      <c r="E26" s="216"/>
      <c r="F26" s="216"/>
      <c r="G26" s="216"/>
      <c r="H26" s="209"/>
      <c r="I26" s="51"/>
      <c r="J26" s="52"/>
      <c r="K26" s="52"/>
      <c r="L26" s="53"/>
    </row>
    <row r="27" spans="2:14" x14ac:dyDescent="0.25">
      <c r="B27" s="54"/>
      <c r="C27" s="28">
        <v>1987</v>
      </c>
      <c r="D27" s="28">
        <v>1991</v>
      </c>
      <c r="E27" s="28">
        <v>1996</v>
      </c>
      <c r="F27" s="28">
        <v>2001</v>
      </c>
      <c r="G27" s="28">
        <v>2006</v>
      </c>
      <c r="H27" s="29">
        <v>2011</v>
      </c>
    </row>
    <row r="28" spans="2:14" x14ac:dyDescent="0.25">
      <c r="B28" s="55" t="s">
        <v>69</v>
      </c>
      <c r="C28" s="17" t="s">
        <v>46</v>
      </c>
      <c r="D28" s="17" t="s">
        <v>46</v>
      </c>
      <c r="E28" s="17" t="s">
        <v>46</v>
      </c>
      <c r="F28" s="17" t="s">
        <v>46</v>
      </c>
      <c r="G28" s="17" t="s">
        <v>46</v>
      </c>
      <c r="H28" s="18" t="s">
        <v>46</v>
      </c>
    </row>
    <row r="29" spans="2:14" x14ac:dyDescent="0.25">
      <c r="B29" s="56">
        <v>0</v>
      </c>
      <c r="C29" s="30"/>
      <c r="D29" s="30"/>
      <c r="E29" s="57">
        <v>0.33200000000000002</v>
      </c>
      <c r="F29" s="57">
        <v>0.37</v>
      </c>
      <c r="G29" s="57">
        <v>0.39200000000000002</v>
      </c>
      <c r="H29" s="58">
        <v>0.46100000000000002</v>
      </c>
    </row>
    <row r="30" spans="2:14" x14ac:dyDescent="0.25">
      <c r="B30" s="56" t="s">
        <v>70</v>
      </c>
      <c r="C30" s="30"/>
      <c r="D30" s="30"/>
      <c r="E30" s="57">
        <v>0.13400000000000001</v>
      </c>
      <c r="F30" s="20">
        <v>8.7999999999999995E-2</v>
      </c>
      <c r="G30" s="20">
        <v>5.3999999999999999E-2</v>
      </c>
      <c r="H30" s="21">
        <v>4.3999999999999997E-2</v>
      </c>
    </row>
    <row r="31" spans="2:14" x14ac:dyDescent="0.25">
      <c r="B31" s="59" t="s">
        <v>71</v>
      </c>
      <c r="C31" s="30"/>
      <c r="D31" s="30"/>
      <c r="E31" s="57">
        <v>0.17899999999999999</v>
      </c>
      <c r="F31" s="20">
        <v>0.14699999999999999</v>
      </c>
      <c r="G31" s="60">
        <v>0.109</v>
      </c>
      <c r="H31" s="61">
        <v>0.10199999999999999</v>
      </c>
    </row>
    <row r="32" spans="2:14" x14ac:dyDescent="0.25">
      <c r="B32" s="59" t="s">
        <v>72</v>
      </c>
      <c r="C32" s="30"/>
      <c r="D32" s="30"/>
      <c r="E32" s="20">
        <v>0.17199999999999999</v>
      </c>
      <c r="F32" s="60">
        <v>0.157</v>
      </c>
      <c r="G32" s="60">
        <v>0.153</v>
      </c>
      <c r="H32" s="61">
        <v>0.13300000000000001</v>
      </c>
    </row>
    <row r="33" spans="2:10" x14ac:dyDescent="0.25">
      <c r="B33" s="59" t="s">
        <v>73</v>
      </c>
      <c r="C33" s="30"/>
      <c r="D33" s="30"/>
      <c r="E33" s="20">
        <v>0.14400000000000002</v>
      </c>
      <c r="F33" s="62">
        <v>0.16300000000000001</v>
      </c>
      <c r="G33" s="62">
        <v>0.191</v>
      </c>
      <c r="H33" s="63">
        <v>0.154</v>
      </c>
    </row>
    <row r="34" spans="2:10" x14ac:dyDescent="0.25">
      <c r="B34" s="59" t="s">
        <v>74</v>
      </c>
      <c r="C34" s="30"/>
      <c r="D34" s="30"/>
      <c r="E34" s="20">
        <v>2.8999999999999998E-2</v>
      </c>
      <c r="F34" s="62">
        <v>5.1999999999999998E-2</v>
      </c>
      <c r="G34" s="62">
        <v>6.2E-2</v>
      </c>
      <c r="H34" s="63">
        <v>6.5000000000000002E-2</v>
      </c>
    </row>
    <row r="35" spans="2:10" x14ac:dyDescent="0.25">
      <c r="B35" s="59" t="s">
        <v>75</v>
      </c>
      <c r="C35" s="30"/>
      <c r="D35" s="30"/>
      <c r="E35" s="20">
        <v>1.1000000000000001E-2</v>
      </c>
      <c r="F35" s="62">
        <v>2.4E-2</v>
      </c>
      <c r="G35" s="62">
        <v>3.9E-2</v>
      </c>
      <c r="H35" s="63">
        <v>4.1000000000000002E-2</v>
      </c>
    </row>
    <row r="36" spans="2:10" x14ac:dyDescent="0.25">
      <c r="B36" s="64" t="s">
        <v>76</v>
      </c>
      <c r="C36" s="65">
        <v>54</v>
      </c>
      <c r="D36" s="65">
        <v>80</v>
      </c>
      <c r="E36" s="66">
        <v>147</v>
      </c>
      <c r="F36" s="65">
        <v>160</v>
      </c>
      <c r="G36" s="65">
        <v>190</v>
      </c>
      <c r="H36" s="67">
        <v>191</v>
      </c>
    </row>
    <row r="37" spans="2:10" x14ac:dyDescent="0.25">
      <c r="B37" s="59" t="s">
        <v>77</v>
      </c>
      <c r="C37" s="68">
        <v>34</v>
      </c>
      <c r="D37" s="68">
        <v>45</v>
      </c>
      <c r="E37" s="69">
        <v>67</v>
      </c>
      <c r="F37" s="68">
        <v>93</v>
      </c>
      <c r="G37" s="68">
        <v>112</v>
      </c>
      <c r="H37" s="70">
        <v>122</v>
      </c>
    </row>
    <row r="38" spans="2:10" x14ac:dyDescent="0.25">
      <c r="B38" s="59" t="s">
        <v>78</v>
      </c>
      <c r="C38" s="68"/>
      <c r="D38" s="68"/>
      <c r="E38" s="69">
        <v>81</v>
      </c>
      <c r="F38" s="68">
        <v>85</v>
      </c>
      <c r="G38" s="68">
        <v>81</v>
      </c>
      <c r="H38" s="70">
        <v>90</v>
      </c>
    </row>
    <row r="39" spans="2:10" ht="16.5" thickBot="1" x14ac:dyDescent="0.3">
      <c r="B39" s="71" t="s">
        <v>79</v>
      </c>
      <c r="C39" s="72"/>
      <c r="D39" s="72"/>
      <c r="E39" s="73">
        <v>4</v>
      </c>
      <c r="F39" s="72">
        <v>6.6</v>
      </c>
      <c r="G39" s="72">
        <v>7.1</v>
      </c>
      <c r="H39" s="74">
        <v>7.4</v>
      </c>
    </row>
    <row r="40" spans="2:10" ht="16.5" thickBot="1" x14ac:dyDescent="0.3"/>
    <row r="41" spans="2:10" x14ac:dyDescent="0.25">
      <c r="B41" s="208" t="s">
        <v>80</v>
      </c>
      <c r="C41" s="216"/>
      <c r="D41" s="216"/>
      <c r="E41" s="216"/>
      <c r="F41" s="216"/>
      <c r="G41" s="216"/>
      <c r="H41" s="209"/>
    </row>
    <row r="42" spans="2:10" x14ac:dyDescent="0.25">
      <c r="B42" s="12"/>
      <c r="C42" s="16">
        <v>1987</v>
      </c>
      <c r="D42" s="17">
        <v>1991</v>
      </c>
      <c r="E42" s="17">
        <v>1996</v>
      </c>
      <c r="F42" s="17">
        <v>2001</v>
      </c>
      <c r="G42" s="17">
        <v>2006</v>
      </c>
      <c r="H42" s="18">
        <v>2011</v>
      </c>
    </row>
    <row r="43" spans="2:10" x14ac:dyDescent="0.25">
      <c r="B43" s="12" t="s">
        <v>81</v>
      </c>
      <c r="C43" s="75">
        <v>0.60899999999999999</v>
      </c>
      <c r="D43" s="76">
        <v>0.64400000000000002</v>
      </c>
      <c r="E43" s="76">
        <v>0.61899999999999999</v>
      </c>
      <c r="F43" s="76">
        <v>0.70499999999999996</v>
      </c>
      <c r="G43" s="76">
        <v>0.71299999999999997</v>
      </c>
      <c r="H43" s="77">
        <v>0.77400000000000002</v>
      </c>
    </row>
    <row r="44" spans="2:10" x14ac:dyDescent="0.25">
      <c r="B44" s="12" t="s">
        <v>82</v>
      </c>
      <c r="C44" s="75">
        <v>0.498</v>
      </c>
      <c r="D44" s="76">
        <v>0.58599999999999997</v>
      </c>
      <c r="E44" s="76">
        <v>0.59599999999999997</v>
      </c>
      <c r="F44" s="76">
        <v>0.67300000000000004</v>
      </c>
      <c r="G44" s="76">
        <v>0.63700000000000001</v>
      </c>
      <c r="H44" s="77">
        <v>0.60799999999999998</v>
      </c>
    </row>
    <row r="45" spans="2:10" ht="16.5" thickBot="1" x14ac:dyDescent="0.3">
      <c r="B45" s="31" t="s">
        <v>83</v>
      </c>
      <c r="C45" s="78">
        <v>0.14699999999999999</v>
      </c>
      <c r="D45" s="79">
        <v>0.125</v>
      </c>
      <c r="E45" s="79">
        <v>0.125</v>
      </c>
      <c r="F45" s="79">
        <v>0.13500000000000001</v>
      </c>
      <c r="G45" s="79">
        <v>0.17</v>
      </c>
      <c r="H45" s="80">
        <v>0.2</v>
      </c>
    </row>
    <row r="46" spans="2:10" ht="16.5" thickBot="1" x14ac:dyDescent="0.3"/>
    <row r="47" spans="2:10" x14ac:dyDescent="0.25">
      <c r="B47" s="208" t="s">
        <v>84</v>
      </c>
      <c r="C47" s="209"/>
      <c r="E47" s="208" t="s">
        <v>85</v>
      </c>
      <c r="F47" s="216"/>
      <c r="G47" s="216"/>
      <c r="H47" s="216"/>
      <c r="I47" s="216"/>
      <c r="J47" s="209"/>
    </row>
    <row r="48" spans="2:10" x14ac:dyDescent="0.25">
      <c r="B48" s="12" t="s">
        <v>86</v>
      </c>
      <c r="C48" s="81">
        <v>0.871</v>
      </c>
      <c r="E48" s="217" t="s">
        <v>87</v>
      </c>
      <c r="F48" s="218"/>
      <c r="G48" s="30"/>
      <c r="H48" s="82">
        <v>5.7000000000000002E-2</v>
      </c>
      <c r="I48" s="30"/>
      <c r="J48" s="14"/>
    </row>
    <row r="49" spans="2:10" x14ac:dyDescent="0.25">
      <c r="B49" s="12" t="s">
        <v>82</v>
      </c>
      <c r="C49" s="83">
        <v>0.755</v>
      </c>
      <c r="E49" s="217" t="s">
        <v>88</v>
      </c>
      <c r="F49" s="218"/>
      <c r="G49" s="30"/>
      <c r="H49" s="13">
        <v>0.39300000000000002</v>
      </c>
      <c r="I49" s="30"/>
      <c r="J49" s="14"/>
    </row>
    <row r="50" spans="2:10" x14ac:dyDescent="0.25">
      <c r="B50" s="12" t="s">
        <v>83</v>
      </c>
      <c r="C50" s="83">
        <v>0.311</v>
      </c>
      <c r="E50" s="217" t="s">
        <v>89</v>
      </c>
      <c r="F50" s="218"/>
      <c r="G50" s="30"/>
      <c r="H50" s="13">
        <v>0.13700000000000001</v>
      </c>
      <c r="I50" s="30"/>
      <c r="J50" s="14"/>
    </row>
    <row r="51" spans="2:10" x14ac:dyDescent="0.25">
      <c r="B51" s="12" t="s">
        <v>90</v>
      </c>
      <c r="C51" s="83">
        <v>0.30599999999999999</v>
      </c>
      <c r="E51" s="217" t="s">
        <v>91</v>
      </c>
      <c r="F51" s="218"/>
      <c r="G51" s="30"/>
      <c r="H51" s="13">
        <v>4.5999999999999999E-2</v>
      </c>
      <c r="I51" s="30"/>
      <c r="J51" s="14"/>
    </row>
    <row r="52" spans="2:10" x14ac:dyDescent="0.25">
      <c r="B52" s="12" t="s">
        <v>92</v>
      </c>
      <c r="C52" s="83">
        <v>0.19</v>
      </c>
      <c r="E52" s="217" t="s">
        <v>93</v>
      </c>
      <c r="F52" s="218"/>
      <c r="G52" s="30"/>
      <c r="H52" s="13">
        <v>0.27100000000000002</v>
      </c>
      <c r="I52" s="30"/>
      <c r="J52" s="14"/>
    </row>
    <row r="53" spans="2:10" ht="16.5" thickBot="1" x14ac:dyDescent="0.3">
      <c r="B53" s="12" t="s">
        <v>94</v>
      </c>
      <c r="C53" s="83">
        <v>0.152</v>
      </c>
      <c r="E53" s="214" t="s">
        <v>95</v>
      </c>
      <c r="F53" s="215"/>
      <c r="G53" s="36"/>
      <c r="H53" s="32">
        <v>9.6000000000000002E-2</v>
      </c>
      <c r="I53" s="36"/>
      <c r="J53" s="33"/>
    </row>
    <row r="54" spans="2:10" x14ac:dyDescent="0.25">
      <c r="B54" s="12" t="s">
        <v>96</v>
      </c>
      <c r="C54" s="83">
        <v>0.13100000000000001</v>
      </c>
    </row>
    <row r="55" spans="2:10" x14ac:dyDescent="0.25">
      <c r="B55" s="12" t="s">
        <v>97</v>
      </c>
      <c r="C55" s="83">
        <v>0.10100000000000001</v>
      </c>
    </row>
    <row r="56" spans="2:10" x14ac:dyDescent="0.25">
      <c r="B56" s="12" t="s">
        <v>98</v>
      </c>
      <c r="C56" s="83">
        <v>9.9000000000000005E-2</v>
      </c>
    </row>
    <row r="57" spans="2:10" x14ac:dyDescent="0.25">
      <c r="B57" s="12" t="s">
        <v>99</v>
      </c>
      <c r="C57" s="83">
        <v>9.0999999999999998E-2</v>
      </c>
    </row>
    <row r="58" spans="2:10" x14ac:dyDescent="0.25">
      <c r="B58" s="12" t="s">
        <v>100</v>
      </c>
      <c r="C58" s="83">
        <v>8.5999999999999993E-2</v>
      </c>
    </row>
    <row r="59" spans="2:10" x14ac:dyDescent="0.25">
      <c r="B59" s="12" t="s">
        <v>101</v>
      </c>
      <c r="C59" s="83">
        <v>7.1999999999999995E-2</v>
      </c>
    </row>
    <row r="60" spans="2:10" x14ac:dyDescent="0.25">
      <c r="B60" s="12" t="s">
        <v>102</v>
      </c>
      <c r="C60" s="83">
        <v>5.5E-2</v>
      </c>
    </row>
    <row r="61" spans="2:10" x14ac:dyDescent="0.25">
      <c r="B61" s="12" t="s">
        <v>103</v>
      </c>
      <c r="C61" s="83">
        <v>5.1999999999999998E-2</v>
      </c>
    </row>
    <row r="62" spans="2:10" x14ac:dyDescent="0.25">
      <c r="B62" s="12" t="s">
        <v>104</v>
      </c>
      <c r="C62" s="83">
        <v>0.05</v>
      </c>
    </row>
    <row r="63" spans="2:10" x14ac:dyDescent="0.25">
      <c r="B63" s="12" t="s">
        <v>105</v>
      </c>
      <c r="C63" s="83">
        <v>0.04</v>
      </c>
    </row>
    <row r="64" spans="2:10" x14ac:dyDescent="0.25">
      <c r="B64" s="12" t="s">
        <v>106</v>
      </c>
      <c r="C64" s="83">
        <v>2.5000000000000001E-2</v>
      </c>
    </row>
    <row r="65" spans="2:3" x14ac:dyDescent="0.25">
      <c r="B65" s="12" t="s">
        <v>107</v>
      </c>
      <c r="C65" s="83">
        <v>1.2E-2</v>
      </c>
    </row>
    <row r="66" spans="2:3" ht="16.5" thickBot="1" x14ac:dyDescent="0.3">
      <c r="B66" s="31" t="s">
        <v>108</v>
      </c>
      <c r="C66" s="84">
        <v>8.9999999999999993E-3</v>
      </c>
    </row>
  </sheetData>
  <mergeCells count="12">
    <mergeCell ref="E53:F53"/>
    <mergeCell ref="B14:C14"/>
    <mergeCell ref="B20:C20"/>
    <mergeCell ref="B26:H26"/>
    <mergeCell ref="B41:H41"/>
    <mergeCell ref="B47:C47"/>
    <mergeCell ref="E47:J47"/>
    <mergeCell ref="E48:F48"/>
    <mergeCell ref="E49:F49"/>
    <mergeCell ref="E50:F50"/>
    <mergeCell ref="E51:F51"/>
    <mergeCell ref="E52:F52"/>
  </mergeCells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Inputs</vt:lpstr>
      <vt:lpstr>Formula</vt:lpstr>
      <vt:lpstr>Variables</vt:lpstr>
      <vt:lpstr>Incidence</vt:lpstr>
      <vt:lpstr>Cost</vt:lpstr>
      <vt:lpstr>Expected Claims</vt:lpstr>
      <vt:lpstr>Expenses</vt:lpstr>
      <vt:lpstr>All Costs</vt:lpstr>
      <vt:lpstr>Pet Stats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Richardson</dc:creator>
  <cp:lastModifiedBy>xprofilex</cp:lastModifiedBy>
  <dcterms:created xsi:type="dcterms:W3CDTF">2013-09-26T17:47:21Z</dcterms:created>
  <dcterms:modified xsi:type="dcterms:W3CDTF">2013-12-11T15:35:58Z</dcterms:modified>
</cp:coreProperties>
</file>