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40" yWindow="160" windowWidth="19400" windowHeight="14880" tabRatio="867" firstSheet="12" activeTab="15"/>
  </bookViews>
  <sheets>
    <sheet name="N Floor 1" sheetId="1" r:id="rId1"/>
    <sheet name="N Floor 2" sheetId="2" r:id="rId2"/>
    <sheet name="N Floor 3" sheetId="3" r:id="rId3"/>
    <sheet name="N Floor 4" sheetId="4" r:id="rId4"/>
    <sheet name="N Floor 5" sheetId="5" r:id="rId5"/>
    <sheet name="S Floor 1" sheetId="6" r:id="rId6"/>
    <sheet name="S Floor 2" sheetId="7" r:id="rId7"/>
    <sheet name="S Floor 3" sheetId="8" r:id="rId8"/>
    <sheet name="S Floor 4" sheetId="9" r:id="rId9"/>
    <sheet name="S Floor 5" sheetId="10" r:id="rId10"/>
    <sheet name="North Pod Column Loads" sheetId="11" r:id="rId11"/>
    <sheet name="South Pod Column Loads" sheetId="12" r:id="rId12"/>
    <sheet name="Middle Pod Column Loads" sheetId="13" r:id="rId13"/>
    <sheet name="North Pod Roof Columns" sheetId="14" r:id="rId14"/>
    <sheet name="South Pod Roof Columns" sheetId="15" r:id="rId15"/>
    <sheet name="Middle Pod Roof Columns" sheetId="16" r:id="rId16"/>
  </sheets>
  <definedNames/>
  <calcPr fullCalcOnLoad="1"/>
</workbook>
</file>

<file path=xl/sharedStrings.xml><?xml version="1.0" encoding="utf-8"?>
<sst xmlns="http://schemas.openxmlformats.org/spreadsheetml/2006/main" count="603" uniqueCount="85">
  <si>
    <t>Point Loads</t>
  </si>
  <si>
    <t>Beams</t>
  </si>
  <si>
    <t>Girders</t>
  </si>
  <si>
    <t>Colums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</si>
  <si>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</si>
  <si>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</si>
  <si>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</si>
  <si>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</si>
  <si>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</si>
  <si>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</si>
  <si>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</si>
  <si>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</si>
  <si>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</si>
  <si>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</si>
  <si>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</si>
  <si>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</si>
  <si>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</si>
  <si>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</si>
  <si>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</si>
  <si>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</si>
  <si>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</si>
  <si>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</si>
  <si>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</si>
  <si>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</si>
  <si>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</si>
  <si>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</si>
  <si>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Column Loads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</si>
  <si>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</si>
  <si>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</si>
  <si>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</si>
  <si>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</si>
  <si>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</si>
  <si>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</si>
  <si>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</si>
  <si>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</si>
  <si>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</si>
  <si>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</si>
  <si>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</si>
  <si>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</si>
  <si>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</si>
  <si>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</si>
  <si>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</si>
  <si>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</si>
  <si>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</si>
  <si>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</si>
  <si>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</si>
  <si>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</si>
  <si>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</si>
  <si>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 xml:space="preserve">Total </t>
  </si>
  <si>
    <t>Column</t>
  </si>
  <si>
    <t>Load</t>
  </si>
  <si>
    <t>Ag</t>
  </si>
  <si>
    <t xml:space="preserve">Ast (calc) </t>
  </si>
  <si>
    <t>Ast (1%)</t>
  </si>
  <si>
    <t>Ast (used)</t>
  </si>
  <si>
    <t>S23</t>
  </si>
  <si>
    <t>S24</t>
  </si>
  <si>
    <t>SW1</t>
  </si>
  <si>
    <t>SW2</t>
  </si>
  <si>
    <t>SW3</t>
  </si>
  <si>
    <t>SW4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</si>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</sst>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workbookViewId="0" topLeftCell="B1">
      <selection activeCell="F2" sqref="F2:F56"/>
    </sheetView>
  </sheetViews>
  <sheetFormatPr defaultColWidth="11.00390625" defaultRowHeight="12.75"/>
  <sheetData>
    <row r="1" spans="1:6" ht="12.75">
      <c r="A1" t="s">
        <v>49</v>
      </c>
      <c r="B1" t="s">
        <v>50</v>
      </c>
      <c r="C1" t="s">
        <v>51</v>
      </c>
      <c r="D1" t="s">
        <v>52</v>
      </c>
      <c r="E1" t="s">
        <v>53</v>
      </c>
      <c r="F1" t="s">
        <v>54</v>
      </c>
    </row>
    <row r="2" spans="1:6" ht="12.75">
      <c r="A2" s="8" t="s">
        <v>61</v>
      </c>
      <c r="B2">
        <f>'North Pod Roof Columns'!D2+((40*600)/1000)+(('North Pod Column Loads'!B2)*4)</f>
        <v>171.18</v>
      </c>
      <c r="C2">
        <v>144</v>
      </c>
      <c r="D2">
        <f aca="true" t="shared" si="0" ref="D2:D9">(((B2*1000)/0.8)-489600)/56600</f>
        <v>-4.8696996466431095</v>
      </c>
      <c r="E2">
        <f aca="true" t="shared" si="1" ref="E2:E33">0.01*C2</f>
        <v>1.44</v>
      </c>
      <c r="F2" s="10">
        <f aca="true" t="shared" si="2" ref="F2:F33">MAX(D2:E2)</f>
        <v>1.44</v>
      </c>
    </row>
    <row r="3" spans="1:6" ht="12.75">
      <c r="A3" s="8" t="s">
        <v>62</v>
      </c>
      <c r="B3">
        <f>'North Pod Roof Columns'!D3+((40*600)/1000)+(('North Pod Column Loads'!B3)*4)</f>
        <v>282.7</v>
      </c>
      <c r="C3">
        <v>144</v>
      </c>
      <c r="D3">
        <f t="shared" si="0"/>
        <v>-2.4068021201413425</v>
      </c>
      <c r="E3">
        <f t="shared" si="1"/>
        <v>1.44</v>
      </c>
      <c r="F3" s="10">
        <f t="shared" si="2"/>
        <v>1.44</v>
      </c>
    </row>
    <row r="4" spans="1:6" ht="12.75">
      <c r="A4" s="8" t="s">
        <v>63</v>
      </c>
      <c r="B4">
        <f>'North Pod Roof Columns'!D4+((40*600)/1000)+(('North Pod Column Loads'!B4)*4)</f>
        <v>171.18</v>
      </c>
      <c r="C4">
        <v>144</v>
      </c>
      <c r="D4">
        <f t="shared" si="0"/>
        <v>-4.8696996466431095</v>
      </c>
      <c r="E4">
        <f t="shared" si="1"/>
        <v>1.44</v>
      </c>
      <c r="F4" s="10">
        <f t="shared" si="2"/>
        <v>1.44</v>
      </c>
    </row>
    <row r="5" spans="1:6" ht="12.75">
      <c r="A5" s="8" t="s">
        <v>64</v>
      </c>
      <c r="B5">
        <f>'North Pod Roof Columns'!D5+((40*600)/1000)+(('North Pod Column Loads'!B5)*4)</f>
        <v>304.09000000000003</v>
      </c>
      <c r="C5">
        <v>144</v>
      </c>
      <c r="D5">
        <f t="shared" si="0"/>
        <v>-1.9344081272084794</v>
      </c>
      <c r="E5">
        <f t="shared" si="1"/>
        <v>1.44</v>
      </c>
      <c r="F5" s="10">
        <f t="shared" si="2"/>
        <v>1.44</v>
      </c>
    </row>
    <row r="6" spans="1:6" ht="12.75">
      <c r="A6" s="8" t="s">
        <v>65</v>
      </c>
      <c r="B6">
        <f>'North Pod Roof Columns'!D6+((40*600)/1000)+(('North Pod Column Loads'!B6)*4)</f>
        <v>314.62</v>
      </c>
      <c r="C6">
        <v>144</v>
      </c>
      <c r="D6">
        <f t="shared" si="0"/>
        <v>-1.7018551236749118</v>
      </c>
      <c r="E6">
        <f t="shared" si="1"/>
        <v>1.44</v>
      </c>
      <c r="F6" s="10">
        <f t="shared" si="2"/>
        <v>1.44</v>
      </c>
    </row>
    <row r="7" spans="1:6" ht="12.75">
      <c r="A7" s="8" t="s">
        <v>66</v>
      </c>
      <c r="B7">
        <f>'North Pod Roof Columns'!D7+((40*600)/1000)+(('North Pod Column Loads'!B7)*4)</f>
        <v>464.06000000000006</v>
      </c>
      <c r="C7">
        <v>144</v>
      </c>
      <c r="D7">
        <f t="shared" si="0"/>
        <v>1.5984982332155477</v>
      </c>
      <c r="E7">
        <f t="shared" si="1"/>
        <v>1.44</v>
      </c>
      <c r="F7" s="10">
        <f t="shared" si="2"/>
        <v>1.5984982332155477</v>
      </c>
    </row>
    <row r="8" spans="1:6" ht="12.75">
      <c r="A8" s="8" t="s">
        <v>67</v>
      </c>
      <c r="B8">
        <f>'North Pod Roof Columns'!D8+((40*600)/1000)+(('North Pod Column Loads'!B8)*4)</f>
        <v>800.25</v>
      </c>
      <c r="C8">
        <v>144</v>
      </c>
      <c r="D8">
        <f t="shared" si="0"/>
        <v>9.023189045936396</v>
      </c>
      <c r="E8">
        <f t="shared" si="1"/>
        <v>1.44</v>
      </c>
      <c r="F8" s="10">
        <f t="shared" si="2"/>
        <v>9.023189045936396</v>
      </c>
    </row>
    <row r="9" spans="1:6" ht="12.75">
      <c r="A9" s="8" t="s">
        <v>68</v>
      </c>
      <c r="B9">
        <f>'North Pod Roof Columns'!D9+((40*600)/1000)+(('North Pod Column Loads'!B9)*4)</f>
        <v>460.11</v>
      </c>
      <c r="C9">
        <v>144</v>
      </c>
      <c r="D9">
        <f t="shared" si="0"/>
        <v>1.5112632508833923</v>
      </c>
      <c r="E9">
        <f t="shared" si="1"/>
        <v>1.44</v>
      </c>
      <c r="F9" s="10">
        <f t="shared" si="2"/>
        <v>1.5112632508833923</v>
      </c>
    </row>
    <row r="10" spans="1:6" ht="12.75">
      <c r="A10" s="8" t="s">
        <v>69</v>
      </c>
      <c r="B10">
        <f>'North Pod Roof Columns'!D10+((40*600)/1000)+(('North Pod Column Loads'!B10)*4)</f>
        <v>690.5300000000001</v>
      </c>
      <c r="C10">
        <f>16*16</f>
        <v>256</v>
      </c>
      <c r="D10">
        <f>(((B10*1000)/0.8)-870400)/56600</f>
        <v>-0.12787102473498027</v>
      </c>
      <c r="E10">
        <f t="shared" si="1"/>
        <v>2.56</v>
      </c>
      <c r="F10" s="10">
        <f t="shared" si="2"/>
        <v>2.56</v>
      </c>
    </row>
    <row r="11" spans="1:6" ht="12.75">
      <c r="A11" s="8" t="s">
        <v>70</v>
      </c>
      <c r="B11">
        <f>'North Pod Roof Columns'!D11+((40*600)/1000)+(('North Pod Column Loads'!B11)*4)</f>
        <v>571.58</v>
      </c>
      <c r="C11">
        <v>144</v>
      </c>
      <c r="D11">
        <f>(((B11*1000)/0.8)-489600)/56600</f>
        <v>3.9730565371024733</v>
      </c>
      <c r="E11">
        <f t="shared" si="1"/>
        <v>1.44</v>
      </c>
      <c r="F11" s="10">
        <f t="shared" si="2"/>
        <v>3.9730565371024733</v>
      </c>
    </row>
    <row r="12" spans="1:6" ht="12.75">
      <c r="A12" s="8" t="s">
        <v>71</v>
      </c>
      <c r="B12">
        <f>'North Pod Roof Columns'!D12+((40*600)/1000)+(('North Pod Column Loads'!B12)*4)</f>
        <v>548.2</v>
      </c>
      <c r="C12">
        <v>144</v>
      </c>
      <c r="D12">
        <f>(((B12*1000)/0.8)-489600)/56600</f>
        <v>3.456713780918728</v>
      </c>
      <c r="E12">
        <f t="shared" si="1"/>
        <v>1.44</v>
      </c>
      <c r="F12" s="10">
        <f t="shared" si="2"/>
        <v>3.456713780918728</v>
      </c>
    </row>
    <row r="13" spans="1:6" ht="12.75">
      <c r="A13" s="8" t="s">
        <v>72</v>
      </c>
      <c r="B13">
        <f>'North Pod Roof Columns'!D13+((40*600)/1000)+(('North Pod Column Loads'!B13)*4)</f>
        <v>794.8</v>
      </c>
      <c r="C13">
        <f>16*16</f>
        <v>256</v>
      </c>
      <c r="D13">
        <f>(((B13*1000)/0.8)-870400)/56600</f>
        <v>2.174911660777385</v>
      </c>
      <c r="E13">
        <f t="shared" si="1"/>
        <v>2.56</v>
      </c>
      <c r="F13" s="10">
        <f t="shared" si="2"/>
        <v>2.56</v>
      </c>
    </row>
    <row r="14" spans="1:6" ht="12.75">
      <c r="A14" s="8" t="s">
        <v>73</v>
      </c>
      <c r="B14">
        <f>'North Pod Roof Columns'!D14+((40*600)/1000)+(('North Pod Column Loads'!B14)*4)</f>
        <v>614.32</v>
      </c>
      <c r="C14">
        <v>144</v>
      </c>
      <c r="D14">
        <f>(((B14*1000)/0.8)-489600)/56600</f>
        <v>4.91696113074205</v>
      </c>
      <c r="E14">
        <f t="shared" si="1"/>
        <v>1.44</v>
      </c>
      <c r="F14" s="10">
        <f t="shared" si="2"/>
        <v>4.91696113074205</v>
      </c>
    </row>
    <row r="15" spans="1:6" ht="12.75">
      <c r="A15" s="8" t="s">
        <v>74</v>
      </c>
      <c r="B15">
        <f>'North Pod Roof Columns'!D15+((40*600)/1000)+(('North Pod Column Loads'!B15)*4)</f>
        <v>378.74</v>
      </c>
      <c r="C15">
        <v>144</v>
      </c>
      <c r="D15">
        <f>(((B15*1000)/0.8)-489600)/56600</f>
        <v>-0.2857773851590106</v>
      </c>
      <c r="E15">
        <f t="shared" si="1"/>
        <v>1.44</v>
      </c>
      <c r="F15" s="10">
        <f t="shared" si="2"/>
        <v>1.44</v>
      </c>
    </row>
    <row r="16" spans="1:6" ht="12.75">
      <c r="A16" s="8" t="s">
        <v>75</v>
      </c>
      <c r="B16">
        <f>'North Pod Roof Columns'!D16+((40*600)/1000)+(('North Pod Column Loads'!B16)*4)</f>
        <v>644.8</v>
      </c>
      <c r="C16">
        <f>16*16</f>
        <v>256</v>
      </c>
      <c r="D16">
        <f>(((B16*1000)/0.8)-870400)/56600</f>
        <v>-1.137809187279152</v>
      </c>
      <c r="E16">
        <f t="shared" si="1"/>
        <v>2.56</v>
      </c>
      <c r="F16" s="10">
        <f t="shared" si="2"/>
        <v>2.56</v>
      </c>
    </row>
    <row r="17" spans="1:6" ht="12.75">
      <c r="A17" s="8" t="s">
        <v>76</v>
      </c>
      <c r="B17">
        <f>'North Pod Roof Columns'!D17+((40*600)/1000)+(('North Pod Column Loads'!B17)*4)</f>
        <v>462.03999999999996</v>
      </c>
      <c r="C17">
        <v>144</v>
      </c>
      <c r="D17">
        <f>(((B17*1000)/0.8)-489600)/56600</f>
        <v>1.553886925795051</v>
      </c>
      <c r="E17">
        <f t="shared" si="1"/>
        <v>1.44</v>
      </c>
      <c r="F17" s="10">
        <f t="shared" si="2"/>
        <v>1.553886925795051</v>
      </c>
    </row>
    <row r="18" spans="1:6" ht="12.75">
      <c r="A18" s="8" t="s">
        <v>77</v>
      </c>
      <c r="B18">
        <f>'North Pod Roof Columns'!D18+((40*600)/1000)+(('North Pod Column Loads'!B18)*4)</f>
        <v>740.09</v>
      </c>
      <c r="C18">
        <f>16*16</f>
        <v>256</v>
      </c>
      <c r="D18">
        <f>(((B18*1000)/0.8)-870400)/56600</f>
        <v>0.9666519434628975</v>
      </c>
      <c r="E18">
        <f t="shared" si="1"/>
        <v>2.56</v>
      </c>
      <c r="F18" s="10">
        <f t="shared" si="2"/>
        <v>2.56</v>
      </c>
    </row>
    <row r="19" spans="1:6" ht="12.75">
      <c r="A19" s="8" t="s">
        <v>78</v>
      </c>
      <c r="B19">
        <f>'North Pod Roof Columns'!D19+((40*600)/1000)+(('North Pod Column Loads'!B19)*4)</f>
        <v>306.11</v>
      </c>
      <c r="C19">
        <v>144</v>
      </c>
      <c r="D19">
        <f aca="true" t="shared" si="3" ref="D19:D26">(((B19*1000)/0.8)-489600)/56600</f>
        <v>-1.889796819787986</v>
      </c>
      <c r="E19">
        <f t="shared" si="1"/>
        <v>1.44</v>
      </c>
      <c r="F19" s="10">
        <f t="shared" si="2"/>
        <v>1.44</v>
      </c>
    </row>
    <row r="20" spans="1:6" ht="12.75">
      <c r="A20" s="8" t="s">
        <v>79</v>
      </c>
      <c r="B20">
        <f>'North Pod Roof Columns'!D20+((40*600)/1000)+(('North Pod Column Loads'!B20)*4)</f>
        <v>306.11</v>
      </c>
      <c r="C20">
        <v>144</v>
      </c>
      <c r="D20">
        <f t="shared" si="3"/>
        <v>-1.889796819787986</v>
      </c>
      <c r="E20">
        <f t="shared" si="1"/>
        <v>1.44</v>
      </c>
      <c r="F20" s="10">
        <f t="shared" si="2"/>
        <v>1.44</v>
      </c>
    </row>
    <row r="21" spans="1:6" ht="12.75">
      <c r="A21" s="8" t="s">
        <v>80</v>
      </c>
      <c r="B21">
        <f>'North Pod Roof Columns'!D21+((40*600)/1000)+(('North Pod Column Loads'!B21)*4)</f>
        <v>171.18</v>
      </c>
      <c r="C21">
        <v>144</v>
      </c>
      <c r="D21">
        <f t="shared" si="3"/>
        <v>-4.8696996466431095</v>
      </c>
      <c r="E21">
        <f t="shared" si="1"/>
        <v>1.44</v>
      </c>
      <c r="F21" s="10">
        <f t="shared" si="2"/>
        <v>1.44</v>
      </c>
    </row>
    <row r="22" spans="1:6" ht="12.75">
      <c r="A22" s="8" t="s">
        <v>81</v>
      </c>
      <c r="B22">
        <f>'North Pod Roof Columns'!D22+((40*600)/1000)+(('North Pod Column Loads'!B22)*4)</f>
        <v>282.7</v>
      </c>
      <c r="C22">
        <v>144</v>
      </c>
      <c r="D22">
        <f t="shared" si="3"/>
        <v>-2.4068021201413425</v>
      </c>
      <c r="E22">
        <f t="shared" si="1"/>
        <v>1.44</v>
      </c>
      <c r="F22" s="10">
        <f t="shared" si="2"/>
        <v>1.44</v>
      </c>
    </row>
    <row r="23" spans="1:6" ht="12.75">
      <c r="A23" s="8" t="s">
        <v>82</v>
      </c>
      <c r="B23">
        <f>'North Pod Roof Columns'!D23+((40*600)/1000)+(('North Pod Column Loads'!B23)*4)</f>
        <v>171.18</v>
      </c>
      <c r="C23">
        <v>144</v>
      </c>
      <c r="D23">
        <f t="shared" si="3"/>
        <v>-4.8696996466431095</v>
      </c>
      <c r="E23">
        <f t="shared" si="1"/>
        <v>1.44</v>
      </c>
      <c r="F23" s="10">
        <f t="shared" si="2"/>
        <v>1.44</v>
      </c>
    </row>
    <row r="24" spans="1:6" ht="12.75">
      <c r="A24" s="8" t="s">
        <v>83</v>
      </c>
      <c r="B24">
        <f>'North Pod Roof Columns'!D24+((40*600)/1000)+(('North Pod Column Loads'!B24)*4)</f>
        <v>542.72</v>
      </c>
      <c r="C24">
        <v>144</v>
      </c>
      <c r="D24">
        <f t="shared" si="3"/>
        <v>3.335689045936396</v>
      </c>
      <c r="E24">
        <f t="shared" si="1"/>
        <v>1.44</v>
      </c>
      <c r="F24" s="10">
        <f t="shared" si="2"/>
        <v>3.335689045936396</v>
      </c>
    </row>
    <row r="25" spans="1:6" ht="12.75">
      <c r="A25" s="8" t="s">
        <v>84</v>
      </c>
      <c r="B25">
        <f>'North Pod Roof Columns'!D25+((40*600)/1000)+(('North Pod Column Loads'!B25)*4)</f>
        <v>580.02</v>
      </c>
      <c r="C25">
        <v>144</v>
      </c>
      <c r="D25">
        <f t="shared" si="3"/>
        <v>4.159452296819788</v>
      </c>
      <c r="E25">
        <f t="shared" si="1"/>
        <v>1.44</v>
      </c>
      <c r="F25" s="10">
        <f t="shared" si="2"/>
        <v>4.159452296819788</v>
      </c>
    </row>
    <row r="26" spans="1:6" ht="12.75">
      <c r="A26" s="9" t="s">
        <v>27</v>
      </c>
      <c r="B26" s="10">
        <f>'Middle Pod Roof Columns'!D2+((40*600)/1000)+(('Middle Pod Column Loads'!D2)*4)</f>
        <v>446.17</v>
      </c>
      <c r="C26">
        <v>144</v>
      </c>
      <c r="D26">
        <f t="shared" si="3"/>
        <v>1.2034010600706713</v>
      </c>
      <c r="E26">
        <f t="shared" si="1"/>
        <v>1.44</v>
      </c>
      <c r="F26" s="10">
        <f t="shared" si="2"/>
        <v>1.44</v>
      </c>
    </row>
    <row r="27" spans="1:6" ht="12.75">
      <c r="A27" s="9" t="s">
        <v>28</v>
      </c>
      <c r="B27" s="10">
        <f>'Middle Pod Roof Columns'!D3+((40*600)/1000)+(('Middle Pod Column Loads'!D3)*4)</f>
        <v>669.58</v>
      </c>
      <c r="C27">
        <f>16*16</f>
        <v>256</v>
      </c>
      <c r="D27">
        <f>(((B27*1000)/0.8)-870400)/56600</f>
        <v>-0.590547703180212</v>
      </c>
      <c r="E27">
        <f t="shared" si="1"/>
        <v>2.56</v>
      </c>
      <c r="F27" s="10">
        <f t="shared" si="2"/>
        <v>2.56</v>
      </c>
    </row>
    <row r="28" spans="1:6" ht="12.75">
      <c r="A28" s="9" t="s">
        <v>29</v>
      </c>
      <c r="B28" s="10">
        <f>'Middle Pod Roof Columns'!D4+((40*600)/1000)+(('Middle Pod Column Loads'!D4)*4)</f>
        <v>271.27</v>
      </c>
      <c r="C28">
        <v>144</v>
      </c>
      <c r="D28">
        <f>(((B28*1000)/0.8)-489600)/56600</f>
        <v>-2.6592314487632507</v>
      </c>
      <c r="E28">
        <f t="shared" si="1"/>
        <v>1.44</v>
      </c>
      <c r="F28" s="10">
        <f t="shared" si="2"/>
        <v>1.44</v>
      </c>
    </row>
    <row r="29" spans="1:6" ht="12.75">
      <c r="A29" s="9" t="s">
        <v>30</v>
      </c>
      <c r="B29" s="10">
        <f>'Middle Pod Roof Columns'!D5+((40*600)/1000)+(('Middle Pod Column Loads'!D5)*4)</f>
        <v>520.22</v>
      </c>
      <c r="C29">
        <v>144</v>
      </c>
      <c r="D29">
        <f>(((B29*1000)/0.8)-489600)/56600</f>
        <v>2.8387809187279154</v>
      </c>
      <c r="E29">
        <f t="shared" si="1"/>
        <v>1.44</v>
      </c>
      <c r="F29" s="10">
        <f t="shared" si="2"/>
        <v>2.8387809187279154</v>
      </c>
    </row>
    <row r="30" spans="1:6" ht="12.75">
      <c r="A30" s="9" t="s">
        <v>31</v>
      </c>
      <c r="B30" s="10">
        <f>'Middle Pod Roof Columns'!D6+((40*600)/1000)+(('Middle Pod Column Loads'!D6)*4)</f>
        <v>624.3199999999999</v>
      </c>
      <c r="C30">
        <f>16*16</f>
        <v>256</v>
      </c>
      <c r="D30">
        <f>(((B30*1000)/0.8)-870400)/56600</f>
        <v>-1.590106007067142</v>
      </c>
      <c r="E30">
        <f t="shared" si="1"/>
        <v>2.56</v>
      </c>
      <c r="F30" s="10">
        <f t="shared" si="2"/>
        <v>2.56</v>
      </c>
    </row>
    <row r="31" spans="1:6" ht="12.75">
      <c r="A31" s="9" t="s">
        <v>32</v>
      </c>
      <c r="B31" s="10">
        <f>'Middle Pod Roof Columns'!D7+((40*600)/1000)+(('Middle Pod Column Loads'!D7)*4)</f>
        <v>406.15</v>
      </c>
      <c r="C31">
        <v>144</v>
      </c>
      <c r="D31">
        <f>(((B31*1000)/0.8)-489600)/56600</f>
        <v>0.3195671378091873</v>
      </c>
      <c r="E31">
        <f t="shared" si="1"/>
        <v>1.44</v>
      </c>
      <c r="F31" s="10">
        <f t="shared" si="2"/>
        <v>1.44</v>
      </c>
    </row>
    <row r="32" spans="1:6" ht="12.75">
      <c r="A32" s="9" t="s">
        <v>33</v>
      </c>
      <c r="B32" s="10">
        <f>'Middle Pod Roof Columns'!D8+((40*600)/1000)+(('Middle Pod Column Loads'!D8)*4)</f>
        <v>525.9300000000001</v>
      </c>
      <c r="C32">
        <v>144</v>
      </c>
      <c r="D32">
        <f>(((B32*1000)/0.8)-489600)/56600</f>
        <v>2.9648851590106027</v>
      </c>
      <c r="E32">
        <f t="shared" si="1"/>
        <v>1.44</v>
      </c>
      <c r="F32" s="10">
        <f t="shared" si="2"/>
        <v>2.9648851590106027</v>
      </c>
    </row>
    <row r="33" spans="1:6" ht="12.75">
      <c r="A33" s="9" t="s">
        <v>34</v>
      </c>
      <c r="B33" s="10">
        <f>'Middle Pod Roof Columns'!D9+((40*600)/1000)+(('Middle Pod Column Loads'!D9)*4)</f>
        <v>648.47</v>
      </c>
      <c r="C33">
        <f>16*16</f>
        <v>256</v>
      </c>
      <c r="D33">
        <f>(((B33*1000)/0.8)-870400)/56600</f>
        <v>-1.0567579505300353</v>
      </c>
      <c r="E33">
        <f t="shared" si="1"/>
        <v>2.56</v>
      </c>
      <c r="F33" s="10">
        <f t="shared" si="2"/>
        <v>2.56</v>
      </c>
    </row>
    <row r="34" spans="1:6" ht="12.75">
      <c r="A34" s="9" t="s">
        <v>35</v>
      </c>
      <c r="B34" s="10">
        <f>'Middle Pod Roof Columns'!D10+((40*600)/1000)+(('Middle Pod Column Loads'!D10)*4)</f>
        <v>426.93</v>
      </c>
      <c r="C34">
        <v>144</v>
      </c>
      <c r="D34">
        <f>(((B34*1000)/0.8)-489600)/56600</f>
        <v>0.7784893992932862</v>
      </c>
      <c r="E34">
        <f aca="true" t="shared" si="4" ref="E34:E50">0.01*C34</f>
        <v>1.44</v>
      </c>
      <c r="F34" s="10">
        <f aca="true" t="shared" si="5" ref="F34:F50">MAX(D34:E34)</f>
        <v>1.44</v>
      </c>
    </row>
    <row r="35" spans="1:6" ht="12.75">
      <c r="A35" s="9" t="s">
        <v>36</v>
      </c>
      <c r="B35" s="10">
        <f>'Middle Pod Roof Columns'!D11+((40*600)/1000)+(('Middle Pod Column Loads'!D11)*4)</f>
        <v>498.92</v>
      </c>
      <c r="C35">
        <v>144</v>
      </c>
      <c r="D35">
        <f>(((B35*1000)/0.8)-489600)/56600</f>
        <v>2.368374558303887</v>
      </c>
      <c r="E35">
        <f t="shared" si="4"/>
        <v>1.44</v>
      </c>
      <c r="F35" s="10">
        <f t="shared" si="5"/>
        <v>2.368374558303887</v>
      </c>
    </row>
    <row r="36" spans="1:6" ht="12.75">
      <c r="A36" s="9" t="s">
        <v>37</v>
      </c>
      <c r="B36" s="10">
        <f>'Middle Pod Roof Columns'!D12+((40*600)/1000)+(('Middle Pod Column Loads'!D12)*4)</f>
        <v>878.9300000000001</v>
      </c>
      <c r="C36">
        <f>16*16</f>
        <v>256</v>
      </c>
      <c r="D36">
        <f>(((B36*1000)/0.8)-870400)/56600</f>
        <v>4.032906360424028</v>
      </c>
      <c r="E36">
        <f t="shared" si="4"/>
        <v>2.56</v>
      </c>
      <c r="F36" s="10">
        <f t="shared" si="5"/>
        <v>4.032906360424028</v>
      </c>
    </row>
    <row r="37" spans="1:6" ht="12.75">
      <c r="A37" s="9" t="s">
        <v>38</v>
      </c>
      <c r="B37" s="10">
        <f>'Middle Pod Roof Columns'!D13+((40*600)/1000)+(('Middle Pod Column Loads'!D13)*4)</f>
        <v>417.05</v>
      </c>
      <c r="C37">
        <v>144</v>
      </c>
      <c r="D37">
        <f>(((B37*1000)/0.8)-489600)/56600</f>
        <v>0.560291519434629</v>
      </c>
      <c r="E37">
        <f t="shared" si="4"/>
        <v>1.44</v>
      </c>
      <c r="F37" s="10">
        <f t="shared" si="5"/>
        <v>1.44</v>
      </c>
    </row>
    <row r="38" spans="1:6" ht="12.75">
      <c r="A38" s="9" t="s">
        <v>39</v>
      </c>
      <c r="B38" s="10">
        <f>'Middle Pod Roof Columns'!D14+((40*600)/1000)+(('Middle Pod Column Loads'!D14)*4)</f>
        <v>525.9300000000001</v>
      </c>
      <c r="C38">
        <v>144</v>
      </c>
      <c r="D38">
        <f>(((B38*1000)/0.8)-489600)/56600</f>
        <v>2.9648851590106027</v>
      </c>
      <c r="E38">
        <f t="shared" si="4"/>
        <v>1.44</v>
      </c>
      <c r="F38" s="10">
        <f t="shared" si="5"/>
        <v>2.9648851590106027</v>
      </c>
    </row>
    <row r="39" spans="1:6" ht="12.75">
      <c r="A39" s="9" t="s">
        <v>40</v>
      </c>
      <c r="B39" s="10">
        <f>'Middle Pod Roof Columns'!D15+((40*600)/1000)+(('Middle Pod Column Loads'!D15)*4)</f>
        <v>648.47</v>
      </c>
      <c r="C39">
        <f>16*16</f>
        <v>256</v>
      </c>
      <c r="D39">
        <f>(((B39*1000)/0.8)-870400)/56600</f>
        <v>-1.0567579505300353</v>
      </c>
      <c r="E39">
        <f t="shared" si="4"/>
        <v>2.56</v>
      </c>
      <c r="F39" s="10">
        <f t="shared" si="5"/>
        <v>2.56</v>
      </c>
    </row>
    <row r="40" spans="1:6" ht="12.75">
      <c r="A40" s="9" t="s">
        <v>41</v>
      </c>
      <c r="B40" s="10">
        <f>'Middle Pod Roof Columns'!D16+((40*600)/1000)+(('Middle Pod Column Loads'!D16)*4)</f>
        <v>426.93</v>
      </c>
      <c r="C40">
        <v>144</v>
      </c>
      <c r="D40">
        <f>(((B40*1000)/0.8)-489600)/56600</f>
        <v>0.7784893992932862</v>
      </c>
      <c r="E40">
        <f t="shared" si="4"/>
        <v>1.44</v>
      </c>
      <c r="F40" s="10">
        <f t="shared" si="5"/>
        <v>1.44</v>
      </c>
    </row>
    <row r="41" spans="1:6" ht="12.75">
      <c r="A41" s="9" t="s">
        <v>42</v>
      </c>
      <c r="B41" s="10">
        <f>'Middle Pod Roof Columns'!D17+((40*600)/1000)+(('Middle Pod Column Loads'!D17)*4)</f>
        <v>520.22</v>
      </c>
      <c r="C41">
        <v>144</v>
      </c>
      <c r="D41">
        <f>(((B41*1000)/0.8)-489600)/56600</f>
        <v>2.8387809187279154</v>
      </c>
      <c r="E41">
        <f t="shared" si="4"/>
        <v>1.44</v>
      </c>
      <c r="F41" s="10">
        <f t="shared" si="5"/>
        <v>2.8387809187279154</v>
      </c>
    </row>
    <row r="42" spans="1:6" ht="12.75">
      <c r="A42" s="9" t="s">
        <v>43</v>
      </c>
      <c r="B42" s="10">
        <f>'Middle Pod Roof Columns'!D18+((40*600)/1000)+(('Middle Pod Column Loads'!D18)*4)</f>
        <v>624.3199999999999</v>
      </c>
      <c r="C42">
        <f>16*16</f>
        <v>256</v>
      </c>
      <c r="D42">
        <f>(((B42*1000)/0.8)-870400)/56600</f>
        <v>-1.590106007067142</v>
      </c>
      <c r="E42">
        <f t="shared" si="4"/>
        <v>2.56</v>
      </c>
      <c r="F42" s="10">
        <f t="shared" si="5"/>
        <v>2.56</v>
      </c>
    </row>
    <row r="43" spans="1:6" ht="12.75">
      <c r="A43" s="9" t="s">
        <v>44</v>
      </c>
      <c r="B43" s="10">
        <f>'Middle Pod Roof Columns'!D19+((40*600)/1000)+(('Middle Pod Column Loads'!D19)*4)</f>
        <v>406.15</v>
      </c>
      <c r="C43">
        <v>144</v>
      </c>
      <c r="D43">
        <f>(((B43*1000)/0.8)-489600)/56600</f>
        <v>0.3195671378091873</v>
      </c>
      <c r="E43">
        <f t="shared" si="4"/>
        <v>1.44</v>
      </c>
      <c r="F43" s="10">
        <f t="shared" si="5"/>
        <v>1.44</v>
      </c>
    </row>
    <row r="44" spans="1:6" ht="12.75">
      <c r="A44" s="9" t="s">
        <v>45</v>
      </c>
      <c r="B44" s="10">
        <f>'Middle Pod Roof Columns'!D20+((40*600)/1000)+(('Middle Pod Column Loads'!D20)*4)</f>
        <v>446.16999999999996</v>
      </c>
      <c r="C44">
        <v>144</v>
      </c>
      <c r="D44">
        <f>(((B44*1000)/0.8)-489600)/56600</f>
        <v>1.2034010600706693</v>
      </c>
      <c r="E44">
        <f t="shared" si="4"/>
        <v>1.44</v>
      </c>
      <c r="F44" s="10">
        <f t="shared" si="5"/>
        <v>1.44</v>
      </c>
    </row>
    <row r="45" spans="1:6" ht="12.75">
      <c r="A45" s="9" t="s">
        <v>46</v>
      </c>
      <c r="B45" s="10">
        <f>'Middle Pod Roof Columns'!D21+((40*600)/1000)+(('Middle Pod Column Loads'!D21)*4)</f>
        <v>669.58</v>
      </c>
      <c r="C45">
        <f>16*16</f>
        <v>256</v>
      </c>
      <c r="D45">
        <f>(((B45*1000)/0.8)-870400)/56600</f>
        <v>-0.590547703180212</v>
      </c>
      <c r="E45">
        <f t="shared" si="4"/>
        <v>2.56</v>
      </c>
      <c r="F45" s="10">
        <f t="shared" si="5"/>
        <v>2.56</v>
      </c>
    </row>
    <row r="46" spans="1:6" ht="12.75">
      <c r="A46" s="9" t="s">
        <v>47</v>
      </c>
      <c r="B46" s="10">
        <f>'Middle Pod Roof Columns'!D22+((40*600)/1000)+(('Middle Pod Column Loads'!D22)*4)</f>
        <v>271.27</v>
      </c>
      <c r="C46">
        <v>144</v>
      </c>
      <c r="D46">
        <f>(((B46*1000)/0.8)-489600)/56600</f>
        <v>-2.6592314487632507</v>
      </c>
      <c r="E46">
        <f t="shared" si="4"/>
        <v>1.44</v>
      </c>
      <c r="F46" s="10">
        <f t="shared" si="5"/>
        <v>1.44</v>
      </c>
    </row>
    <row r="47" spans="1:6" ht="12.75">
      <c r="A47" s="9" t="s">
        <v>57</v>
      </c>
      <c r="B47">
        <f>(5*('S Floor 5'!B26))+((40*600)/1000)</f>
        <v>372.5</v>
      </c>
      <c r="C47">
        <v>144</v>
      </c>
      <c r="D47">
        <f>(((B47*1000)/0.8)-489600)/56600</f>
        <v>-0.42358657243816256</v>
      </c>
      <c r="E47">
        <f t="shared" si="4"/>
        <v>1.44</v>
      </c>
      <c r="F47" s="10">
        <f t="shared" si="5"/>
        <v>1.44</v>
      </c>
    </row>
    <row r="48" spans="1:6" ht="12.75">
      <c r="A48" s="9" t="s">
        <v>58</v>
      </c>
      <c r="B48">
        <f>(5*('S Floor 5'!B27))+((40*600)/1000)</f>
        <v>372.5</v>
      </c>
      <c r="C48">
        <v>144</v>
      </c>
      <c r="D48">
        <f>(((B48*1000)/0.8)-489600)/56600</f>
        <v>-0.42358657243816256</v>
      </c>
      <c r="E48">
        <f t="shared" si="4"/>
        <v>1.44</v>
      </c>
      <c r="F48" s="10">
        <f t="shared" si="5"/>
        <v>1.44</v>
      </c>
    </row>
    <row r="49" spans="1:6" ht="12.75">
      <c r="A49" s="9" t="s">
        <v>59</v>
      </c>
      <c r="B49">
        <f>(5*('S Floor 5'!B28))+((40*600)/1000)</f>
        <v>201.95000000000002</v>
      </c>
      <c r="C49">
        <v>144</v>
      </c>
      <c r="D49">
        <f>(((B49*1000)/0.8)-489600)/56600</f>
        <v>-4.190150176678444</v>
      </c>
      <c r="E49">
        <f t="shared" si="4"/>
        <v>1.44</v>
      </c>
      <c r="F49" s="10">
        <f t="shared" si="5"/>
        <v>1.44</v>
      </c>
    </row>
    <row r="50" spans="1:6" ht="12.75">
      <c r="A50" s="9" t="s">
        <v>60</v>
      </c>
      <c r="B50">
        <f>(5*('S Floor 5'!B29))+((40*600)/1000)</f>
        <v>201.95000000000002</v>
      </c>
      <c r="C50">
        <v>144</v>
      </c>
      <c r="D50">
        <f>(((B50*1000)/0.8)-489600)/56600</f>
        <v>-4.190150176678444</v>
      </c>
      <c r="E50">
        <f t="shared" si="4"/>
        <v>1.44</v>
      </c>
      <c r="F50" s="10">
        <f t="shared" si="5"/>
        <v>1.44</v>
      </c>
    </row>
    <row r="51" ht="12.75">
      <c r="F51" s="10"/>
    </row>
    <row r="52" ht="12.75">
      <c r="F52" s="10"/>
    </row>
    <row r="53" ht="12.75">
      <c r="F53" s="10"/>
    </row>
    <row r="54" ht="12.75">
      <c r="F54" s="10"/>
    </row>
    <row r="55" ht="12.75">
      <c r="F55" s="10"/>
    </row>
    <row r="56" ht="12.75">
      <c r="F56" s="10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B2" sqref="B2:B25"/>
    </sheetView>
  </sheetViews>
  <sheetFormatPr defaultColWidth="11.00390625" defaultRowHeight="12.75"/>
  <sheetData>
    <row r="1" spans="1:6" ht="12.75">
      <c r="A1" t="s">
        <v>49</v>
      </c>
      <c r="B1" t="s">
        <v>50</v>
      </c>
      <c r="C1" t="s">
        <v>51</v>
      </c>
      <c r="D1" t="s">
        <v>52</v>
      </c>
      <c r="E1" t="s">
        <v>53</v>
      </c>
      <c r="F1" t="s">
        <v>54</v>
      </c>
    </row>
    <row r="2" spans="1:6" ht="12.75">
      <c r="A2" s="8" t="s">
        <v>4</v>
      </c>
      <c r="B2">
        <f>'South Pod Roof Columns'!D2</f>
        <v>21.98</v>
      </c>
      <c r="C2">
        <v>144</v>
      </c>
      <c r="D2">
        <f>(((B2*1000)/0.8)-489600)/56600</f>
        <v>-8.164752650176679</v>
      </c>
      <c r="E2">
        <f>0.01*C2</f>
        <v>1.44</v>
      </c>
      <c r="F2">
        <f>MAX(D2:E2)</f>
        <v>1.44</v>
      </c>
    </row>
    <row r="3" spans="1:6" ht="12.75">
      <c r="A3" s="8" t="s">
        <v>5</v>
      </c>
      <c r="B3">
        <f>'South Pod Roof Columns'!D3</f>
        <v>42.94</v>
      </c>
      <c r="C3">
        <v>144</v>
      </c>
      <c r="D3">
        <f aca="true" t="shared" si="0" ref="D3:D29">(((B3*1000)/0.8)-489600)/56600</f>
        <v>-7.701855123674911</v>
      </c>
      <c r="E3">
        <f aca="true" t="shared" si="1" ref="E3:E29">0.01*C3</f>
        <v>1.44</v>
      </c>
      <c r="F3">
        <f aca="true" t="shared" si="2" ref="F3:F29">MAX(D3:E3)</f>
        <v>1.44</v>
      </c>
    </row>
    <row r="4" spans="1:6" ht="12.75">
      <c r="A4" s="8" t="s">
        <v>6</v>
      </c>
      <c r="B4">
        <f>'South Pod Roof Columns'!D4</f>
        <v>21.98</v>
      </c>
      <c r="C4">
        <v>144</v>
      </c>
      <c r="D4">
        <f t="shared" si="0"/>
        <v>-8.164752650176679</v>
      </c>
      <c r="E4">
        <f t="shared" si="1"/>
        <v>1.44</v>
      </c>
      <c r="F4">
        <f t="shared" si="2"/>
        <v>1.44</v>
      </c>
    </row>
    <row r="5" spans="1:6" ht="12.75">
      <c r="A5" s="8" t="s">
        <v>7</v>
      </c>
      <c r="B5">
        <f>'South Pod Roof Columns'!D5</f>
        <v>52.650000000000006</v>
      </c>
      <c r="C5">
        <v>144</v>
      </c>
      <c r="D5">
        <f t="shared" si="0"/>
        <v>-7.4874116607773855</v>
      </c>
      <c r="E5">
        <f t="shared" si="1"/>
        <v>1.44</v>
      </c>
      <c r="F5">
        <f t="shared" si="2"/>
        <v>1.44</v>
      </c>
    </row>
    <row r="6" spans="1:6" ht="12.75">
      <c r="A6" s="8" t="s">
        <v>8</v>
      </c>
      <c r="B6">
        <f>'South Pod Roof Columns'!D6</f>
        <v>63.18000000000001</v>
      </c>
      <c r="C6">
        <v>144</v>
      </c>
      <c r="D6">
        <f t="shared" si="0"/>
        <v>-7.254858657243816</v>
      </c>
      <c r="E6">
        <f t="shared" si="1"/>
        <v>1.44</v>
      </c>
      <c r="F6">
        <f t="shared" si="2"/>
        <v>1.44</v>
      </c>
    </row>
    <row r="7" spans="1:6" ht="12.75">
      <c r="A7" s="8" t="s">
        <v>9</v>
      </c>
      <c r="B7">
        <f>'South Pod Roof Columns'!D7</f>
        <v>81.9</v>
      </c>
      <c r="C7">
        <v>144</v>
      </c>
      <c r="D7">
        <f t="shared" si="0"/>
        <v>-6.84143109540636</v>
      </c>
      <c r="E7">
        <f t="shared" si="1"/>
        <v>1.44</v>
      </c>
      <c r="F7">
        <f t="shared" si="2"/>
        <v>1.44</v>
      </c>
    </row>
    <row r="8" spans="1:6" ht="12.75">
      <c r="A8" s="8" t="s">
        <v>10</v>
      </c>
      <c r="B8">
        <f>'South Pod Roof Columns'!D8</f>
        <v>111.61</v>
      </c>
      <c r="C8">
        <v>144</v>
      </c>
      <c r="D8">
        <f t="shared" si="0"/>
        <v>-6.185291519434629</v>
      </c>
      <c r="E8">
        <f t="shared" si="1"/>
        <v>1.44</v>
      </c>
      <c r="F8">
        <f t="shared" si="2"/>
        <v>1.44</v>
      </c>
    </row>
    <row r="9" spans="1:6" ht="12.75">
      <c r="A9" s="8" t="s">
        <v>11</v>
      </c>
      <c r="B9">
        <f>'South Pod Roof Columns'!D9</f>
        <v>81.59</v>
      </c>
      <c r="C9">
        <v>144</v>
      </c>
      <c r="D9">
        <f t="shared" si="0"/>
        <v>-6.848277385159011</v>
      </c>
      <c r="E9">
        <f t="shared" si="1"/>
        <v>1.44</v>
      </c>
      <c r="F9">
        <f t="shared" si="2"/>
        <v>1.44</v>
      </c>
    </row>
    <row r="10" spans="1:6" ht="12.75">
      <c r="A10" s="8" t="s">
        <v>12</v>
      </c>
      <c r="B10">
        <f>'South Pod Roof Columns'!D10</f>
        <v>94.33</v>
      </c>
      <c r="C10">
        <v>144</v>
      </c>
      <c r="D10">
        <f t="shared" si="0"/>
        <v>-6.566916961130742</v>
      </c>
      <c r="E10">
        <f t="shared" si="1"/>
        <v>1.44</v>
      </c>
      <c r="F10">
        <f t="shared" si="2"/>
        <v>1.44</v>
      </c>
    </row>
    <row r="11" spans="1:6" ht="12.75">
      <c r="A11" s="8" t="s">
        <v>13</v>
      </c>
      <c r="B11">
        <f>'South Pod Roof Columns'!D11</f>
        <v>103.62</v>
      </c>
      <c r="C11">
        <v>144</v>
      </c>
      <c r="D11">
        <f t="shared" si="0"/>
        <v>-6.361749116607774</v>
      </c>
      <c r="E11">
        <f t="shared" si="1"/>
        <v>1.44</v>
      </c>
      <c r="F11">
        <f t="shared" si="2"/>
        <v>1.44</v>
      </c>
    </row>
    <row r="12" spans="1:6" ht="12.75">
      <c r="A12" s="8" t="s">
        <v>14</v>
      </c>
      <c r="B12">
        <f>'South Pod Roof Columns'!D12</f>
        <v>113.57</v>
      </c>
      <c r="C12">
        <v>144</v>
      </c>
      <c r="D12">
        <f t="shared" si="0"/>
        <v>-6.142005300353357</v>
      </c>
      <c r="E12">
        <f t="shared" si="1"/>
        <v>1.44</v>
      </c>
      <c r="F12">
        <f t="shared" si="2"/>
        <v>1.44</v>
      </c>
    </row>
    <row r="13" spans="1:6" ht="12.75">
      <c r="A13" s="8" t="s">
        <v>15</v>
      </c>
      <c r="B13">
        <f>'South Pod Roof Columns'!D13</f>
        <v>273.9</v>
      </c>
      <c r="C13">
        <v>144</v>
      </c>
      <c r="D13">
        <f t="shared" si="0"/>
        <v>-2.6011484098939928</v>
      </c>
      <c r="E13">
        <f t="shared" si="1"/>
        <v>1.44</v>
      </c>
      <c r="F13">
        <f t="shared" si="2"/>
        <v>1.44</v>
      </c>
    </row>
    <row r="14" spans="1:6" ht="12.75">
      <c r="A14" s="8" t="s">
        <v>16</v>
      </c>
      <c r="B14">
        <f>'South Pod Roof Columns'!D14</f>
        <v>195.25</v>
      </c>
      <c r="C14">
        <v>144</v>
      </c>
      <c r="D14">
        <f t="shared" si="0"/>
        <v>-4.338118374558304</v>
      </c>
      <c r="E14">
        <f t="shared" si="1"/>
        <v>1.44</v>
      </c>
      <c r="F14">
        <f t="shared" si="2"/>
        <v>1.44</v>
      </c>
    </row>
    <row r="15" spans="1:6" ht="12.75">
      <c r="A15" s="8" t="s">
        <v>17</v>
      </c>
      <c r="B15">
        <f>'South Pod Roof Columns'!D15</f>
        <v>99.56</v>
      </c>
      <c r="C15">
        <v>144</v>
      </c>
      <c r="D15">
        <f t="shared" si="0"/>
        <v>-6.451413427561837</v>
      </c>
      <c r="E15">
        <f t="shared" si="1"/>
        <v>1.44</v>
      </c>
      <c r="F15">
        <f t="shared" si="2"/>
        <v>1.44</v>
      </c>
    </row>
    <row r="16" spans="1:6" ht="12.75">
      <c r="A16" s="8" t="s">
        <v>18</v>
      </c>
      <c r="B16">
        <f>'South Pod Roof Columns'!D16</f>
        <v>268.6</v>
      </c>
      <c r="C16">
        <v>144</v>
      </c>
      <c r="D16">
        <f t="shared" si="0"/>
        <v>-2.7181978798586575</v>
      </c>
      <c r="E16">
        <f t="shared" si="1"/>
        <v>1.44</v>
      </c>
      <c r="F16">
        <f t="shared" si="2"/>
        <v>1.44</v>
      </c>
    </row>
    <row r="17" spans="1:6" ht="12.75">
      <c r="A17" s="8" t="s">
        <v>19</v>
      </c>
      <c r="B17">
        <f>'South Pod Roof Columns'!D17</f>
        <v>79.88</v>
      </c>
      <c r="C17">
        <v>144</v>
      </c>
      <c r="D17">
        <f t="shared" si="0"/>
        <v>-6.886042402826855</v>
      </c>
      <c r="E17">
        <f t="shared" si="1"/>
        <v>1.44</v>
      </c>
      <c r="F17">
        <f t="shared" si="2"/>
        <v>1.44</v>
      </c>
    </row>
    <row r="18" spans="1:6" ht="12.75">
      <c r="A18" s="8" t="s">
        <v>20</v>
      </c>
      <c r="B18">
        <f>'South Pod Roof Columns'!D18</f>
        <v>138.45</v>
      </c>
      <c r="C18">
        <v>144</v>
      </c>
      <c r="D18">
        <f t="shared" si="0"/>
        <v>-5.592535335689046</v>
      </c>
      <c r="E18">
        <f t="shared" si="1"/>
        <v>1.44</v>
      </c>
      <c r="F18">
        <f t="shared" si="2"/>
        <v>1.44</v>
      </c>
    </row>
    <row r="19" spans="1:6" ht="12.75">
      <c r="A19" s="8" t="s">
        <v>21</v>
      </c>
      <c r="B19">
        <f>'South Pod Roof Columns'!D19</f>
        <v>54.67</v>
      </c>
      <c r="C19">
        <v>144</v>
      </c>
      <c r="D19">
        <f t="shared" si="0"/>
        <v>-7.4428003533568905</v>
      </c>
      <c r="E19">
        <f t="shared" si="1"/>
        <v>1.44</v>
      </c>
      <c r="F19">
        <f t="shared" si="2"/>
        <v>1.44</v>
      </c>
    </row>
    <row r="20" spans="1:6" ht="12.75">
      <c r="A20" s="8" t="s">
        <v>22</v>
      </c>
      <c r="B20">
        <f>'South Pod Roof Columns'!D20</f>
        <v>54.67</v>
      </c>
      <c r="C20">
        <v>144</v>
      </c>
      <c r="D20">
        <f t="shared" si="0"/>
        <v>-7.4428003533568905</v>
      </c>
      <c r="E20">
        <f t="shared" si="1"/>
        <v>1.44</v>
      </c>
      <c r="F20">
        <f t="shared" si="2"/>
        <v>1.44</v>
      </c>
    </row>
    <row r="21" spans="1:6" ht="12.75">
      <c r="A21" s="8" t="s">
        <v>23</v>
      </c>
      <c r="B21">
        <f>'South Pod Roof Columns'!D21</f>
        <v>21.98</v>
      </c>
      <c r="C21">
        <v>144</v>
      </c>
      <c r="D21">
        <f t="shared" si="0"/>
        <v>-8.164752650176679</v>
      </c>
      <c r="E21">
        <f t="shared" si="1"/>
        <v>1.44</v>
      </c>
      <c r="F21">
        <f t="shared" si="2"/>
        <v>1.44</v>
      </c>
    </row>
    <row r="22" spans="1:6" ht="12.75">
      <c r="A22" s="8" t="s">
        <v>24</v>
      </c>
      <c r="B22">
        <f>'South Pod Roof Columns'!D22</f>
        <v>42.94</v>
      </c>
      <c r="C22">
        <v>144</v>
      </c>
      <c r="D22">
        <f t="shared" si="0"/>
        <v>-7.701855123674911</v>
      </c>
      <c r="E22">
        <f t="shared" si="1"/>
        <v>1.44</v>
      </c>
      <c r="F22">
        <f t="shared" si="2"/>
        <v>1.44</v>
      </c>
    </row>
    <row r="23" spans="1:6" ht="12.75">
      <c r="A23" s="8" t="s">
        <v>25</v>
      </c>
      <c r="B23">
        <f>'South Pod Roof Columns'!D23</f>
        <v>21.98</v>
      </c>
      <c r="C23">
        <v>144</v>
      </c>
      <c r="D23">
        <f t="shared" si="0"/>
        <v>-8.164752650176679</v>
      </c>
      <c r="E23">
        <f t="shared" si="1"/>
        <v>1.44</v>
      </c>
      <c r="F23">
        <f t="shared" si="2"/>
        <v>1.44</v>
      </c>
    </row>
    <row r="24" spans="1:6" ht="12.75">
      <c r="A24" s="8" t="s">
        <v>55</v>
      </c>
      <c r="B24">
        <f>'South Pod Roof Columns'!D24</f>
        <v>74.12</v>
      </c>
      <c r="C24">
        <v>144</v>
      </c>
      <c r="D24">
        <f t="shared" si="0"/>
        <v>-7.013250883392226</v>
      </c>
      <c r="E24">
        <f t="shared" si="1"/>
        <v>1.44</v>
      </c>
      <c r="F24">
        <f t="shared" si="2"/>
        <v>1.44</v>
      </c>
    </row>
    <row r="25" spans="1:6" ht="12.75">
      <c r="A25" s="8" t="s">
        <v>56</v>
      </c>
      <c r="B25">
        <f>'South Pod Roof Columns'!D25</f>
        <v>81.58</v>
      </c>
      <c r="C25">
        <v>144</v>
      </c>
      <c r="D25">
        <f t="shared" si="0"/>
        <v>-6.8484982332155475</v>
      </c>
      <c r="E25">
        <f t="shared" si="1"/>
        <v>1.44</v>
      </c>
      <c r="F25">
        <f t="shared" si="2"/>
        <v>1.44</v>
      </c>
    </row>
    <row r="26" spans="1:6" ht="12.75">
      <c r="A26" s="9" t="s">
        <v>57</v>
      </c>
      <c r="B26">
        <f>25.25+44.45</f>
        <v>69.7</v>
      </c>
      <c r="C26">
        <v>144</v>
      </c>
      <c r="D26">
        <f t="shared" si="0"/>
        <v>-7.110865724381625</v>
      </c>
      <c r="E26">
        <f t="shared" si="1"/>
        <v>1.44</v>
      </c>
      <c r="F26">
        <f t="shared" si="2"/>
        <v>1.44</v>
      </c>
    </row>
    <row r="27" spans="1:6" ht="12.75">
      <c r="A27" s="9" t="s">
        <v>58</v>
      </c>
      <c r="B27">
        <v>69.7</v>
      </c>
      <c r="C27">
        <v>144</v>
      </c>
      <c r="D27">
        <f t="shared" si="0"/>
        <v>-7.110865724381625</v>
      </c>
      <c r="E27">
        <f t="shared" si="1"/>
        <v>1.44</v>
      </c>
      <c r="F27">
        <f t="shared" si="2"/>
        <v>1.44</v>
      </c>
    </row>
    <row r="28" spans="1:6" ht="12.75">
      <c r="A28" s="9" t="s">
        <v>59</v>
      </c>
      <c r="B28">
        <f>11.55+24.04</f>
        <v>35.59</v>
      </c>
      <c r="C28">
        <v>144</v>
      </c>
      <c r="D28">
        <f t="shared" si="0"/>
        <v>-7.864178445229682</v>
      </c>
      <c r="E28">
        <f t="shared" si="1"/>
        <v>1.44</v>
      </c>
      <c r="F28">
        <f t="shared" si="2"/>
        <v>1.44</v>
      </c>
    </row>
    <row r="29" spans="1:6" ht="12.75">
      <c r="A29" s="9" t="s">
        <v>60</v>
      </c>
      <c r="B29">
        <f>11.55+24.04</f>
        <v>35.59</v>
      </c>
      <c r="C29">
        <v>144</v>
      </c>
      <c r="D29">
        <f t="shared" si="0"/>
        <v>-7.864178445229682</v>
      </c>
      <c r="E29">
        <f t="shared" si="1"/>
        <v>1.44</v>
      </c>
      <c r="F29">
        <f t="shared" si="2"/>
        <v>1.44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5"/>
  <sheetViews>
    <sheetView workbookViewId="0" topLeftCell="A1">
      <selection activeCell="B26" sqref="B26"/>
    </sheetView>
  </sheetViews>
  <sheetFormatPr defaultColWidth="11.00390625" defaultRowHeight="12.75"/>
  <cols>
    <col min="1" max="1" width="11.00390625" style="0" customWidth="1"/>
    <col min="2" max="2" width="16.625" style="0" customWidth="1"/>
  </cols>
  <sheetData>
    <row r="1" spans="1:2" ht="12.75">
      <c r="A1" s="2" t="s">
        <v>3</v>
      </c>
      <c r="B1" s="2" t="s">
        <v>26</v>
      </c>
    </row>
    <row r="2" spans="1:2" ht="12.75">
      <c r="A2" s="3" t="s">
        <v>4</v>
      </c>
      <c r="B2" s="3">
        <f>15.43+15.87</f>
        <v>31.299999999999997</v>
      </c>
    </row>
    <row r="3" spans="1:2" ht="12.75">
      <c r="A3" s="3" t="s">
        <v>5</v>
      </c>
      <c r="B3" s="3">
        <f>15.43+15.43+23.08</f>
        <v>53.94</v>
      </c>
    </row>
    <row r="4" spans="1:2" ht="12.75">
      <c r="A4" s="3" t="s">
        <v>6</v>
      </c>
      <c r="B4" s="3">
        <v>31.3</v>
      </c>
    </row>
    <row r="5" spans="1:2" ht="12.75">
      <c r="A5" s="3" t="s">
        <v>7</v>
      </c>
      <c r="B5" s="3">
        <f>33.2+23.66</f>
        <v>56.86</v>
      </c>
    </row>
    <row r="6" spans="1:2" ht="12.75">
      <c r="A6" s="3" t="s">
        <v>8</v>
      </c>
      <c r="B6" s="3">
        <f>23.66+33.2</f>
        <v>56.86</v>
      </c>
    </row>
    <row r="7" spans="1:2" ht="12.75">
      <c r="A7" s="3" t="s">
        <v>9</v>
      </c>
      <c r="B7" s="3">
        <f>17.6+23.66+48.28</f>
        <v>89.54</v>
      </c>
    </row>
    <row r="8" spans="1:2" ht="12.75">
      <c r="A8" s="3" t="s">
        <v>10</v>
      </c>
      <c r="B8" s="3">
        <f>23.66+34.98+107.52</f>
        <v>166.16</v>
      </c>
    </row>
    <row r="9" spans="1:2" ht="12.75">
      <c r="A9" s="3" t="s">
        <v>11</v>
      </c>
      <c r="B9" s="3">
        <f>17.6+22.18+48.85</f>
        <v>88.63</v>
      </c>
    </row>
    <row r="10" spans="1:2" ht="12.75">
      <c r="A10" s="3" t="s">
        <v>12</v>
      </c>
      <c r="B10" s="3">
        <f>51.12+69.75+22.18</f>
        <v>143.05</v>
      </c>
    </row>
    <row r="11" spans="1:2" ht="12.75">
      <c r="A11" s="3" t="s">
        <v>13</v>
      </c>
      <c r="B11" s="3">
        <f>41.13+34.95+34.91</f>
        <v>110.99000000000001</v>
      </c>
    </row>
    <row r="12" spans="1:2" ht="12.75">
      <c r="A12" s="3" t="s">
        <v>14</v>
      </c>
      <c r="B12" s="3">
        <f>28.88+24.21+34.72+18.41</f>
        <v>106.22</v>
      </c>
    </row>
    <row r="13" spans="1:2" ht="12.75">
      <c r="A13" s="3" t="s">
        <v>15</v>
      </c>
      <c r="B13" s="3">
        <f>50.45+24.21+78.79</f>
        <v>153.45</v>
      </c>
    </row>
    <row r="14" spans="1:2" ht="12.75">
      <c r="A14" s="3" t="s">
        <v>16</v>
      </c>
      <c r="B14" s="3">
        <f>30.85+47.82+40.01</f>
        <v>118.68</v>
      </c>
    </row>
    <row r="15" spans="1:2" ht="12.75">
      <c r="A15" s="3" t="s">
        <v>17</v>
      </c>
      <c r="B15" s="3">
        <f>31.23+17.6+23.34</f>
        <v>72.17</v>
      </c>
    </row>
    <row r="16" spans="1:2" ht="12.75">
      <c r="A16" s="3" t="s">
        <v>18</v>
      </c>
      <c r="B16" s="3">
        <f>60.7+39.72+23.34</f>
        <v>123.76</v>
      </c>
    </row>
    <row r="17" spans="1:2" ht="12.75">
      <c r="A17" s="3" t="s">
        <v>19</v>
      </c>
      <c r="B17" s="3">
        <f>17.6+48.28+23.66</f>
        <v>89.53999999999999</v>
      </c>
    </row>
    <row r="18" spans="1:2" ht="12.75">
      <c r="A18" s="3" t="s">
        <v>20</v>
      </c>
      <c r="B18" s="3">
        <f>47.82+23.66+76.58</f>
        <v>148.06</v>
      </c>
    </row>
    <row r="19" spans="1:2" ht="12.75">
      <c r="A19" s="3" t="s">
        <v>21</v>
      </c>
      <c r="B19" s="3">
        <v>56.86</v>
      </c>
    </row>
    <row r="20" spans="1:2" ht="12.75">
      <c r="A20" s="3" t="s">
        <v>22</v>
      </c>
      <c r="B20" s="3">
        <v>56.86</v>
      </c>
    </row>
    <row r="21" spans="1:2" ht="12.75">
      <c r="A21" s="3" t="s">
        <v>23</v>
      </c>
      <c r="B21" s="3">
        <v>31.3</v>
      </c>
    </row>
    <row r="22" spans="1:2" ht="12.75">
      <c r="A22" s="3" t="s">
        <v>24</v>
      </c>
      <c r="B22" s="3">
        <f>15.43+15.43+23.08</f>
        <v>53.94</v>
      </c>
    </row>
    <row r="23" spans="1:2" ht="12.75">
      <c r="A23" s="3" t="s">
        <v>25</v>
      </c>
      <c r="B23" s="3">
        <v>31.3</v>
      </c>
    </row>
    <row r="24" spans="1:2" ht="12.75">
      <c r="A24" s="3" t="s">
        <v>55</v>
      </c>
      <c r="B24" s="3">
        <v>111.15</v>
      </c>
    </row>
    <row r="25" spans="1:2" ht="12.75">
      <c r="A25" s="3" t="s">
        <v>56</v>
      </c>
      <c r="B25" s="3">
        <v>118.61</v>
      </c>
    </row>
  </sheetData>
  <printOptions/>
  <pageMargins left="0.75" right="0.75" top="1" bottom="1" header="0.5" footer="0.5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25"/>
  <sheetViews>
    <sheetView workbookViewId="0" topLeftCell="A1">
      <selection activeCell="B35" sqref="B35"/>
    </sheetView>
  </sheetViews>
  <sheetFormatPr defaultColWidth="11.00390625" defaultRowHeight="12.75"/>
  <cols>
    <col min="1" max="1" width="11.00390625" style="0" customWidth="1"/>
    <col min="2" max="2" width="16.625" style="0" customWidth="1"/>
  </cols>
  <sheetData>
    <row r="1" spans="1:2" ht="12.75">
      <c r="A1" s="11" t="s">
        <v>3</v>
      </c>
      <c r="B1" s="11" t="s">
        <v>26</v>
      </c>
    </row>
    <row r="2" spans="1:2" ht="12.75">
      <c r="A2" s="3" t="s">
        <v>4</v>
      </c>
      <c r="B2" s="3">
        <f>15.43+15.87</f>
        <v>31.299999999999997</v>
      </c>
    </row>
    <row r="3" spans="1:2" ht="12.75">
      <c r="A3" s="3" t="s">
        <v>5</v>
      </c>
      <c r="B3" s="3">
        <f>15.43+15.43+23.08</f>
        <v>53.94</v>
      </c>
    </row>
    <row r="4" spans="1:2" ht="12.75">
      <c r="A4" s="3" t="s">
        <v>6</v>
      </c>
      <c r="B4" s="3">
        <v>31.3</v>
      </c>
    </row>
    <row r="5" spans="1:2" ht="12.75">
      <c r="A5" s="3" t="s">
        <v>7</v>
      </c>
      <c r="B5" s="3">
        <f>33.2+23.66</f>
        <v>56.86</v>
      </c>
    </row>
    <row r="6" spans="1:2" ht="12.75">
      <c r="A6" s="3" t="s">
        <v>8</v>
      </c>
      <c r="B6" s="3">
        <f>23.66+33.2</f>
        <v>56.86</v>
      </c>
    </row>
    <row r="7" spans="1:2" ht="12.75">
      <c r="A7" s="3" t="s">
        <v>9</v>
      </c>
      <c r="B7" s="3">
        <f>17.6+23.66+48.28</f>
        <v>89.54</v>
      </c>
    </row>
    <row r="8" spans="1:2" ht="12.75">
      <c r="A8" s="3" t="s">
        <v>10</v>
      </c>
      <c r="B8" s="3">
        <f>23.66+34.98+107.52</f>
        <v>166.16</v>
      </c>
    </row>
    <row r="9" spans="1:2" ht="12.75">
      <c r="A9" s="3" t="s">
        <v>11</v>
      </c>
      <c r="B9" s="3">
        <f>17.6+22.18+48.85</f>
        <v>88.63</v>
      </c>
    </row>
    <row r="10" spans="1:2" ht="12.75">
      <c r="A10" s="3" t="s">
        <v>12</v>
      </c>
      <c r="B10" s="3">
        <f>51.12+69.75+22.18</f>
        <v>143.05</v>
      </c>
    </row>
    <row r="11" spans="1:2" ht="12.75">
      <c r="A11" s="3" t="s">
        <v>13</v>
      </c>
      <c r="B11" s="3">
        <f>41.13+34.95+34.91</f>
        <v>110.99000000000001</v>
      </c>
    </row>
    <row r="12" spans="1:2" ht="12.75">
      <c r="A12" s="3" t="s">
        <v>14</v>
      </c>
      <c r="B12" s="3">
        <f>28.88+24.21+34.72+18.41</f>
        <v>106.22</v>
      </c>
    </row>
    <row r="13" spans="1:2" ht="12.75">
      <c r="A13" s="3" t="s">
        <v>15</v>
      </c>
      <c r="B13" s="3">
        <f>50.45+24.21+78.79</f>
        <v>153.45</v>
      </c>
    </row>
    <row r="14" spans="1:2" ht="12.75">
      <c r="A14" s="3" t="s">
        <v>16</v>
      </c>
      <c r="B14" s="3">
        <f>30.85+47.82+40.01</f>
        <v>118.68</v>
      </c>
    </row>
    <row r="15" spans="1:2" ht="12.75">
      <c r="A15" s="3" t="s">
        <v>17</v>
      </c>
      <c r="B15" s="3">
        <f>31.23+17.6+23.34</f>
        <v>72.17</v>
      </c>
    </row>
    <row r="16" spans="1:2" ht="12.75">
      <c r="A16" s="3" t="s">
        <v>18</v>
      </c>
      <c r="B16" s="3">
        <f>60.7+39.72+23.34</f>
        <v>123.76</v>
      </c>
    </row>
    <row r="17" spans="1:2" ht="12.75">
      <c r="A17" s="3" t="s">
        <v>19</v>
      </c>
      <c r="B17" s="3">
        <f>17.6+48.28+23.66</f>
        <v>89.53999999999999</v>
      </c>
    </row>
    <row r="18" spans="1:2" ht="12.75">
      <c r="A18" s="3" t="s">
        <v>20</v>
      </c>
      <c r="B18" s="3">
        <f>47.82+23.66+76.58</f>
        <v>148.06</v>
      </c>
    </row>
    <row r="19" spans="1:2" ht="12.75">
      <c r="A19" s="3" t="s">
        <v>21</v>
      </c>
      <c r="B19" s="3">
        <v>56.86</v>
      </c>
    </row>
    <row r="20" spans="1:2" ht="12.75">
      <c r="A20" s="3" t="s">
        <v>22</v>
      </c>
      <c r="B20" s="3">
        <v>56.86</v>
      </c>
    </row>
    <row r="21" spans="1:2" ht="12.75">
      <c r="A21" s="3" t="s">
        <v>23</v>
      </c>
      <c r="B21" s="3">
        <v>31.3</v>
      </c>
    </row>
    <row r="22" spans="1:2" ht="12.75">
      <c r="A22" s="3" t="s">
        <v>24</v>
      </c>
      <c r="B22" s="3">
        <f>15.43+15.43+23.08</f>
        <v>53.94</v>
      </c>
    </row>
    <row r="23" spans="1:2" ht="12.75">
      <c r="A23" s="3" t="s">
        <v>25</v>
      </c>
      <c r="B23" s="3">
        <v>31.3</v>
      </c>
    </row>
    <row r="24" spans="1:2" ht="12.75">
      <c r="A24" s="3" t="s">
        <v>55</v>
      </c>
      <c r="B24" s="3">
        <v>111.15</v>
      </c>
    </row>
    <row r="25" spans="1:2" ht="12.75">
      <c r="A25" s="3" t="s">
        <v>56</v>
      </c>
      <c r="B25" s="3">
        <v>118.61</v>
      </c>
    </row>
  </sheetData>
  <printOptions/>
  <pageMargins left="0.75" right="0.75" top="1" bottom="1" header="0.5" footer="0.5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2" sqref="A2:A22"/>
    </sheetView>
  </sheetViews>
  <sheetFormatPr defaultColWidth="11.00390625" defaultRowHeight="12.75"/>
  <cols>
    <col min="1" max="1" width="11.00390625" style="2" customWidth="1"/>
    <col min="2" max="2" width="14.625" style="3" customWidth="1"/>
    <col min="3" max="3" width="11.00390625" style="3" customWidth="1"/>
    <col min="4" max="4" width="11.00390625" style="2" customWidth="1"/>
  </cols>
  <sheetData>
    <row r="1" spans="1:4" ht="12.75">
      <c r="A1" s="2" t="s">
        <v>3</v>
      </c>
      <c r="B1" s="3" t="s">
        <v>2</v>
      </c>
      <c r="C1" s="3" t="s">
        <v>1</v>
      </c>
      <c r="D1" s="2" t="s">
        <v>0</v>
      </c>
    </row>
    <row r="2" spans="1:5" s="7" customFormat="1" ht="12.75">
      <c r="A2" s="5" t="s">
        <v>27</v>
      </c>
      <c r="B2" s="6">
        <f>17.35+28.68</f>
        <v>46.03</v>
      </c>
      <c r="C2" s="6">
        <v>43.69</v>
      </c>
      <c r="D2" s="4">
        <f aca="true" t="shared" si="0" ref="D2:D22">SUM(B2:C2)</f>
        <v>89.72</v>
      </c>
      <c r="E2" s="1"/>
    </row>
    <row r="3" spans="1:5" s="7" customFormat="1" ht="12.75">
      <c r="A3" s="5" t="s">
        <v>28</v>
      </c>
      <c r="B3" s="6">
        <f>18.41+46.46</f>
        <v>64.87</v>
      </c>
      <c r="C3" s="6">
        <f>35.85+28.93</f>
        <v>64.78</v>
      </c>
      <c r="D3" s="4">
        <f t="shared" si="0"/>
        <v>129.65</v>
      </c>
      <c r="E3" s="1"/>
    </row>
    <row r="4" spans="1:5" s="7" customFormat="1" ht="12.75">
      <c r="A4" s="5" t="s">
        <v>29</v>
      </c>
      <c r="B4" s="6">
        <f>19.15</f>
        <v>19.15</v>
      </c>
      <c r="C4" s="6">
        <f>25.02</f>
        <v>25.02</v>
      </c>
      <c r="D4" s="4">
        <f t="shared" si="0"/>
        <v>44.17</v>
      </c>
      <c r="E4" s="1"/>
    </row>
    <row r="5" spans="1:5" s="7" customFormat="1" ht="12.75">
      <c r="A5" s="5" t="s">
        <v>30</v>
      </c>
      <c r="B5" s="6">
        <f>28.68+20.34</f>
        <v>49.019999999999996</v>
      </c>
      <c r="C5" s="6">
        <f>48.79</f>
        <v>48.79</v>
      </c>
      <c r="D5" s="4">
        <f t="shared" si="0"/>
        <v>97.81</v>
      </c>
      <c r="E5" s="1"/>
    </row>
    <row r="6" spans="1:5" s="7" customFormat="1" ht="12.75">
      <c r="A6" s="5" t="s">
        <v>31</v>
      </c>
      <c r="B6" s="6">
        <f>46.46+33.93</f>
        <v>80.39</v>
      </c>
      <c r="C6" s="6">
        <f>18.1+24.26</f>
        <v>42.36</v>
      </c>
      <c r="D6" s="4">
        <f t="shared" si="0"/>
        <v>122.75</v>
      </c>
      <c r="E6" s="1"/>
    </row>
    <row r="7" spans="1:5" s="7" customFormat="1" ht="12.75">
      <c r="A7" s="5" t="s">
        <v>32</v>
      </c>
      <c r="B7" s="6">
        <f>19.15+16.89</f>
        <v>36.04</v>
      </c>
      <c r="C7" s="6">
        <f>40.29</f>
        <v>40.29</v>
      </c>
      <c r="D7" s="4">
        <f t="shared" si="0"/>
        <v>76.33</v>
      </c>
      <c r="E7" s="1"/>
    </row>
    <row r="8" spans="1:5" s="7" customFormat="1" ht="12.75">
      <c r="A8" s="5" t="s">
        <v>33</v>
      </c>
      <c r="B8" s="6">
        <f>20.34+30.01</f>
        <v>50.35</v>
      </c>
      <c r="C8" s="6">
        <f>48.79</f>
        <v>48.79</v>
      </c>
      <c r="D8" s="4">
        <f t="shared" si="0"/>
        <v>99.14</v>
      </c>
      <c r="E8" s="1"/>
    </row>
    <row r="9" spans="1:5" s="7" customFormat="1" ht="12.75">
      <c r="A9" s="5" t="s">
        <v>34</v>
      </c>
      <c r="B9" s="6">
        <f>33.93+43.24</f>
        <v>77.17</v>
      </c>
      <c r="C9" s="6">
        <f>24.26+18.1</f>
        <v>42.36</v>
      </c>
      <c r="D9" s="4">
        <f t="shared" si="0"/>
        <v>119.53</v>
      </c>
      <c r="E9" s="1"/>
    </row>
    <row r="10" spans="1:5" s="7" customFormat="1" ht="12.75">
      <c r="A10" s="5" t="s">
        <v>35</v>
      </c>
      <c r="B10" s="6">
        <f>16.89+22.93</f>
        <v>39.82</v>
      </c>
      <c r="C10" s="6">
        <f>40.29</f>
        <v>40.29</v>
      </c>
      <c r="D10" s="4">
        <f t="shared" si="0"/>
        <v>80.11</v>
      </c>
      <c r="E10" s="1"/>
    </row>
    <row r="11" spans="1:5" s="7" customFormat="1" ht="12.75">
      <c r="A11" s="5" t="s">
        <v>36</v>
      </c>
      <c r="B11" s="6">
        <f>27.54*2</f>
        <v>55.08</v>
      </c>
      <c r="C11" s="6">
        <f>39.6</f>
        <v>39.6</v>
      </c>
      <c r="D11" s="4">
        <f t="shared" si="0"/>
        <v>94.68</v>
      </c>
      <c r="E11" s="1"/>
    </row>
    <row r="12" spans="1:5" s="7" customFormat="1" ht="12.75">
      <c r="A12" s="5" t="s">
        <v>37</v>
      </c>
      <c r="B12" s="6">
        <f>48.59*2</f>
        <v>97.18</v>
      </c>
      <c r="C12" s="6">
        <f>40.86+29.31</f>
        <v>70.17</v>
      </c>
      <c r="D12" s="4">
        <f t="shared" si="0"/>
        <v>167.35000000000002</v>
      </c>
      <c r="E12" s="1"/>
    </row>
    <row r="13" spans="1:5" s="7" customFormat="1" ht="12.75">
      <c r="A13" s="5" t="s">
        <v>38</v>
      </c>
      <c r="B13" s="6">
        <f>24.76*2</f>
        <v>49.52</v>
      </c>
      <c r="C13" s="6">
        <f>29.31</f>
        <v>29.31</v>
      </c>
      <c r="D13" s="4">
        <f t="shared" si="0"/>
        <v>78.83</v>
      </c>
      <c r="E13" s="1"/>
    </row>
    <row r="14" spans="1:5" s="7" customFormat="1" ht="12.75">
      <c r="A14" s="5" t="s">
        <v>39</v>
      </c>
      <c r="B14" s="6">
        <f>20.34+30.01</f>
        <v>50.35</v>
      </c>
      <c r="C14" s="6">
        <f>48.79</f>
        <v>48.79</v>
      </c>
      <c r="D14" s="4">
        <f t="shared" si="0"/>
        <v>99.14</v>
      </c>
      <c r="E14" s="1"/>
    </row>
    <row r="15" spans="1:5" s="7" customFormat="1" ht="12.75">
      <c r="A15" s="5" t="s">
        <v>40</v>
      </c>
      <c r="B15" s="6">
        <f>43.24+33.93</f>
        <v>77.17</v>
      </c>
      <c r="C15" s="6">
        <f>18.1+24.26</f>
        <v>42.36</v>
      </c>
      <c r="D15" s="4">
        <f t="shared" si="0"/>
        <v>119.53</v>
      </c>
      <c r="E15" s="1"/>
    </row>
    <row r="16" spans="1:5" s="7" customFormat="1" ht="12.75">
      <c r="A16" s="5" t="s">
        <v>41</v>
      </c>
      <c r="B16" s="6">
        <f>22.93+16.89</f>
        <v>39.82</v>
      </c>
      <c r="C16" s="6">
        <f>40.29</f>
        <v>40.29</v>
      </c>
      <c r="D16" s="4">
        <f t="shared" si="0"/>
        <v>80.11</v>
      </c>
      <c r="E16" s="1"/>
    </row>
    <row r="17" spans="1:5" s="7" customFormat="1" ht="12.75">
      <c r="A17" s="5" t="s">
        <v>42</v>
      </c>
      <c r="B17" s="6">
        <f>20.34+28.68</f>
        <v>49.019999999999996</v>
      </c>
      <c r="C17" s="6">
        <f>48.79</f>
        <v>48.79</v>
      </c>
      <c r="D17" s="4">
        <f t="shared" si="0"/>
        <v>97.81</v>
      </c>
      <c r="E17" s="1"/>
    </row>
    <row r="18" spans="1:5" s="7" customFormat="1" ht="12.75">
      <c r="A18" s="5" t="s">
        <v>43</v>
      </c>
      <c r="B18" s="6">
        <f>33.93+46.46</f>
        <v>80.39</v>
      </c>
      <c r="C18" s="6">
        <f>18.1+24.26</f>
        <v>42.36</v>
      </c>
      <c r="D18" s="4">
        <f t="shared" si="0"/>
        <v>122.75</v>
      </c>
      <c r="E18" s="1"/>
    </row>
    <row r="19" spans="1:5" s="7" customFormat="1" ht="12.75">
      <c r="A19" s="5" t="s">
        <v>44</v>
      </c>
      <c r="B19" s="6">
        <f>40.29</f>
        <v>40.29</v>
      </c>
      <c r="C19" s="6">
        <v>36.04</v>
      </c>
      <c r="D19" s="4">
        <f t="shared" si="0"/>
        <v>76.33</v>
      </c>
      <c r="E19" s="1"/>
    </row>
    <row r="20" spans="1:5" s="7" customFormat="1" ht="12.75">
      <c r="A20" s="5" t="s">
        <v>45</v>
      </c>
      <c r="B20" s="6">
        <f>17.35+28.68</f>
        <v>46.03</v>
      </c>
      <c r="C20" s="6">
        <v>43.69</v>
      </c>
      <c r="D20" s="4">
        <f t="shared" si="0"/>
        <v>89.72</v>
      </c>
      <c r="E20" s="1"/>
    </row>
    <row r="21" spans="1:5" s="7" customFormat="1" ht="12.75">
      <c r="A21" s="5" t="s">
        <v>46</v>
      </c>
      <c r="B21" s="6">
        <f>46.46+18.41</f>
        <v>64.87</v>
      </c>
      <c r="C21" s="6">
        <f>28.93+35.85</f>
        <v>64.78</v>
      </c>
      <c r="D21" s="4">
        <f t="shared" si="0"/>
        <v>129.65</v>
      </c>
      <c r="E21" s="1"/>
    </row>
    <row r="22" spans="1:5" s="7" customFormat="1" ht="12.75">
      <c r="A22" s="5" t="s">
        <v>47</v>
      </c>
      <c r="B22" s="6">
        <v>19.15</v>
      </c>
      <c r="C22" s="6">
        <v>25.02</v>
      </c>
      <c r="D22" s="4">
        <f t="shared" si="0"/>
        <v>44.17</v>
      </c>
      <c r="E22" s="1"/>
    </row>
  </sheetData>
  <printOptions/>
  <pageMargins left="0.75" right="0.75" top="1" bottom="1" header="0.5" footer="0.5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A26" sqref="A26"/>
    </sheetView>
  </sheetViews>
  <sheetFormatPr defaultColWidth="11.00390625" defaultRowHeight="12.75"/>
  <cols>
    <col min="1" max="1" width="11.00390625" style="0" customWidth="1"/>
    <col min="2" max="2" width="16.625" style="0" customWidth="1"/>
  </cols>
  <sheetData>
    <row r="1" spans="1:4" ht="12.75">
      <c r="A1" s="2" t="s">
        <v>3</v>
      </c>
      <c r="B1" s="2" t="s">
        <v>1</v>
      </c>
      <c r="C1" s="1" t="s">
        <v>2</v>
      </c>
      <c r="D1" s="1" t="s">
        <v>48</v>
      </c>
    </row>
    <row r="2" spans="1:4" ht="12.75">
      <c r="A2" s="3" t="s">
        <v>4</v>
      </c>
      <c r="B2" s="3">
        <f>9.43</f>
        <v>9.43</v>
      </c>
      <c r="C2">
        <v>12.55</v>
      </c>
      <c r="D2">
        <f>SUM(B2:C2)</f>
        <v>21.98</v>
      </c>
    </row>
    <row r="3" spans="1:4" ht="12.75">
      <c r="A3" s="3" t="s">
        <v>5</v>
      </c>
      <c r="B3" s="3">
        <f>9.43+9.43</f>
        <v>18.86</v>
      </c>
      <c r="C3">
        <v>24.08</v>
      </c>
      <c r="D3">
        <f aca="true" t="shared" si="0" ref="D3:D23">SUM(B3:C3)</f>
        <v>42.94</v>
      </c>
    </row>
    <row r="4" spans="1:4" ht="12.75">
      <c r="A4" s="3" t="s">
        <v>6</v>
      </c>
      <c r="B4" s="3">
        <f>9.43</f>
        <v>9.43</v>
      </c>
      <c r="C4">
        <v>12.55</v>
      </c>
      <c r="D4">
        <f t="shared" si="0"/>
        <v>21.98</v>
      </c>
    </row>
    <row r="5" spans="1:4" ht="12.75">
      <c r="A5" s="3" t="s">
        <v>7</v>
      </c>
      <c r="B5" s="3">
        <v>33.2</v>
      </c>
      <c r="C5">
        <v>19.45</v>
      </c>
      <c r="D5">
        <f t="shared" si="0"/>
        <v>52.650000000000006</v>
      </c>
    </row>
    <row r="6" spans="1:4" ht="12.75">
      <c r="A6" s="3" t="s">
        <v>8</v>
      </c>
      <c r="B6" s="3">
        <v>33.2</v>
      </c>
      <c r="C6">
        <v>29.98</v>
      </c>
      <c r="D6">
        <f t="shared" si="0"/>
        <v>63.18000000000001</v>
      </c>
    </row>
    <row r="7" spans="1:4" ht="12.75">
      <c r="A7" s="3" t="s">
        <v>9</v>
      </c>
      <c r="B7" s="3">
        <v>47.88</v>
      </c>
      <c r="C7">
        <f>19.45+14.57</f>
        <v>34.019999999999996</v>
      </c>
      <c r="D7">
        <f t="shared" si="0"/>
        <v>81.9</v>
      </c>
    </row>
    <row r="8" spans="1:4" ht="12.75">
      <c r="A8" s="3" t="s">
        <v>10</v>
      </c>
      <c r="B8" s="3">
        <v>62.2</v>
      </c>
      <c r="C8">
        <f>19.45+29.96</f>
        <v>49.41</v>
      </c>
      <c r="D8">
        <f t="shared" si="0"/>
        <v>111.61</v>
      </c>
    </row>
    <row r="9" spans="1:4" ht="12.75">
      <c r="A9" s="3" t="s">
        <v>11</v>
      </c>
      <c r="B9" s="3">
        <v>23.58</v>
      </c>
      <c r="C9">
        <f>14.57+43.44</f>
        <v>58.01</v>
      </c>
      <c r="D9">
        <f t="shared" si="0"/>
        <v>81.59</v>
      </c>
    </row>
    <row r="10" spans="1:4" ht="12.75">
      <c r="A10" s="3" t="s">
        <v>12</v>
      </c>
      <c r="B10" s="3">
        <v>23.58</v>
      </c>
      <c r="C10">
        <v>70.75</v>
      </c>
      <c r="D10">
        <f t="shared" si="0"/>
        <v>94.33</v>
      </c>
    </row>
    <row r="11" spans="1:4" ht="12.75">
      <c r="A11" s="3" t="s">
        <v>13</v>
      </c>
      <c r="B11" s="3">
        <v>43.6</v>
      </c>
      <c r="C11">
        <f>29.96+30.06</f>
        <v>60.019999999999996</v>
      </c>
      <c r="D11">
        <f t="shared" si="0"/>
        <v>103.62</v>
      </c>
    </row>
    <row r="12" spans="1:4" ht="12.75">
      <c r="A12" s="3" t="s">
        <v>14</v>
      </c>
      <c r="B12" s="3">
        <f>25.76+19.41</f>
        <v>45.17</v>
      </c>
      <c r="C12">
        <f>29.3+24.85</f>
        <v>54.150000000000006</v>
      </c>
      <c r="D12">
        <f t="shared" si="0"/>
        <v>99.32000000000001</v>
      </c>
    </row>
    <row r="13" spans="1:4" ht="12.75">
      <c r="A13" s="3" t="s">
        <v>15</v>
      </c>
      <c r="B13" s="3">
        <v>25.76</v>
      </c>
      <c r="C13">
        <f>79.79+51.45</f>
        <v>131.24</v>
      </c>
      <c r="D13">
        <f t="shared" si="0"/>
        <v>157</v>
      </c>
    </row>
    <row r="14" spans="1:4" ht="12.75">
      <c r="A14" s="3" t="s">
        <v>16</v>
      </c>
      <c r="B14" s="3">
        <v>42.4</v>
      </c>
      <c r="C14">
        <f>30+43.2</f>
        <v>73.2</v>
      </c>
      <c r="D14">
        <f t="shared" si="0"/>
        <v>115.6</v>
      </c>
    </row>
    <row r="15" spans="1:4" ht="12.75">
      <c r="A15" s="3" t="s">
        <v>17</v>
      </c>
      <c r="B15" s="3">
        <v>23.58</v>
      </c>
      <c r="C15">
        <f>27.9+14.58</f>
        <v>42.48</v>
      </c>
      <c r="D15">
        <f t="shared" si="0"/>
        <v>66.06</v>
      </c>
    </row>
    <row r="16" spans="1:4" ht="12.75">
      <c r="A16" s="3" t="s">
        <v>18</v>
      </c>
      <c r="B16" s="3">
        <v>23.34</v>
      </c>
      <c r="C16">
        <f>61.7+40.72</f>
        <v>102.42</v>
      </c>
      <c r="D16">
        <f t="shared" si="0"/>
        <v>125.76</v>
      </c>
    </row>
    <row r="17" spans="1:4" ht="12.75">
      <c r="A17" s="3" t="s">
        <v>19</v>
      </c>
      <c r="B17" s="3">
        <v>47.88</v>
      </c>
      <c r="C17">
        <f>12.55+19.45</f>
        <v>32</v>
      </c>
      <c r="D17">
        <f t="shared" si="0"/>
        <v>79.88</v>
      </c>
    </row>
    <row r="18" spans="1:4" ht="12.75">
      <c r="A18" s="3" t="s">
        <v>20</v>
      </c>
      <c r="B18" s="3">
        <v>62.2</v>
      </c>
      <c r="C18">
        <f>42.2+19.45</f>
        <v>61.650000000000006</v>
      </c>
      <c r="D18">
        <f t="shared" si="0"/>
        <v>123.85000000000001</v>
      </c>
    </row>
    <row r="19" spans="1:4" ht="12.75">
      <c r="A19" s="3" t="s">
        <v>21</v>
      </c>
      <c r="B19" s="3">
        <v>35.22</v>
      </c>
      <c r="C19">
        <v>19.45</v>
      </c>
      <c r="D19">
        <f t="shared" si="0"/>
        <v>54.67</v>
      </c>
    </row>
    <row r="20" spans="1:4" ht="12.75">
      <c r="A20" s="3" t="s">
        <v>22</v>
      </c>
      <c r="B20" s="3">
        <v>35.22</v>
      </c>
      <c r="C20">
        <v>19.45</v>
      </c>
      <c r="D20">
        <f t="shared" si="0"/>
        <v>54.67</v>
      </c>
    </row>
    <row r="21" spans="1:4" ht="12.75">
      <c r="A21" s="3" t="s">
        <v>23</v>
      </c>
      <c r="B21" s="3">
        <v>9.43</v>
      </c>
      <c r="C21">
        <v>12.55</v>
      </c>
      <c r="D21">
        <f t="shared" si="0"/>
        <v>21.98</v>
      </c>
    </row>
    <row r="22" spans="1:4" ht="12.75">
      <c r="A22" s="3" t="s">
        <v>24</v>
      </c>
      <c r="B22" s="3">
        <f>2*9.43</f>
        <v>18.86</v>
      </c>
      <c r="C22">
        <v>24.08</v>
      </c>
      <c r="D22">
        <f t="shared" si="0"/>
        <v>42.94</v>
      </c>
    </row>
    <row r="23" spans="1:4" ht="12.75">
      <c r="A23" s="3" t="s">
        <v>25</v>
      </c>
      <c r="B23" s="3">
        <v>9.43</v>
      </c>
      <c r="C23">
        <v>12.55</v>
      </c>
      <c r="D23">
        <f t="shared" si="0"/>
        <v>21.98</v>
      </c>
    </row>
    <row r="24" spans="1:4" ht="12.75">
      <c r="A24" s="3" t="s">
        <v>55</v>
      </c>
      <c r="D24">
        <v>74.12</v>
      </c>
    </row>
    <row r="25" spans="1:4" ht="12.75">
      <c r="A25" s="3" t="s">
        <v>56</v>
      </c>
      <c r="D25">
        <v>81.58</v>
      </c>
    </row>
  </sheetData>
  <printOptions/>
  <pageMargins left="0.75" right="0.75" top="1" bottom="1" header="0.5" footer="0.5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C18" sqref="C18"/>
    </sheetView>
  </sheetViews>
  <sheetFormatPr defaultColWidth="11.00390625" defaultRowHeight="12.75"/>
  <cols>
    <col min="1" max="1" width="11.00390625" style="0" customWidth="1"/>
    <col min="2" max="2" width="16.625" style="0" customWidth="1"/>
  </cols>
  <sheetData>
    <row r="1" spans="1:4" ht="12.75">
      <c r="A1" s="11" t="s">
        <v>3</v>
      </c>
      <c r="B1" s="11" t="s">
        <v>1</v>
      </c>
      <c r="C1" s="12" t="s">
        <v>2</v>
      </c>
      <c r="D1" s="12" t="s">
        <v>48</v>
      </c>
    </row>
    <row r="2" spans="1:4" ht="12.75">
      <c r="A2" s="3" t="s">
        <v>4</v>
      </c>
      <c r="B2" s="3">
        <f>9.43</f>
        <v>9.43</v>
      </c>
      <c r="C2">
        <v>12.55</v>
      </c>
      <c r="D2">
        <f aca="true" t="shared" si="0" ref="D2:D23">SUM(B2:C2)</f>
        <v>21.98</v>
      </c>
    </row>
    <row r="3" spans="1:4" ht="12.75">
      <c r="A3" s="3" t="s">
        <v>5</v>
      </c>
      <c r="B3" s="3">
        <f>9.43+9.43</f>
        <v>18.86</v>
      </c>
      <c r="C3">
        <v>24.08</v>
      </c>
      <c r="D3">
        <f t="shared" si="0"/>
        <v>42.94</v>
      </c>
    </row>
    <row r="4" spans="1:4" ht="12.75">
      <c r="A4" s="3" t="s">
        <v>6</v>
      </c>
      <c r="B4" s="3">
        <f>9.43</f>
        <v>9.43</v>
      </c>
      <c r="C4">
        <v>12.55</v>
      </c>
      <c r="D4">
        <f t="shared" si="0"/>
        <v>21.98</v>
      </c>
    </row>
    <row r="5" spans="1:4" ht="12.75">
      <c r="A5" s="3" t="s">
        <v>7</v>
      </c>
      <c r="B5" s="3">
        <v>33.2</v>
      </c>
      <c r="C5">
        <v>19.45</v>
      </c>
      <c r="D5">
        <f t="shared" si="0"/>
        <v>52.650000000000006</v>
      </c>
    </row>
    <row r="6" spans="1:4" ht="12.75">
      <c r="A6" s="3" t="s">
        <v>8</v>
      </c>
      <c r="B6" s="3">
        <v>33.2</v>
      </c>
      <c r="C6">
        <v>29.98</v>
      </c>
      <c r="D6">
        <f t="shared" si="0"/>
        <v>63.18000000000001</v>
      </c>
    </row>
    <row r="7" spans="1:4" ht="12.75">
      <c r="A7" s="3" t="s">
        <v>9</v>
      </c>
      <c r="B7" s="3">
        <v>47.88</v>
      </c>
      <c r="C7">
        <f>19.45+14.57</f>
        <v>34.019999999999996</v>
      </c>
      <c r="D7">
        <f t="shared" si="0"/>
        <v>81.9</v>
      </c>
    </row>
    <row r="8" spans="1:4" ht="12.75">
      <c r="A8" s="3" t="s">
        <v>10</v>
      </c>
      <c r="B8" s="3">
        <v>62.2</v>
      </c>
      <c r="C8">
        <f>19.45+29.96</f>
        <v>49.41</v>
      </c>
      <c r="D8">
        <f t="shared" si="0"/>
        <v>111.61</v>
      </c>
    </row>
    <row r="9" spans="1:4" ht="12.75">
      <c r="A9" s="3" t="s">
        <v>11</v>
      </c>
      <c r="B9" s="3">
        <v>23.58</v>
      </c>
      <c r="C9">
        <f>14.57+43.44</f>
        <v>58.01</v>
      </c>
      <c r="D9">
        <f t="shared" si="0"/>
        <v>81.59</v>
      </c>
    </row>
    <row r="10" spans="1:4" ht="12.75">
      <c r="A10" s="3" t="s">
        <v>12</v>
      </c>
      <c r="B10" s="3">
        <v>23.58</v>
      </c>
      <c r="C10">
        <v>70.75</v>
      </c>
      <c r="D10">
        <f t="shared" si="0"/>
        <v>94.33</v>
      </c>
    </row>
    <row r="11" spans="1:4" ht="12.75">
      <c r="A11" s="3" t="s">
        <v>13</v>
      </c>
      <c r="B11" s="3">
        <v>43.6</v>
      </c>
      <c r="C11">
        <f>29.96+30.06</f>
        <v>60.019999999999996</v>
      </c>
      <c r="D11">
        <f t="shared" si="0"/>
        <v>103.62</v>
      </c>
    </row>
    <row r="12" spans="1:4" ht="12.75">
      <c r="A12" s="3" t="s">
        <v>14</v>
      </c>
      <c r="B12" s="3">
        <f>34.14+19.41</f>
        <v>53.55</v>
      </c>
      <c r="C12">
        <f>29.3+30.72</f>
        <v>60.019999999999996</v>
      </c>
      <c r="D12">
        <f t="shared" si="0"/>
        <v>113.57</v>
      </c>
    </row>
    <row r="13" spans="1:4" ht="12.75">
      <c r="A13" s="3" t="s">
        <v>15</v>
      </c>
      <c r="B13" s="3">
        <v>53.39</v>
      </c>
      <c r="C13">
        <f>79.79+140.72</f>
        <v>220.51</v>
      </c>
      <c r="D13">
        <f t="shared" si="0"/>
        <v>273.9</v>
      </c>
    </row>
    <row r="14" spans="1:4" ht="12.75">
      <c r="A14" s="3" t="s">
        <v>16</v>
      </c>
      <c r="B14" s="3">
        <v>93.79</v>
      </c>
      <c r="C14">
        <f>30+71.46</f>
        <v>101.46</v>
      </c>
      <c r="D14">
        <f t="shared" si="0"/>
        <v>195.25</v>
      </c>
    </row>
    <row r="15" spans="1:4" ht="12.75">
      <c r="A15" s="3" t="s">
        <v>17</v>
      </c>
      <c r="B15" s="3">
        <v>40.65</v>
      </c>
      <c r="C15">
        <f>44.33+14.58</f>
        <v>58.91</v>
      </c>
      <c r="D15">
        <f t="shared" si="0"/>
        <v>99.56</v>
      </c>
    </row>
    <row r="16" spans="1:4" ht="12.75">
      <c r="A16" s="3" t="s">
        <v>18</v>
      </c>
      <c r="B16" s="3">
        <v>59.84</v>
      </c>
      <c r="C16">
        <f>168.04+40.72</f>
        <v>208.76</v>
      </c>
      <c r="D16">
        <f t="shared" si="0"/>
        <v>268.6</v>
      </c>
    </row>
    <row r="17" spans="1:4" ht="12.75">
      <c r="A17" s="3" t="s">
        <v>19</v>
      </c>
      <c r="B17" s="3">
        <v>47.88</v>
      </c>
      <c r="C17">
        <f>12.55+19.45</f>
        <v>32</v>
      </c>
      <c r="D17">
        <f t="shared" si="0"/>
        <v>79.88</v>
      </c>
    </row>
    <row r="18" spans="1:4" ht="12.75">
      <c r="A18" s="3" t="s">
        <v>20</v>
      </c>
      <c r="B18" s="3">
        <v>62.2</v>
      </c>
      <c r="C18">
        <f>56.8+19.45</f>
        <v>76.25</v>
      </c>
      <c r="D18">
        <f t="shared" si="0"/>
        <v>138.45</v>
      </c>
    </row>
    <row r="19" spans="1:4" ht="12.75">
      <c r="A19" s="3" t="s">
        <v>21</v>
      </c>
      <c r="B19" s="3">
        <v>35.22</v>
      </c>
      <c r="C19">
        <v>19.45</v>
      </c>
      <c r="D19">
        <f t="shared" si="0"/>
        <v>54.67</v>
      </c>
    </row>
    <row r="20" spans="1:4" ht="12.75">
      <c r="A20" s="3" t="s">
        <v>22</v>
      </c>
      <c r="B20" s="3">
        <v>35.22</v>
      </c>
      <c r="C20">
        <v>19.45</v>
      </c>
      <c r="D20">
        <f t="shared" si="0"/>
        <v>54.67</v>
      </c>
    </row>
    <row r="21" spans="1:4" ht="12.75">
      <c r="A21" s="3" t="s">
        <v>23</v>
      </c>
      <c r="B21" s="3">
        <v>9.43</v>
      </c>
      <c r="C21">
        <v>12.55</v>
      </c>
      <c r="D21">
        <f t="shared" si="0"/>
        <v>21.98</v>
      </c>
    </row>
    <row r="22" spans="1:4" ht="12.75">
      <c r="A22" s="3" t="s">
        <v>24</v>
      </c>
      <c r="B22" s="3">
        <f>2*9.43</f>
        <v>18.86</v>
      </c>
      <c r="C22">
        <v>24.08</v>
      </c>
      <c r="D22">
        <f t="shared" si="0"/>
        <v>42.94</v>
      </c>
    </row>
    <row r="23" spans="1:4" ht="12.75">
      <c r="A23" s="3" t="s">
        <v>25</v>
      </c>
      <c r="B23" s="3">
        <v>9.43</v>
      </c>
      <c r="C23">
        <v>12.55</v>
      </c>
      <c r="D23">
        <f t="shared" si="0"/>
        <v>21.98</v>
      </c>
    </row>
    <row r="24" spans="1:4" ht="12.75">
      <c r="A24" s="3" t="s">
        <v>55</v>
      </c>
      <c r="D24">
        <v>74.12</v>
      </c>
    </row>
    <row r="25" spans="1:4" ht="12.75">
      <c r="A25" s="3" t="s">
        <v>56</v>
      </c>
      <c r="D25">
        <v>81.58</v>
      </c>
    </row>
  </sheetData>
  <printOptions/>
  <pageMargins left="0.75" right="0.75" top="1" bottom="1" header="0.5" footer="0.5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selection activeCell="A2" sqref="A2:IV2"/>
    </sheetView>
  </sheetViews>
  <sheetFormatPr defaultColWidth="11.00390625" defaultRowHeight="12.75"/>
  <cols>
    <col min="1" max="1" width="11.00390625" style="2" customWidth="1"/>
    <col min="2" max="2" width="14.625" style="3" customWidth="1"/>
    <col min="3" max="3" width="11.00390625" style="3" customWidth="1"/>
    <col min="4" max="4" width="11.00390625" style="2" customWidth="1"/>
  </cols>
  <sheetData>
    <row r="1" spans="1:4" ht="12.75">
      <c r="A1" s="2" t="s">
        <v>3</v>
      </c>
      <c r="B1" s="3" t="s">
        <v>2</v>
      </c>
      <c r="C1" s="3" t="s">
        <v>1</v>
      </c>
      <c r="D1" s="2" t="s">
        <v>0</v>
      </c>
    </row>
    <row r="2" spans="1:5" s="7" customFormat="1" ht="12.75">
      <c r="A2" s="5" t="s">
        <v>27</v>
      </c>
      <c r="B2" s="6">
        <f>14.31+24.47</f>
        <v>38.78</v>
      </c>
      <c r="C2" s="6">
        <v>24.51</v>
      </c>
      <c r="D2" s="4">
        <f aca="true" t="shared" si="0" ref="D2:D13">SUM(B2:C2)</f>
        <v>63.290000000000006</v>
      </c>
      <c r="E2" s="1"/>
    </row>
    <row r="3" spans="1:5" s="7" customFormat="1" ht="12.75">
      <c r="A3" s="5" t="s">
        <v>28</v>
      </c>
      <c r="B3" s="6">
        <f>19.41+47.46</f>
        <v>66.87</v>
      </c>
      <c r="C3" s="6">
        <f>24.51+35.6</f>
        <v>60.11</v>
      </c>
      <c r="D3" s="4">
        <f t="shared" si="0"/>
        <v>126.98</v>
      </c>
      <c r="E3" s="1"/>
    </row>
    <row r="4" spans="1:5" s="7" customFormat="1" ht="12.75">
      <c r="A4" s="5" t="s">
        <v>29</v>
      </c>
      <c r="B4" s="6">
        <f>25.02+14.94</f>
        <v>39.96</v>
      </c>
      <c r="C4" s="6">
        <v>30.63</v>
      </c>
      <c r="D4" s="4">
        <f t="shared" si="0"/>
        <v>70.59</v>
      </c>
      <c r="E4" s="1"/>
    </row>
    <row r="5" spans="1:5" s="7" customFormat="1" ht="12.75">
      <c r="A5" s="5" t="s">
        <v>30</v>
      </c>
      <c r="B5" s="6">
        <f>24.47+17.67</f>
        <v>42.14</v>
      </c>
      <c r="C5" s="6">
        <v>62.84</v>
      </c>
      <c r="D5" s="4">
        <f t="shared" si="0"/>
        <v>104.98</v>
      </c>
      <c r="E5" s="1"/>
    </row>
    <row r="6" spans="1:5" s="7" customFormat="1" ht="12.75">
      <c r="A6" s="5" t="s">
        <v>31</v>
      </c>
      <c r="B6" s="6">
        <f>24.47+17.67</f>
        <v>42.14</v>
      </c>
      <c r="C6" s="6">
        <f>39.23+27.95</f>
        <v>67.17999999999999</v>
      </c>
      <c r="D6" s="4">
        <f t="shared" si="0"/>
        <v>109.32</v>
      </c>
      <c r="E6" s="1"/>
    </row>
    <row r="7" spans="1:5" s="7" customFormat="1" ht="12.75">
      <c r="A7" s="5" t="s">
        <v>32</v>
      </c>
      <c r="B7" s="6">
        <f>14.94+14.21</f>
        <v>29.15</v>
      </c>
      <c r="C7" s="6">
        <v>47.68</v>
      </c>
      <c r="D7" s="4">
        <f t="shared" si="0"/>
        <v>76.83</v>
      </c>
      <c r="E7" s="1"/>
    </row>
    <row r="8" spans="1:5" s="7" customFormat="1" ht="12.75">
      <c r="A8" s="5" t="s">
        <v>33</v>
      </c>
      <c r="B8" s="6">
        <f>17.67+25.86</f>
        <v>43.53</v>
      </c>
      <c r="C8" s="6">
        <v>61.84</v>
      </c>
      <c r="D8" s="4">
        <f t="shared" si="0"/>
        <v>105.37</v>
      </c>
      <c r="E8" s="1"/>
    </row>
    <row r="9" spans="1:5" s="7" customFormat="1" ht="12.75">
      <c r="A9" s="5" t="s">
        <v>34</v>
      </c>
      <c r="B9" s="6">
        <f>34.93+44.24</f>
        <v>79.17</v>
      </c>
      <c r="C9" s="6">
        <f>39.23+27.95</f>
        <v>67.17999999999999</v>
      </c>
      <c r="D9" s="4">
        <f t="shared" si="0"/>
        <v>146.35</v>
      </c>
      <c r="E9" s="1"/>
    </row>
    <row r="10" spans="1:5" s="7" customFormat="1" ht="12.75">
      <c r="A10" s="5" t="s">
        <v>35</v>
      </c>
      <c r="B10" s="6">
        <f>14.21+20.6</f>
        <v>34.81</v>
      </c>
      <c r="C10" s="6">
        <f>47.68</f>
        <v>47.68</v>
      </c>
      <c r="D10" s="4">
        <f t="shared" si="0"/>
        <v>82.49000000000001</v>
      </c>
      <c r="E10" s="1"/>
    </row>
    <row r="11" spans="1:5" s="7" customFormat="1" ht="12.75">
      <c r="A11" s="5" t="s">
        <v>36</v>
      </c>
      <c r="B11" s="6">
        <f>23.39+23.39</f>
        <v>46.78</v>
      </c>
      <c r="C11" s="6">
        <v>49.42</v>
      </c>
      <c r="D11" s="4">
        <f t="shared" si="0"/>
        <v>96.2</v>
      </c>
      <c r="E11" s="1"/>
    </row>
    <row r="12" spans="1:5" s="7" customFormat="1" ht="12.75">
      <c r="A12" s="5" t="s">
        <v>37</v>
      </c>
      <c r="B12" s="6">
        <f>49.59*2</f>
        <v>99.18</v>
      </c>
      <c r="C12" s="6">
        <f>36.93+49.42</f>
        <v>86.35</v>
      </c>
      <c r="D12" s="4">
        <f t="shared" si="0"/>
        <v>185.53</v>
      </c>
      <c r="E12" s="1"/>
    </row>
    <row r="13" spans="1:5" s="7" customFormat="1" ht="12.75">
      <c r="A13" s="5" t="s">
        <v>38</v>
      </c>
      <c r="B13" s="6">
        <f>20.6+20.6</f>
        <v>41.2</v>
      </c>
      <c r="C13" s="6">
        <f>36.53</f>
        <v>36.53</v>
      </c>
      <c r="D13" s="4">
        <f t="shared" si="0"/>
        <v>77.73</v>
      </c>
      <c r="E13" s="1"/>
    </row>
    <row r="14" spans="1:5" s="7" customFormat="1" ht="12.75">
      <c r="A14" s="5" t="s">
        <v>39</v>
      </c>
      <c r="B14" s="6"/>
      <c r="C14" s="6"/>
      <c r="D14" s="4">
        <v>105.37</v>
      </c>
      <c r="E14" s="1"/>
    </row>
    <row r="15" spans="1:5" s="7" customFormat="1" ht="12.75">
      <c r="A15" s="5" t="s">
        <v>40</v>
      </c>
      <c r="B15" s="6"/>
      <c r="C15" s="6"/>
      <c r="D15" s="4">
        <v>146.35</v>
      </c>
      <c r="E15" s="1"/>
    </row>
    <row r="16" spans="1:5" s="7" customFormat="1" ht="12.75">
      <c r="A16" s="5" t="s">
        <v>41</v>
      </c>
      <c r="B16" s="6"/>
      <c r="C16" s="6"/>
      <c r="D16" s="4">
        <v>82.49</v>
      </c>
      <c r="E16" s="1"/>
    </row>
    <row r="17" spans="1:5" s="7" customFormat="1" ht="12.75">
      <c r="A17" s="5" t="s">
        <v>42</v>
      </c>
      <c r="B17" s="6"/>
      <c r="C17" s="6"/>
      <c r="D17" s="4">
        <v>104.98</v>
      </c>
      <c r="E17" s="1"/>
    </row>
    <row r="18" spans="1:5" s="7" customFormat="1" ht="12.75">
      <c r="A18" s="5" t="s">
        <v>43</v>
      </c>
      <c r="B18" s="6"/>
      <c r="C18" s="6"/>
      <c r="D18" s="4">
        <v>109.32</v>
      </c>
      <c r="E18" s="1"/>
    </row>
    <row r="19" spans="1:5" s="7" customFormat="1" ht="12.75">
      <c r="A19" s="5" t="s">
        <v>44</v>
      </c>
      <c r="B19" s="6"/>
      <c r="C19" s="6"/>
      <c r="D19" s="4">
        <v>76.83</v>
      </c>
      <c r="E19" s="1"/>
    </row>
    <row r="20" spans="1:5" s="7" customFormat="1" ht="12.75">
      <c r="A20" s="5" t="s">
        <v>45</v>
      </c>
      <c r="B20" s="6"/>
      <c r="C20" s="6"/>
      <c r="D20" s="4">
        <v>63.29</v>
      </c>
      <c r="E20" s="1"/>
    </row>
    <row r="21" spans="1:5" s="7" customFormat="1" ht="12.75">
      <c r="A21" s="5" t="s">
        <v>46</v>
      </c>
      <c r="B21" s="6"/>
      <c r="C21" s="6"/>
      <c r="D21" s="4">
        <v>126.98</v>
      </c>
      <c r="E21" s="1"/>
    </row>
    <row r="22" spans="1:5" s="7" customFormat="1" ht="12.75">
      <c r="A22" s="5" t="s">
        <v>47</v>
      </c>
      <c r="B22" s="6"/>
      <c r="C22" s="6"/>
      <c r="D22" s="4">
        <v>70.59</v>
      </c>
      <c r="E22" s="1"/>
    </row>
    <row r="23" spans="1:4" s="7" customFormat="1" ht="12.75">
      <c r="A23" s="5"/>
      <c r="B23" s="6"/>
      <c r="C23" s="6"/>
      <c r="D23" s="4"/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selection activeCell="F2" sqref="F2:F50"/>
    </sheetView>
  </sheetViews>
  <sheetFormatPr defaultColWidth="11.00390625" defaultRowHeight="12.75"/>
  <sheetData>
    <row r="1" spans="1:6" ht="12.75">
      <c r="A1" t="s">
        <v>49</v>
      </c>
      <c r="B1" t="s">
        <v>50</v>
      </c>
      <c r="C1" t="s">
        <v>51</v>
      </c>
      <c r="D1" t="s">
        <v>52</v>
      </c>
      <c r="E1" t="s">
        <v>53</v>
      </c>
      <c r="F1" t="s">
        <v>54</v>
      </c>
    </row>
    <row r="2" spans="1:6" ht="12.75">
      <c r="A2" s="8" t="s">
        <v>61</v>
      </c>
      <c r="B2">
        <f>'North Pod Roof Columns'!D2+((30*600)/1000)+(('North Pod Column Loads'!B2)*3)</f>
        <v>133.88</v>
      </c>
      <c r="C2">
        <v>144</v>
      </c>
      <c r="D2">
        <f aca="true" t="shared" si="0" ref="D2:D7">(((B2*1000)/0.8)-489600)/56600</f>
        <v>-5.693462897526501</v>
      </c>
      <c r="E2">
        <f aca="true" t="shared" si="1" ref="E2:E33">0.01*C2</f>
        <v>1.44</v>
      </c>
      <c r="F2" s="10">
        <f aca="true" t="shared" si="2" ref="F2:F33">MAX(D2:E2)</f>
        <v>1.44</v>
      </c>
    </row>
    <row r="3" spans="1:6" ht="12.75">
      <c r="A3" s="8" t="s">
        <v>62</v>
      </c>
      <c r="B3">
        <f>'North Pod Roof Columns'!D3+((30*600)/1000)+(('North Pod Column Loads'!B3)*3)</f>
        <v>222.76</v>
      </c>
      <c r="C3">
        <v>144</v>
      </c>
      <c r="D3">
        <f t="shared" si="0"/>
        <v>-3.730565371024735</v>
      </c>
      <c r="E3">
        <f t="shared" si="1"/>
        <v>1.44</v>
      </c>
      <c r="F3" s="10">
        <f t="shared" si="2"/>
        <v>1.44</v>
      </c>
    </row>
    <row r="4" spans="1:6" ht="12.75">
      <c r="A4" s="8" t="s">
        <v>63</v>
      </c>
      <c r="B4">
        <f>'North Pod Roof Columns'!D4+((30*600)/1000)+(('North Pod Column Loads'!B4)*3)</f>
        <v>133.88</v>
      </c>
      <c r="C4">
        <v>144</v>
      </c>
      <c r="D4">
        <f t="shared" si="0"/>
        <v>-5.693462897526501</v>
      </c>
      <c r="E4">
        <f t="shared" si="1"/>
        <v>1.44</v>
      </c>
      <c r="F4" s="10">
        <f t="shared" si="2"/>
        <v>1.44</v>
      </c>
    </row>
    <row r="5" spans="1:6" ht="12.75">
      <c r="A5" s="8" t="s">
        <v>64</v>
      </c>
      <c r="B5">
        <f>'North Pod Roof Columns'!D5+((30*600)/1000)+(('North Pod Column Loads'!B5)*3)</f>
        <v>241.23</v>
      </c>
      <c r="C5">
        <v>144</v>
      </c>
      <c r="D5">
        <f t="shared" si="0"/>
        <v>-3.322659010600707</v>
      </c>
      <c r="E5">
        <f t="shared" si="1"/>
        <v>1.44</v>
      </c>
      <c r="F5" s="10">
        <f t="shared" si="2"/>
        <v>1.44</v>
      </c>
    </row>
    <row r="6" spans="1:6" ht="12.75">
      <c r="A6" s="8" t="s">
        <v>65</v>
      </c>
      <c r="B6">
        <f>'North Pod Roof Columns'!D6+((30*600)/1000)+(('North Pod Column Loads'!B6)*3)</f>
        <v>251.76</v>
      </c>
      <c r="C6">
        <v>144</v>
      </c>
      <c r="D6">
        <f t="shared" si="0"/>
        <v>-3.090106007067138</v>
      </c>
      <c r="E6">
        <f t="shared" si="1"/>
        <v>1.44</v>
      </c>
      <c r="F6" s="10">
        <f t="shared" si="2"/>
        <v>1.44</v>
      </c>
    </row>
    <row r="7" spans="1:6" ht="12.75">
      <c r="A7" s="8" t="s">
        <v>66</v>
      </c>
      <c r="B7">
        <f>'North Pod Roof Columns'!D7+((30*600)/1000)+(('North Pod Column Loads'!B7)*3)</f>
        <v>368.52</v>
      </c>
      <c r="C7">
        <v>144</v>
      </c>
      <c r="D7">
        <f t="shared" si="0"/>
        <v>-0.5114840989399293</v>
      </c>
      <c r="E7">
        <f t="shared" si="1"/>
        <v>1.44</v>
      </c>
      <c r="F7" s="10">
        <f t="shared" si="2"/>
        <v>1.44</v>
      </c>
    </row>
    <row r="8" spans="1:6" ht="12.75">
      <c r="A8" s="8" t="s">
        <v>67</v>
      </c>
      <c r="B8">
        <f>'North Pod Roof Columns'!D8+((30*600)/1000)+(('North Pod Column Loads'!B8)*3)</f>
        <v>628.09</v>
      </c>
      <c r="C8">
        <f>16*16</f>
        <v>256</v>
      </c>
      <c r="D8">
        <f>(((B8*1000)/0.8)-870400)/56600</f>
        <v>-1.5068462897526502</v>
      </c>
      <c r="E8">
        <f t="shared" si="1"/>
        <v>2.56</v>
      </c>
      <c r="F8" s="10">
        <f t="shared" si="2"/>
        <v>2.56</v>
      </c>
    </row>
    <row r="9" spans="1:6" ht="12.75">
      <c r="A9" s="8" t="s">
        <v>68</v>
      </c>
      <c r="B9">
        <f>'North Pod Roof Columns'!D9+((30*600)/1000)+(('North Pod Column Loads'!B9)*3)</f>
        <v>365.48</v>
      </c>
      <c r="C9">
        <v>144</v>
      </c>
      <c r="D9">
        <f>(((B9*1000)/0.8)-489600)/56600</f>
        <v>-0.5786219081272085</v>
      </c>
      <c r="E9">
        <f t="shared" si="1"/>
        <v>1.44</v>
      </c>
      <c r="F9" s="10">
        <f t="shared" si="2"/>
        <v>1.44</v>
      </c>
    </row>
    <row r="10" spans="1:6" ht="12.75">
      <c r="A10" s="8" t="s">
        <v>69</v>
      </c>
      <c r="B10">
        <f>'North Pod Roof Columns'!D10+((30*600)/1000)+(('North Pod Column Loads'!B10)*3)</f>
        <v>541.48</v>
      </c>
      <c r="C10">
        <f>16*16</f>
        <v>256</v>
      </c>
      <c r="D10">
        <f>(((B10*1000)/0.8)-870400)/56600</f>
        <v>-3.4196113074204946</v>
      </c>
      <c r="E10">
        <f t="shared" si="1"/>
        <v>2.56</v>
      </c>
      <c r="F10" s="10">
        <f t="shared" si="2"/>
        <v>2.56</v>
      </c>
    </row>
    <row r="11" spans="1:6" ht="12.75">
      <c r="A11" s="8" t="s">
        <v>70</v>
      </c>
      <c r="B11">
        <f>'North Pod Roof Columns'!D11+((30*600)/1000)+(('North Pod Column Loads'!B11)*3)</f>
        <v>454.59000000000003</v>
      </c>
      <c r="C11">
        <v>144</v>
      </c>
      <c r="D11">
        <f>(((B11*1000)/0.8)-489600)/56600</f>
        <v>1.3893551236749118</v>
      </c>
      <c r="E11">
        <f t="shared" si="1"/>
        <v>1.44</v>
      </c>
      <c r="F11" s="10">
        <f t="shared" si="2"/>
        <v>1.44</v>
      </c>
    </row>
    <row r="12" spans="1:6" ht="12.75">
      <c r="A12" s="8" t="s">
        <v>71</v>
      </c>
      <c r="B12">
        <f>'North Pod Roof Columns'!D12+((30*600)/1000)+(('North Pod Column Loads'!B12)*3)</f>
        <v>435.97999999999996</v>
      </c>
      <c r="C12">
        <v>144</v>
      </c>
      <c r="D12">
        <f>(((B12*1000)/0.8)-489600)/56600</f>
        <v>0.9783568904593619</v>
      </c>
      <c r="E12">
        <f t="shared" si="1"/>
        <v>1.44</v>
      </c>
      <c r="F12" s="10">
        <f t="shared" si="2"/>
        <v>1.44</v>
      </c>
    </row>
    <row r="13" spans="1:6" ht="12.75">
      <c r="A13" s="8" t="s">
        <v>72</v>
      </c>
      <c r="B13">
        <f>'North Pod Roof Columns'!D13+((30*600)/1000)+(('North Pod Column Loads'!B13)*3)</f>
        <v>635.3499999999999</v>
      </c>
      <c r="C13">
        <f>16*16</f>
        <v>256</v>
      </c>
      <c r="D13">
        <f>(((B13*1000)/0.8)-870400)/56600</f>
        <v>-1.3465106007067178</v>
      </c>
      <c r="E13">
        <f t="shared" si="1"/>
        <v>2.56</v>
      </c>
      <c r="F13" s="10">
        <f t="shared" si="2"/>
        <v>2.56</v>
      </c>
    </row>
    <row r="14" spans="1:6" ht="12.75">
      <c r="A14" s="8" t="s">
        <v>73</v>
      </c>
      <c r="B14">
        <f>'North Pod Roof Columns'!D14+((30*600)/1000)+(('North Pod Column Loads'!B14)*3)</f>
        <v>489.64</v>
      </c>
      <c r="C14">
        <v>144</v>
      </c>
      <c r="D14">
        <f>(((B14*1000)/0.8)-489600)/56600</f>
        <v>2.1634275618374557</v>
      </c>
      <c r="E14">
        <f t="shared" si="1"/>
        <v>1.44</v>
      </c>
      <c r="F14" s="10">
        <f t="shared" si="2"/>
        <v>2.1634275618374557</v>
      </c>
    </row>
    <row r="15" spans="1:6" ht="12.75">
      <c r="A15" s="8" t="s">
        <v>74</v>
      </c>
      <c r="B15">
        <f>'North Pod Roof Columns'!D15+((30*600)/1000)+(('North Pod Column Loads'!B15)*3)</f>
        <v>300.57</v>
      </c>
      <c r="C15">
        <v>144</v>
      </c>
      <c r="D15">
        <f>(((B15*1000)/0.8)-489600)/56600</f>
        <v>-2.0121466431095407</v>
      </c>
      <c r="E15">
        <f t="shared" si="1"/>
        <v>1.44</v>
      </c>
      <c r="F15" s="10">
        <f t="shared" si="2"/>
        <v>1.44</v>
      </c>
    </row>
    <row r="16" spans="1:6" ht="12.75">
      <c r="A16" s="8" t="s">
        <v>75</v>
      </c>
      <c r="B16">
        <f>'North Pod Roof Columns'!D16+((30*600)/1000)+(('North Pod Column Loads'!B16)*3)</f>
        <v>515.04</v>
      </c>
      <c r="C16">
        <v>144</v>
      </c>
      <c r="D16">
        <f>(((B16*1000)/0.8)-489600)/56600</f>
        <v>2.724381625441694</v>
      </c>
      <c r="E16">
        <f t="shared" si="1"/>
        <v>1.44</v>
      </c>
      <c r="F16" s="10">
        <f t="shared" si="2"/>
        <v>2.724381625441694</v>
      </c>
    </row>
    <row r="17" spans="1:6" ht="12.75">
      <c r="A17" s="8" t="s">
        <v>76</v>
      </c>
      <c r="B17">
        <f>'North Pod Roof Columns'!D17+((30*600)/1000)+(('North Pod Column Loads'!B17)*3)</f>
        <v>366.5</v>
      </c>
      <c r="C17">
        <v>144</v>
      </c>
      <c r="D17">
        <f>(((B17*1000)/0.8)-489600)/56600</f>
        <v>-0.556095406360424</v>
      </c>
      <c r="E17">
        <f t="shared" si="1"/>
        <v>1.44</v>
      </c>
      <c r="F17" s="10">
        <f t="shared" si="2"/>
        <v>1.44</v>
      </c>
    </row>
    <row r="18" spans="1:6" ht="12.75">
      <c r="A18" s="8" t="s">
        <v>77</v>
      </c>
      <c r="B18">
        <f>'North Pod Roof Columns'!D18+((30*600)/1000)+(('North Pod Column Loads'!B18)*3)</f>
        <v>586.03</v>
      </c>
      <c r="C18">
        <f>16*16</f>
        <v>256</v>
      </c>
      <c r="D18">
        <f>(((B18*1000)/0.8)-870400)/56600</f>
        <v>-2.435733215547703</v>
      </c>
      <c r="E18">
        <f t="shared" si="1"/>
        <v>2.56</v>
      </c>
      <c r="F18" s="10">
        <f t="shared" si="2"/>
        <v>2.56</v>
      </c>
    </row>
    <row r="19" spans="1:6" ht="12.75">
      <c r="A19" s="8" t="s">
        <v>78</v>
      </c>
      <c r="B19">
        <f>'North Pod Roof Columns'!D19+((30*600)/1000)+(('North Pod Column Loads'!B19)*3)</f>
        <v>243.25</v>
      </c>
      <c r="C19">
        <v>144</v>
      </c>
      <c r="D19">
        <f aca="true" t="shared" si="3" ref="D19:D35">(((B19*1000)/0.8)-489600)/56600</f>
        <v>-3.278047703180212</v>
      </c>
      <c r="E19">
        <f t="shared" si="1"/>
        <v>1.44</v>
      </c>
      <c r="F19" s="10">
        <f t="shared" si="2"/>
        <v>1.44</v>
      </c>
    </row>
    <row r="20" spans="1:6" ht="12.75">
      <c r="A20" s="8" t="s">
        <v>79</v>
      </c>
      <c r="B20">
        <f>'North Pod Roof Columns'!D20+((30*600)/1000)+(('North Pod Column Loads'!B20)*3)</f>
        <v>243.25</v>
      </c>
      <c r="C20">
        <v>144</v>
      </c>
      <c r="D20">
        <f t="shared" si="3"/>
        <v>-3.278047703180212</v>
      </c>
      <c r="E20">
        <f t="shared" si="1"/>
        <v>1.44</v>
      </c>
      <c r="F20" s="10">
        <f t="shared" si="2"/>
        <v>1.44</v>
      </c>
    </row>
    <row r="21" spans="1:6" ht="12.75">
      <c r="A21" s="8" t="s">
        <v>80</v>
      </c>
      <c r="B21">
        <f>'North Pod Roof Columns'!D21+((30*600)/1000)+(('North Pod Column Loads'!B21)*3)</f>
        <v>133.88</v>
      </c>
      <c r="C21">
        <v>144</v>
      </c>
      <c r="D21">
        <f t="shared" si="3"/>
        <v>-5.693462897526501</v>
      </c>
      <c r="E21">
        <f t="shared" si="1"/>
        <v>1.44</v>
      </c>
      <c r="F21" s="10">
        <f t="shared" si="2"/>
        <v>1.44</v>
      </c>
    </row>
    <row r="22" spans="1:6" ht="12.75">
      <c r="A22" s="8" t="s">
        <v>81</v>
      </c>
      <c r="B22">
        <f>'North Pod Roof Columns'!D22+((30*600)/1000)+(('North Pod Column Loads'!B22)*3)</f>
        <v>222.76</v>
      </c>
      <c r="C22">
        <v>144</v>
      </c>
      <c r="D22">
        <f t="shared" si="3"/>
        <v>-3.730565371024735</v>
      </c>
      <c r="E22">
        <f t="shared" si="1"/>
        <v>1.44</v>
      </c>
      <c r="F22" s="10">
        <f t="shared" si="2"/>
        <v>1.44</v>
      </c>
    </row>
    <row r="23" spans="1:6" ht="12.75">
      <c r="A23" s="8" t="s">
        <v>82</v>
      </c>
      <c r="B23">
        <f>'North Pod Roof Columns'!D23+((30*600)/1000)+(('North Pod Column Loads'!B23)*3)</f>
        <v>133.88</v>
      </c>
      <c r="C23">
        <v>144</v>
      </c>
      <c r="D23">
        <f t="shared" si="3"/>
        <v>-5.693462897526501</v>
      </c>
      <c r="E23">
        <f t="shared" si="1"/>
        <v>1.44</v>
      </c>
      <c r="F23" s="10">
        <f t="shared" si="2"/>
        <v>1.44</v>
      </c>
    </row>
    <row r="24" spans="1:6" ht="12.75">
      <c r="A24" s="8" t="s">
        <v>83</v>
      </c>
      <c r="B24">
        <f>'North Pod Roof Columns'!D24+((30*600)/1000)+(('North Pod Column Loads'!B24)*3)</f>
        <v>425.57000000000005</v>
      </c>
      <c r="C24">
        <v>144</v>
      </c>
      <c r="D24">
        <f t="shared" si="3"/>
        <v>0.7484540636042403</v>
      </c>
      <c r="E24">
        <f t="shared" si="1"/>
        <v>1.44</v>
      </c>
      <c r="F24" s="10">
        <f t="shared" si="2"/>
        <v>1.44</v>
      </c>
    </row>
    <row r="25" spans="1:6" ht="12.75">
      <c r="A25" s="8" t="s">
        <v>84</v>
      </c>
      <c r="B25">
        <f>'North Pod Roof Columns'!D25+((30*600)/1000)+(('North Pod Column Loads'!B25)*3)</f>
        <v>455.40999999999997</v>
      </c>
      <c r="C25">
        <v>144</v>
      </c>
      <c r="D25">
        <f t="shared" si="3"/>
        <v>1.407464664310952</v>
      </c>
      <c r="E25">
        <f t="shared" si="1"/>
        <v>1.44</v>
      </c>
      <c r="F25" s="10">
        <f t="shared" si="2"/>
        <v>1.44</v>
      </c>
    </row>
    <row r="26" spans="1:6" ht="12.75">
      <c r="A26" s="9" t="s">
        <v>27</v>
      </c>
      <c r="B26" s="10">
        <f>'Middle Pod Roof Columns'!D2+((30*600)/1000)+(('Middle Pod Column Loads'!D2)*3)</f>
        <v>350.45</v>
      </c>
      <c r="C26">
        <v>144</v>
      </c>
      <c r="D26">
        <f t="shared" si="3"/>
        <v>-0.9105565371024735</v>
      </c>
      <c r="E26">
        <f t="shared" si="1"/>
        <v>1.44</v>
      </c>
      <c r="F26" s="10">
        <f t="shared" si="2"/>
        <v>1.44</v>
      </c>
    </row>
    <row r="27" spans="1:6" ht="12.75">
      <c r="A27" s="9" t="s">
        <v>28</v>
      </c>
      <c r="B27" s="10">
        <f>'Middle Pod Roof Columns'!D3+((30*600)/1000)+(('Middle Pod Column Loads'!D3)*3)</f>
        <v>533.9300000000001</v>
      </c>
      <c r="C27">
        <v>144</v>
      </c>
      <c r="D27">
        <f t="shared" si="3"/>
        <v>3.1415636042402846</v>
      </c>
      <c r="E27">
        <f t="shared" si="1"/>
        <v>1.44</v>
      </c>
      <c r="F27" s="10">
        <f t="shared" si="2"/>
        <v>3.1415636042402846</v>
      </c>
    </row>
    <row r="28" spans="1:6" ht="12.75">
      <c r="A28" s="9" t="s">
        <v>29</v>
      </c>
      <c r="B28" s="10">
        <f>'Middle Pod Roof Columns'!D4+((30*600)/1000)+(('Middle Pod Column Loads'!D4)*3)</f>
        <v>221.1</v>
      </c>
      <c r="C28">
        <v>144</v>
      </c>
      <c r="D28">
        <f t="shared" si="3"/>
        <v>-3.767226148409894</v>
      </c>
      <c r="E28">
        <f t="shared" si="1"/>
        <v>1.44</v>
      </c>
      <c r="F28" s="10">
        <f t="shared" si="2"/>
        <v>1.44</v>
      </c>
    </row>
    <row r="29" spans="1:6" ht="12.75">
      <c r="A29" s="9" t="s">
        <v>30</v>
      </c>
      <c r="B29" s="10">
        <f>'Middle Pod Roof Columns'!D5+((30*600)/1000)+(('Middle Pod Column Loads'!D5)*3)</f>
        <v>416.41</v>
      </c>
      <c r="C29">
        <v>144</v>
      </c>
      <c r="D29">
        <f t="shared" si="3"/>
        <v>0.5461572438162544</v>
      </c>
      <c r="E29">
        <f t="shared" si="1"/>
        <v>1.44</v>
      </c>
      <c r="F29" s="10">
        <f t="shared" si="2"/>
        <v>1.44</v>
      </c>
    </row>
    <row r="30" spans="1:6" ht="12.75">
      <c r="A30" s="9" t="s">
        <v>31</v>
      </c>
      <c r="B30" s="10">
        <f>'Middle Pod Roof Columns'!D6+((30*600)/1000)+(('Middle Pod Column Loads'!D6)*3)</f>
        <v>495.57</v>
      </c>
      <c r="C30">
        <v>144</v>
      </c>
      <c r="D30">
        <f t="shared" si="3"/>
        <v>2.2943904593639575</v>
      </c>
      <c r="E30">
        <f t="shared" si="1"/>
        <v>1.44</v>
      </c>
      <c r="F30" s="10">
        <f t="shared" si="2"/>
        <v>2.2943904593639575</v>
      </c>
    </row>
    <row r="31" spans="1:6" ht="12.75">
      <c r="A31" s="9" t="s">
        <v>32</v>
      </c>
      <c r="B31" s="10">
        <f>'Middle Pod Roof Columns'!D7+((30*600)/1000)+(('Middle Pod Column Loads'!D7)*3)</f>
        <v>323.82</v>
      </c>
      <c r="C31">
        <v>144</v>
      </c>
      <c r="D31">
        <f t="shared" si="3"/>
        <v>-1.4986749116607774</v>
      </c>
      <c r="E31">
        <f t="shared" si="1"/>
        <v>1.44</v>
      </c>
      <c r="F31" s="10">
        <f t="shared" si="2"/>
        <v>1.44</v>
      </c>
    </row>
    <row r="32" spans="1:6" ht="12.75">
      <c r="A32" s="9" t="s">
        <v>33</v>
      </c>
      <c r="B32" s="10">
        <f>'Middle Pod Roof Columns'!D8+((30*600)/1000)+(('Middle Pod Column Loads'!D8)*3)</f>
        <v>420.79</v>
      </c>
      <c r="C32">
        <v>144</v>
      </c>
      <c r="D32">
        <f t="shared" si="3"/>
        <v>0.6428886925795053</v>
      </c>
      <c r="E32">
        <f t="shared" si="1"/>
        <v>1.44</v>
      </c>
      <c r="F32" s="10">
        <f t="shared" si="2"/>
        <v>1.44</v>
      </c>
    </row>
    <row r="33" spans="1:6" ht="12.75">
      <c r="A33" s="9" t="s">
        <v>34</v>
      </c>
      <c r="B33" s="10">
        <f>'Middle Pod Roof Columns'!D9+((30*600)/1000)+(('Middle Pod Column Loads'!D9)*3)</f>
        <v>522.94</v>
      </c>
      <c r="C33">
        <v>144</v>
      </c>
      <c r="D33">
        <f t="shared" si="3"/>
        <v>2.8988515901060072</v>
      </c>
      <c r="E33">
        <f t="shared" si="1"/>
        <v>1.44</v>
      </c>
      <c r="F33" s="10">
        <f t="shared" si="2"/>
        <v>2.8988515901060072</v>
      </c>
    </row>
    <row r="34" spans="1:6" ht="12.75">
      <c r="A34" s="9" t="s">
        <v>35</v>
      </c>
      <c r="B34" s="10">
        <f>'Middle Pod Roof Columns'!D10+((30*600)/1000)+(('Middle Pod Column Loads'!D10)*3)</f>
        <v>340.82</v>
      </c>
      <c r="C34">
        <v>144</v>
      </c>
      <c r="D34">
        <f t="shared" si="3"/>
        <v>-1.1232332155477032</v>
      </c>
      <c r="E34">
        <f aca="true" t="shared" si="4" ref="E34:E50">0.01*C34</f>
        <v>1.44</v>
      </c>
      <c r="F34" s="10">
        <f aca="true" t="shared" si="5" ref="F34:F50">MAX(D34:E34)</f>
        <v>1.44</v>
      </c>
    </row>
    <row r="35" spans="1:6" ht="12.75">
      <c r="A35" s="9" t="s">
        <v>36</v>
      </c>
      <c r="B35" s="10">
        <f>'Middle Pod Roof Columns'!D11+((30*600)/1000)+(('Middle Pod Column Loads'!D11)*3)</f>
        <v>398.24</v>
      </c>
      <c r="C35">
        <v>144</v>
      </c>
      <c r="D35">
        <f t="shared" si="3"/>
        <v>0.14487632508833923</v>
      </c>
      <c r="E35">
        <f t="shared" si="4"/>
        <v>1.44</v>
      </c>
      <c r="F35" s="10">
        <f t="shared" si="5"/>
        <v>1.44</v>
      </c>
    </row>
    <row r="36" spans="1:6" ht="12.75">
      <c r="A36" s="9" t="s">
        <v>37</v>
      </c>
      <c r="B36" s="10">
        <f>'Middle Pod Roof Columns'!D12+((30*600)/1000)+(('Middle Pod Column Loads'!D12)*3)</f>
        <v>705.58</v>
      </c>
      <c r="C36">
        <f>16*16</f>
        <v>256</v>
      </c>
      <c r="D36">
        <f>(((B36*1000)/0.8)-870400)/56600</f>
        <v>0.2045053003533569</v>
      </c>
      <c r="E36">
        <f t="shared" si="4"/>
        <v>2.56</v>
      </c>
      <c r="F36" s="10">
        <f t="shared" si="5"/>
        <v>2.56</v>
      </c>
    </row>
    <row r="37" spans="1:6" ht="12.75">
      <c r="A37" s="9" t="s">
        <v>38</v>
      </c>
      <c r="B37" s="10">
        <f>'Middle Pod Roof Columns'!D13+((30*600)/1000)+(('Middle Pod Column Loads'!D13)*3)</f>
        <v>332.22</v>
      </c>
      <c r="C37">
        <v>144</v>
      </c>
      <c r="D37">
        <f aca="true" t="shared" si="6" ref="D37:D50">(((B37*1000)/0.8)-489600)/56600</f>
        <v>-1.3131625441696113</v>
      </c>
      <c r="E37">
        <f t="shared" si="4"/>
        <v>1.44</v>
      </c>
      <c r="F37" s="10">
        <f t="shared" si="5"/>
        <v>1.44</v>
      </c>
    </row>
    <row r="38" spans="1:6" ht="12.75">
      <c r="A38" s="9" t="s">
        <v>39</v>
      </c>
      <c r="B38" s="10">
        <f>'Middle Pod Roof Columns'!D14+((30*600)/1000)+(('Middle Pod Column Loads'!D14)*3)</f>
        <v>420.79</v>
      </c>
      <c r="C38">
        <v>144</v>
      </c>
      <c r="D38">
        <f t="shared" si="6"/>
        <v>0.6428886925795053</v>
      </c>
      <c r="E38">
        <f t="shared" si="4"/>
        <v>1.44</v>
      </c>
      <c r="F38" s="10">
        <f t="shared" si="5"/>
        <v>1.44</v>
      </c>
    </row>
    <row r="39" spans="1:6" ht="12.75">
      <c r="A39" s="9" t="s">
        <v>40</v>
      </c>
      <c r="B39" s="10">
        <f>'Middle Pod Roof Columns'!D15+((30*600)/1000)+(('Middle Pod Column Loads'!D15)*3)</f>
        <v>522.94</v>
      </c>
      <c r="C39">
        <v>144</v>
      </c>
      <c r="D39">
        <f t="shared" si="6"/>
        <v>2.8988515901060072</v>
      </c>
      <c r="E39">
        <f t="shared" si="4"/>
        <v>1.44</v>
      </c>
      <c r="F39" s="10">
        <f t="shared" si="5"/>
        <v>2.8988515901060072</v>
      </c>
    </row>
    <row r="40" spans="1:6" ht="12.75">
      <c r="A40" s="9" t="s">
        <v>41</v>
      </c>
      <c r="B40" s="10">
        <f>'Middle Pod Roof Columns'!D16+((30*600)/1000)+(('Middle Pod Column Loads'!D16)*3)</f>
        <v>340.82</v>
      </c>
      <c r="C40">
        <v>144</v>
      </c>
      <c r="D40">
        <f t="shared" si="6"/>
        <v>-1.1232332155477032</v>
      </c>
      <c r="E40">
        <f t="shared" si="4"/>
        <v>1.44</v>
      </c>
      <c r="F40" s="10">
        <f t="shared" si="5"/>
        <v>1.44</v>
      </c>
    </row>
    <row r="41" spans="1:6" ht="12.75">
      <c r="A41" s="9" t="s">
        <v>42</v>
      </c>
      <c r="B41" s="10">
        <f>'Middle Pod Roof Columns'!D17+((30*600)/1000)+(('Middle Pod Column Loads'!D17)*3)</f>
        <v>416.41</v>
      </c>
      <c r="C41">
        <v>144</v>
      </c>
      <c r="D41">
        <f t="shared" si="6"/>
        <v>0.5461572438162544</v>
      </c>
      <c r="E41">
        <f t="shared" si="4"/>
        <v>1.44</v>
      </c>
      <c r="F41" s="10">
        <f t="shared" si="5"/>
        <v>1.44</v>
      </c>
    </row>
    <row r="42" spans="1:6" ht="12.75">
      <c r="A42" s="9" t="s">
        <v>43</v>
      </c>
      <c r="B42" s="10">
        <f>'Middle Pod Roof Columns'!D18+((30*600)/1000)+(('Middle Pod Column Loads'!D18)*3)</f>
        <v>495.57</v>
      </c>
      <c r="C42">
        <v>144</v>
      </c>
      <c r="D42">
        <f t="shared" si="6"/>
        <v>2.2943904593639575</v>
      </c>
      <c r="E42">
        <f t="shared" si="4"/>
        <v>1.44</v>
      </c>
      <c r="F42" s="10">
        <f t="shared" si="5"/>
        <v>2.2943904593639575</v>
      </c>
    </row>
    <row r="43" spans="1:6" ht="12.75">
      <c r="A43" s="9" t="s">
        <v>44</v>
      </c>
      <c r="B43" s="10">
        <f>'Middle Pod Roof Columns'!D19+((30*600)/1000)+(('Middle Pod Column Loads'!D19)*3)</f>
        <v>323.82</v>
      </c>
      <c r="C43">
        <v>144</v>
      </c>
      <c r="D43">
        <f t="shared" si="6"/>
        <v>-1.4986749116607774</v>
      </c>
      <c r="E43">
        <f t="shared" si="4"/>
        <v>1.44</v>
      </c>
      <c r="F43" s="10">
        <f t="shared" si="5"/>
        <v>1.44</v>
      </c>
    </row>
    <row r="44" spans="1:6" ht="12.75">
      <c r="A44" s="9" t="s">
        <v>45</v>
      </c>
      <c r="B44" s="10">
        <f>'Middle Pod Roof Columns'!D20+((30*600)/1000)+(('Middle Pod Column Loads'!D20)*3)</f>
        <v>350.44999999999993</v>
      </c>
      <c r="C44">
        <v>144</v>
      </c>
      <c r="D44">
        <f t="shared" si="6"/>
        <v>-0.9105565371024755</v>
      </c>
      <c r="E44">
        <f t="shared" si="4"/>
        <v>1.44</v>
      </c>
      <c r="F44" s="10">
        <f t="shared" si="5"/>
        <v>1.44</v>
      </c>
    </row>
    <row r="45" spans="1:6" ht="12.75">
      <c r="A45" s="9" t="s">
        <v>46</v>
      </c>
      <c r="B45" s="10">
        <f>'Middle Pod Roof Columns'!D21+((30*600)/1000)+(('Middle Pod Column Loads'!D21)*3)</f>
        <v>533.9300000000001</v>
      </c>
      <c r="C45">
        <v>144</v>
      </c>
      <c r="D45">
        <f t="shared" si="6"/>
        <v>3.1415636042402846</v>
      </c>
      <c r="E45">
        <f t="shared" si="4"/>
        <v>1.44</v>
      </c>
      <c r="F45" s="10">
        <f t="shared" si="5"/>
        <v>3.1415636042402846</v>
      </c>
    </row>
    <row r="46" spans="1:6" ht="12.75">
      <c r="A46" s="9" t="s">
        <v>47</v>
      </c>
      <c r="B46" s="10">
        <f>'Middle Pod Roof Columns'!D22+((30*600)/1000)+(('Middle Pod Column Loads'!D22)*3)</f>
        <v>221.1</v>
      </c>
      <c r="C46">
        <v>144</v>
      </c>
      <c r="D46">
        <f t="shared" si="6"/>
        <v>-3.767226148409894</v>
      </c>
      <c r="E46">
        <f t="shared" si="4"/>
        <v>1.44</v>
      </c>
      <c r="F46" s="10">
        <f t="shared" si="5"/>
        <v>1.44</v>
      </c>
    </row>
    <row r="47" spans="1:6" ht="12.75">
      <c r="A47" s="9" t="s">
        <v>57</v>
      </c>
      <c r="B47">
        <f>(4*('S Floor 5'!B26))+((30*600)/1000)</f>
        <v>296.8</v>
      </c>
      <c r="C47">
        <v>144</v>
      </c>
      <c r="D47">
        <f t="shared" si="6"/>
        <v>-2.095406360424028</v>
      </c>
      <c r="E47">
        <f t="shared" si="4"/>
        <v>1.44</v>
      </c>
      <c r="F47" s="10">
        <f t="shared" si="5"/>
        <v>1.44</v>
      </c>
    </row>
    <row r="48" spans="1:6" ht="12.75">
      <c r="A48" s="9" t="s">
        <v>58</v>
      </c>
      <c r="B48">
        <f>(4*('S Floor 5'!B27))+((30*600)/1000)</f>
        <v>296.8</v>
      </c>
      <c r="C48">
        <v>144</v>
      </c>
      <c r="D48">
        <f t="shared" si="6"/>
        <v>-2.095406360424028</v>
      </c>
      <c r="E48">
        <f t="shared" si="4"/>
        <v>1.44</v>
      </c>
      <c r="F48" s="10">
        <f t="shared" si="5"/>
        <v>1.44</v>
      </c>
    </row>
    <row r="49" spans="1:6" ht="12.75">
      <c r="A49" s="9" t="s">
        <v>59</v>
      </c>
      <c r="B49">
        <f>(4*('S Floor 5'!B28))+((30*600)/1000)</f>
        <v>160.36</v>
      </c>
      <c r="C49">
        <v>144</v>
      </c>
      <c r="D49">
        <f t="shared" si="6"/>
        <v>-5.108657243816254</v>
      </c>
      <c r="E49">
        <f t="shared" si="4"/>
        <v>1.44</v>
      </c>
      <c r="F49" s="10">
        <f t="shared" si="5"/>
        <v>1.44</v>
      </c>
    </row>
    <row r="50" spans="1:6" ht="12.75">
      <c r="A50" s="9" t="s">
        <v>60</v>
      </c>
      <c r="B50">
        <f>(4*('S Floor 5'!B29))+((30*600)/1000)</f>
        <v>160.36</v>
      </c>
      <c r="C50">
        <v>144</v>
      </c>
      <c r="D50">
        <f t="shared" si="6"/>
        <v>-5.108657243816254</v>
      </c>
      <c r="E50">
        <f t="shared" si="4"/>
        <v>1.44</v>
      </c>
      <c r="F50" s="10">
        <f t="shared" si="5"/>
        <v>1.44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selection activeCell="F2" sqref="F2:F50"/>
    </sheetView>
  </sheetViews>
  <sheetFormatPr defaultColWidth="11.00390625" defaultRowHeight="12.75"/>
  <sheetData>
    <row r="1" spans="1:6" ht="12.75">
      <c r="A1" t="s">
        <v>49</v>
      </c>
      <c r="B1" t="s">
        <v>50</v>
      </c>
      <c r="C1" t="s">
        <v>51</v>
      </c>
      <c r="D1" t="s">
        <v>52</v>
      </c>
      <c r="E1" t="s">
        <v>53</v>
      </c>
      <c r="F1" t="s">
        <v>54</v>
      </c>
    </row>
    <row r="2" spans="1:6" ht="12.75">
      <c r="A2" s="8" t="s">
        <v>61</v>
      </c>
      <c r="B2">
        <f>'North Pod Roof Columns'!D2+((20*600)/1000)+(('North Pod Column Loads'!B2)*2)</f>
        <v>96.58</v>
      </c>
      <c r="C2">
        <v>144</v>
      </c>
      <c r="D2">
        <f aca="true" t="shared" si="0" ref="D2:D33">(((B2*1000)/0.8)-489600)/56600</f>
        <v>-6.517226148409894</v>
      </c>
      <c r="E2">
        <f aca="true" t="shared" si="1" ref="E2:E33">0.01*C2</f>
        <v>1.44</v>
      </c>
      <c r="F2" s="10">
        <f aca="true" t="shared" si="2" ref="F2:F33">MAX(D2:E2)</f>
        <v>1.44</v>
      </c>
    </row>
    <row r="3" spans="1:6" ht="12.75">
      <c r="A3" s="8" t="s">
        <v>62</v>
      </c>
      <c r="B3">
        <f>'North Pod Roof Columns'!D3+((20*600)/1000)+(('North Pod Column Loads'!B3)*2)</f>
        <v>162.82</v>
      </c>
      <c r="C3">
        <v>144</v>
      </c>
      <c r="D3">
        <f t="shared" si="0"/>
        <v>-5.054328621908128</v>
      </c>
      <c r="E3">
        <f t="shared" si="1"/>
        <v>1.44</v>
      </c>
      <c r="F3" s="10">
        <f t="shared" si="2"/>
        <v>1.44</v>
      </c>
    </row>
    <row r="4" spans="1:6" ht="12.75">
      <c r="A4" s="8" t="s">
        <v>63</v>
      </c>
      <c r="B4">
        <f>'North Pod Roof Columns'!D4+((20*600)/1000)+(('North Pod Column Loads'!B4)*2)</f>
        <v>96.58000000000001</v>
      </c>
      <c r="C4">
        <v>144</v>
      </c>
      <c r="D4">
        <f t="shared" si="0"/>
        <v>-6.517226148409894</v>
      </c>
      <c r="E4">
        <f t="shared" si="1"/>
        <v>1.44</v>
      </c>
      <c r="F4" s="10">
        <f t="shared" si="2"/>
        <v>1.44</v>
      </c>
    </row>
    <row r="5" spans="1:6" ht="12.75">
      <c r="A5" s="8" t="s">
        <v>64</v>
      </c>
      <c r="B5">
        <f>'North Pod Roof Columns'!D5+((20*600)/1000)+(('North Pod Column Loads'!B5)*2)</f>
        <v>178.37</v>
      </c>
      <c r="C5">
        <v>144</v>
      </c>
      <c r="D5">
        <f t="shared" si="0"/>
        <v>-4.710909893992933</v>
      </c>
      <c r="E5">
        <f t="shared" si="1"/>
        <v>1.44</v>
      </c>
      <c r="F5" s="10">
        <f t="shared" si="2"/>
        <v>1.44</v>
      </c>
    </row>
    <row r="6" spans="1:6" ht="12.75">
      <c r="A6" s="8" t="s">
        <v>65</v>
      </c>
      <c r="B6">
        <f>'North Pod Roof Columns'!D6+((20*600)/1000)+(('North Pod Column Loads'!B6)*2)</f>
        <v>188.9</v>
      </c>
      <c r="C6">
        <v>144</v>
      </c>
      <c r="D6">
        <f t="shared" si="0"/>
        <v>-4.478356890459364</v>
      </c>
      <c r="E6">
        <f t="shared" si="1"/>
        <v>1.44</v>
      </c>
      <c r="F6" s="10">
        <f t="shared" si="2"/>
        <v>1.44</v>
      </c>
    </row>
    <row r="7" spans="1:6" ht="12.75">
      <c r="A7" s="8" t="s">
        <v>66</v>
      </c>
      <c r="B7">
        <f>'North Pod Roof Columns'!D7+((20*600)/1000)+(('North Pod Column Loads'!B7)*2)</f>
        <v>272.98</v>
      </c>
      <c r="C7">
        <v>144</v>
      </c>
      <c r="D7">
        <f t="shared" si="0"/>
        <v>-2.6214664310954063</v>
      </c>
      <c r="E7">
        <f t="shared" si="1"/>
        <v>1.44</v>
      </c>
      <c r="F7" s="10">
        <f t="shared" si="2"/>
        <v>1.44</v>
      </c>
    </row>
    <row r="8" spans="1:6" ht="12.75">
      <c r="A8" s="8" t="s">
        <v>67</v>
      </c>
      <c r="B8">
        <f>'North Pod Roof Columns'!D8+((20*600)/1000)+(('North Pod Column Loads'!B8)*2)</f>
        <v>455.93</v>
      </c>
      <c r="C8">
        <v>144</v>
      </c>
      <c r="D8">
        <f t="shared" si="0"/>
        <v>1.4189487632508835</v>
      </c>
      <c r="E8">
        <f t="shared" si="1"/>
        <v>1.44</v>
      </c>
      <c r="F8" s="10">
        <f t="shared" si="2"/>
        <v>1.44</v>
      </c>
    </row>
    <row r="9" spans="1:6" ht="12.75">
      <c r="A9" s="8" t="s">
        <v>68</v>
      </c>
      <c r="B9">
        <f>'North Pod Roof Columns'!D9+((20*600)/1000)+(('North Pod Column Loads'!B9)*2)</f>
        <v>270.85</v>
      </c>
      <c r="C9">
        <v>144</v>
      </c>
      <c r="D9">
        <f t="shared" si="0"/>
        <v>-2.668507067137809</v>
      </c>
      <c r="E9">
        <f t="shared" si="1"/>
        <v>1.44</v>
      </c>
      <c r="F9" s="10">
        <f t="shared" si="2"/>
        <v>1.44</v>
      </c>
    </row>
    <row r="10" spans="1:6" ht="12.75">
      <c r="A10" s="8" t="s">
        <v>69</v>
      </c>
      <c r="B10">
        <f>'North Pod Roof Columns'!D10+((20*600)/1000)+(('North Pod Column Loads'!B10)*2)</f>
        <v>392.43</v>
      </c>
      <c r="C10">
        <v>144</v>
      </c>
      <c r="D10">
        <f t="shared" si="0"/>
        <v>0.016563604240282685</v>
      </c>
      <c r="E10">
        <f t="shared" si="1"/>
        <v>1.44</v>
      </c>
      <c r="F10" s="10">
        <f t="shared" si="2"/>
        <v>1.44</v>
      </c>
    </row>
    <row r="11" spans="1:6" ht="12.75">
      <c r="A11" s="8" t="s">
        <v>70</v>
      </c>
      <c r="B11">
        <f>'North Pod Roof Columns'!D11+((20*600)/1000)+(('North Pod Column Loads'!B11)*2)</f>
        <v>337.6</v>
      </c>
      <c r="C11">
        <v>144</v>
      </c>
      <c r="D11">
        <f t="shared" si="0"/>
        <v>-1.1943462897526502</v>
      </c>
      <c r="E11">
        <f t="shared" si="1"/>
        <v>1.44</v>
      </c>
      <c r="F11" s="10">
        <f t="shared" si="2"/>
        <v>1.44</v>
      </c>
    </row>
    <row r="12" spans="1:6" ht="12.75">
      <c r="A12" s="8" t="s">
        <v>71</v>
      </c>
      <c r="B12">
        <f>'North Pod Roof Columns'!D12+((20*600)/1000)+(('North Pod Column Loads'!B12)*2)</f>
        <v>323.76</v>
      </c>
      <c r="C12">
        <v>144</v>
      </c>
      <c r="D12">
        <f t="shared" si="0"/>
        <v>-1.5</v>
      </c>
      <c r="E12">
        <f t="shared" si="1"/>
        <v>1.44</v>
      </c>
      <c r="F12" s="10">
        <f t="shared" si="2"/>
        <v>1.44</v>
      </c>
    </row>
    <row r="13" spans="1:6" ht="12.75">
      <c r="A13" s="8" t="s">
        <v>72</v>
      </c>
      <c r="B13">
        <f>'North Pod Roof Columns'!D13+((20*600)/1000)+(('North Pod Column Loads'!B13)*2)</f>
        <v>475.9</v>
      </c>
      <c r="C13">
        <v>144</v>
      </c>
      <c r="D13">
        <f t="shared" si="0"/>
        <v>1.859982332155477</v>
      </c>
      <c r="E13">
        <f t="shared" si="1"/>
        <v>1.44</v>
      </c>
      <c r="F13" s="10">
        <f t="shared" si="2"/>
        <v>1.859982332155477</v>
      </c>
    </row>
    <row r="14" spans="1:6" ht="12.75">
      <c r="A14" s="8" t="s">
        <v>73</v>
      </c>
      <c r="B14">
        <f>'North Pod Roof Columns'!D14+((20*600)/1000)+(('North Pod Column Loads'!B14)*2)</f>
        <v>364.96000000000004</v>
      </c>
      <c r="C14">
        <v>144</v>
      </c>
      <c r="D14">
        <f t="shared" si="0"/>
        <v>-0.5901060070671368</v>
      </c>
      <c r="E14">
        <f t="shared" si="1"/>
        <v>1.44</v>
      </c>
      <c r="F14" s="10">
        <f t="shared" si="2"/>
        <v>1.44</v>
      </c>
    </row>
    <row r="15" spans="1:6" ht="12.75">
      <c r="A15" s="8" t="s">
        <v>74</v>
      </c>
      <c r="B15">
        <f>'North Pod Roof Columns'!D15+((20*600)/1000)+(('North Pod Column Loads'!B15)*2)</f>
        <v>222.4</v>
      </c>
      <c r="C15">
        <v>144</v>
      </c>
      <c r="D15">
        <f t="shared" si="0"/>
        <v>-3.7385159010600706</v>
      </c>
      <c r="E15">
        <f t="shared" si="1"/>
        <v>1.44</v>
      </c>
      <c r="F15" s="10">
        <f t="shared" si="2"/>
        <v>1.44</v>
      </c>
    </row>
    <row r="16" spans="1:6" ht="12.75">
      <c r="A16" s="8" t="s">
        <v>75</v>
      </c>
      <c r="B16">
        <f>'North Pod Roof Columns'!D16+((20*600)/1000)+(('North Pod Column Loads'!B16)*2)</f>
        <v>385.28</v>
      </c>
      <c r="C16">
        <v>144</v>
      </c>
      <c r="D16">
        <f t="shared" si="0"/>
        <v>-0.1413427561837456</v>
      </c>
      <c r="E16">
        <f t="shared" si="1"/>
        <v>1.44</v>
      </c>
      <c r="F16" s="10">
        <f t="shared" si="2"/>
        <v>1.44</v>
      </c>
    </row>
    <row r="17" spans="1:6" ht="12.75">
      <c r="A17" s="8" t="s">
        <v>76</v>
      </c>
      <c r="B17">
        <f>'North Pod Roof Columns'!D17+((20*600)/1000)+(('North Pod Column Loads'!B17)*2)</f>
        <v>270.96</v>
      </c>
      <c r="C17">
        <v>144</v>
      </c>
      <c r="D17">
        <f t="shared" si="0"/>
        <v>-2.666077738515901</v>
      </c>
      <c r="E17">
        <f t="shared" si="1"/>
        <v>1.44</v>
      </c>
      <c r="F17" s="10">
        <f t="shared" si="2"/>
        <v>1.44</v>
      </c>
    </row>
    <row r="18" spans="1:6" ht="12.75">
      <c r="A18" s="8" t="s">
        <v>77</v>
      </c>
      <c r="B18">
        <f>'North Pod Roof Columns'!D18+((20*600)/1000)+(('North Pod Column Loads'!B18)*2)</f>
        <v>431.97</v>
      </c>
      <c r="C18">
        <v>144</v>
      </c>
      <c r="D18">
        <f t="shared" si="0"/>
        <v>0.8897968197879859</v>
      </c>
      <c r="E18">
        <f t="shared" si="1"/>
        <v>1.44</v>
      </c>
      <c r="F18" s="10">
        <f t="shared" si="2"/>
        <v>1.44</v>
      </c>
    </row>
    <row r="19" spans="1:6" ht="12.75">
      <c r="A19" s="8" t="s">
        <v>78</v>
      </c>
      <c r="B19">
        <f>'North Pod Roof Columns'!D19+((20*600)/1000)+(('North Pod Column Loads'!B19)*2)</f>
        <v>180.39</v>
      </c>
      <c r="C19">
        <v>144</v>
      </c>
      <c r="D19">
        <f t="shared" si="0"/>
        <v>-4.666298586572438</v>
      </c>
      <c r="E19">
        <f t="shared" si="1"/>
        <v>1.44</v>
      </c>
      <c r="F19" s="10">
        <f t="shared" si="2"/>
        <v>1.44</v>
      </c>
    </row>
    <row r="20" spans="1:6" ht="12.75">
      <c r="A20" s="8" t="s">
        <v>79</v>
      </c>
      <c r="B20">
        <f>'North Pod Roof Columns'!D20+((20*600)/1000)+(('North Pod Column Loads'!B20)*2)</f>
        <v>180.39</v>
      </c>
      <c r="C20">
        <v>144</v>
      </c>
      <c r="D20">
        <f t="shared" si="0"/>
        <v>-4.666298586572438</v>
      </c>
      <c r="E20">
        <f t="shared" si="1"/>
        <v>1.44</v>
      </c>
      <c r="F20" s="10">
        <f t="shared" si="2"/>
        <v>1.44</v>
      </c>
    </row>
    <row r="21" spans="1:6" ht="12.75">
      <c r="A21" s="8" t="s">
        <v>80</v>
      </c>
      <c r="B21">
        <f>'North Pod Roof Columns'!D21+((20*600)/1000)+(('North Pod Column Loads'!B21)*2)</f>
        <v>96.58000000000001</v>
      </c>
      <c r="C21">
        <v>144</v>
      </c>
      <c r="D21">
        <f t="shared" si="0"/>
        <v>-6.517226148409894</v>
      </c>
      <c r="E21">
        <f t="shared" si="1"/>
        <v>1.44</v>
      </c>
      <c r="F21" s="10">
        <f t="shared" si="2"/>
        <v>1.44</v>
      </c>
    </row>
    <row r="22" spans="1:6" ht="12.75">
      <c r="A22" s="8" t="s">
        <v>81</v>
      </c>
      <c r="B22">
        <f>'North Pod Roof Columns'!D22+((20*600)/1000)+(('North Pod Column Loads'!B22)*2)</f>
        <v>162.82</v>
      </c>
      <c r="C22">
        <v>144</v>
      </c>
      <c r="D22">
        <f t="shared" si="0"/>
        <v>-5.054328621908128</v>
      </c>
      <c r="E22">
        <f t="shared" si="1"/>
        <v>1.44</v>
      </c>
      <c r="F22" s="10">
        <f t="shared" si="2"/>
        <v>1.44</v>
      </c>
    </row>
    <row r="23" spans="1:6" ht="12.75">
      <c r="A23" s="8" t="s">
        <v>82</v>
      </c>
      <c r="B23">
        <f>'North Pod Roof Columns'!D23+((20*600)/1000)+(('North Pod Column Loads'!B23)*2)</f>
        <v>96.58000000000001</v>
      </c>
      <c r="C23">
        <v>144</v>
      </c>
      <c r="D23">
        <f t="shared" si="0"/>
        <v>-6.517226148409894</v>
      </c>
      <c r="E23">
        <f t="shared" si="1"/>
        <v>1.44</v>
      </c>
      <c r="F23" s="10">
        <f t="shared" si="2"/>
        <v>1.44</v>
      </c>
    </row>
    <row r="24" spans="1:6" ht="12.75">
      <c r="A24" s="8" t="s">
        <v>83</v>
      </c>
      <c r="B24">
        <f>'North Pod Roof Columns'!D24+((20*600)/1000)+(('North Pod Column Loads'!B24)*2)</f>
        <v>308.42</v>
      </c>
      <c r="C24">
        <v>144</v>
      </c>
      <c r="D24">
        <f t="shared" si="0"/>
        <v>-1.8387809187279152</v>
      </c>
      <c r="E24">
        <f t="shared" si="1"/>
        <v>1.44</v>
      </c>
      <c r="F24" s="10">
        <f t="shared" si="2"/>
        <v>1.44</v>
      </c>
    </row>
    <row r="25" spans="1:6" ht="12.75">
      <c r="A25" s="8" t="s">
        <v>84</v>
      </c>
      <c r="B25">
        <f>'North Pod Roof Columns'!D25+((20*600)/1000)+(('North Pod Column Loads'!B25)*2)</f>
        <v>330.8</v>
      </c>
      <c r="C25">
        <v>144</v>
      </c>
      <c r="D25">
        <f t="shared" si="0"/>
        <v>-1.3445229681978799</v>
      </c>
      <c r="E25">
        <f t="shared" si="1"/>
        <v>1.44</v>
      </c>
      <c r="F25" s="10">
        <f t="shared" si="2"/>
        <v>1.44</v>
      </c>
    </row>
    <row r="26" spans="1:6" ht="12.75">
      <c r="A26" s="9" t="s">
        <v>27</v>
      </c>
      <c r="B26" s="10">
        <f>'Middle Pod Roof Columns'!D2+((20*600)/1000)+(('Middle Pod Column Loads'!D2)*2)</f>
        <v>254.73000000000002</v>
      </c>
      <c r="C26">
        <v>144</v>
      </c>
      <c r="D26">
        <f t="shared" si="0"/>
        <v>-3.0245141342756185</v>
      </c>
      <c r="E26">
        <f t="shared" si="1"/>
        <v>1.44</v>
      </c>
      <c r="F26" s="10">
        <f t="shared" si="2"/>
        <v>1.44</v>
      </c>
    </row>
    <row r="27" spans="1:6" ht="12.75">
      <c r="A27" s="9" t="s">
        <v>28</v>
      </c>
      <c r="B27" s="10">
        <f>'Middle Pod Roof Columns'!D3+((20*600)/1000)+(('Middle Pod Column Loads'!D3)*2)</f>
        <v>398.28000000000003</v>
      </c>
      <c r="C27">
        <v>144</v>
      </c>
      <c r="D27">
        <f t="shared" si="0"/>
        <v>0.14575971731448867</v>
      </c>
      <c r="E27">
        <f t="shared" si="1"/>
        <v>1.44</v>
      </c>
      <c r="F27" s="10">
        <f t="shared" si="2"/>
        <v>1.44</v>
      </c>
    </row>
    <row r="28" spans="1:6" ht="12.75">
      <c r="A28" s="9" t="s">
        <v>29</v>
      </c>
      <c r="B28" s="10">
        <f>'Middle Pod Roof Columns'!D4+((20*600)/1000)+(('Middle Pod Column Loads'!D4)*2)</f>
        <v>170.93</v>
      </c>
      <c r="C28">
        <v>144</v>
      </c>
      <c r="D28">
        <f t="shared" si="0"/>
        <v>-4.875220848056537</v>
      </c>
      <c r="E28">
        <f t="shared" si="1"/>
        <v>1.44</v>
      </c>
      <c r="F28" s="10">
        <f t="shared" si="2"/>
        <v>1.44</v>
      </c>
    </row>
    <row r="29" spans="1:6" ht="12.75">
      <c r="A29" s="9" t="s">
        <v>30</v>
      </c>
      <c r="B29" s="10">
        <f>'Middle Pod Roof Columns'!D5+((20*600)/1000)+(('Middle Pod Column Loads'!D5)*2)</f>
        <v>312.6</v>
      </c>
      <c r="C29">
        <v>144</v>
      </c>
      <c r="D29">
        <f t="shared" si="0"/>
        <v>-1.7464664310954063</v>
      </c>
      <c r="E29">
        <f t="shared" si="1"/>
        <v>1.44</v>
      </c>
      <c r="F29" s="10">
        <f t="shared" si="2"/>
        <v>1.44</v>
      </c>
    </row>
    <row r="30" spans="1:6" ht="12.75">
      <c r="A30" s="9" t="s">
        <v>31</v>
      </c>
      <c r="B30" s="10">
        <f>'Middle Pod Roof Columns'!D6+((20*600)/1000)+(('Middle Pod Column Loads'!D6)*2)</f>
        <v>366.82</v>
      </c>
      <c r="C30">
        <v>144</v>
      </c>
      <c r="D30">
        <f t="shared" si="0"/>
        <v>-0.5490282685512368</v>
      </c>
      <c r="E30">
        <f t="shared" si="1"/>
        <v>1.44</v>
      </c>
      <c r="F30" s="10">
        <f t="shared" si="2"/>
        <v>1.44</v>
      </c>
    </row>
    <row r="31" spans="1:6" ht="12.75">
      <c r="A31" s="9" t="s">
        <v>32</v>
      </c>
      <c r="B31" s="10">
        <f>'Middle Pod Roof Columns'!D7+((20*600)/1000)+(('Middle Pod Column Loads'!D7)*2)</f>
        <v>241.49</v>
      </c>
      <c r="C31">
        <v>144</v>
      </c>
      <c r="D31">
        <f t="shared" si="0"/>
        <v>-3.316916961130742</v>
      </c>
      <c r="E31">
        <f t="shared" si="1"/>
        <v>1.44</v>
      </c>
      <c r="F31" s="10">
        <f t="shared" si="2"/>
        <v>1.44</v>
      </c>
    </row>
    <row r="32" spans="1:6" ht="12.75">
      <c r="A32" s="9" t="s">
        <v>33</v>
      </c>
      <c r="B32" s="10">
        <f>'Middle Pod Roof Columns'!D8+((20*600)/1000)+(('Middle Pod Column Loads'!D8)*2)</f>
        <v>315.65</v>
      </c>
      <c r="C32">
        <v>144</v>
      </c>
      <c r="D32">
        <f t="shared" si="0"/>
        <v>-1.67910777385159</v>
      </c>
      <c r="E32">
        <f t="shared" si="1"/>
        <v>1.44</v>
      </c>
      <c r="F32" s="10">
        <f t="shared" si="2"/>
        <v>1.44</v>
      </c>
    </row>
    <row r="33" spans="1:6" ht="12.75">
      <c r="A33" s="9" t="s">
        <v>34</v>
      </c>
      <c r="B33" s="10">
        <f>'Middle Pod Roof Columns'!D9+((20*600)/1000)+(('Middle Pod Column Loads'!D9)*2)</f>
        <v>397.40999999999997</v>
      </c>
      <c r="C33">
        <v>144</v>
      </c>
      <c r="D33">
        <f t="shared" si="0"/>
        <v>0.12654593639575765</v>
      </c>
      <c r="E33">
        <f t="shared" si="1"/>
        <v>1.44</v>
      </c>
      <c r="F33" s="10">
        <f t="shared" si="2"/>
        <v>1.44</v>
      </c>
    </row>
    <row r="34" spans="1:6" ht="12.75">
      <c r="A34" s="9" t="s">
        <v>35</v>
      </c>
      <c r="B34" s="10">
        <f>'Middle Pod Roof Columns'!D10+((20*600)/1000)+(('Middle Pod Column Loads'!D10)*2)</f>
        <v>254.71</v>
      </c>
      <c r="C34">
        <v>144</v>
      </c>
      <c r="D34">
        <f aca="true" t="shared" si="3" ref="D34:D50">(((B34*1000)/0.8)-489600)/56600</f>
        <v>-3.0249558303886928</v>
      </c>
      <c r="E34">
        <f aca="true" t="shared" si="4" ref="E34:E50">0.01*C34</f>
        <v>1.44</v>
      </c>
      <c r="F34" s="10">
        <f aca="true" t="shared" si="5" ref="F34:F50">MAX(D34:E34)</f>
        <v>1.44</v>
      </c>
    </row>
    <row r="35" spans="1:6" ht="12.75">
      <c r="A35" s="9" t="s">
        <v>36</v>
      </c>
      <c r="B35" s="10">
        <f>'Middle Pod Roof Columns'!D11+((20*600)/1000)+(('Middle Pod Column Loads'!D11)*2)</f>
        <v>297.56</v>
      </c>
      <c r="C35">
        <v>144</v>
      </c>
      <c r="D35">
        <f t="shared" si="3"/>
        <v>-2.0786219081272086</v>
      </c>
      <c r="E35">
        <f t="shared" si="4"/>
        <v>1.44</v>
      </c>
      <c r="F35" s="10">
        <f t="shared" si="5"/>
        <v>1.44</v>
      </c>
    </row>
    <row r="36" spans="1:6" ht="12.75">
      <c r="A36" s="9" t="s">
        <v>37</v>
      </c>
      <c r="B36" s="10">
        <f>'Middle Pod Roof Columns'!D12+((20*600)/1000)+(('Middle Pod Column Loads'!D12)*2)</f>
        <v>532.23</v>
      </c>
      <c r="C36">
        <v>144</v>
      </c>
      <c r="D36">
        <f t="shared" si="3"/>
        <v>3.104019434628975</v>
      </c>
      <c r="E36">
        <f t="shared" si="4"/>
        <v>1.44</v>
      </c>
      <c r="F36" s="10">
        <f t="shared" si="5"/>
        <v>3.104019434628975</v>
      </c>
    </row>
    <row r="37" spans="1:6" ht="12.75">
      <c r="A37" s="9" t="s">
        <v>38</v>
      </c>
      <c r="B37" s="10">
        <f>'Middle Pod Roof Columns'!D13+((20*600)/1000)+(('Middle Pod Column Loads'!D13)*2)</f>
        <v>247.39</v>
      </c>
      <c r="C37">
        <v>144</v>
      </c>
      <c r="D37">
        <f t="shared" si="3"/>
        <v>-3.1866166077738516</v>
      </c>
      <c r="E37">
        <f t="shared" si="4"/>
        <v>1.44</v>
      </c>
      <c r="F37" s="10">
        <f t="shared" si="5"/>
        <v>1.44</v>
      </c>
    </row>
    <row r="38" spans="1:6" ht="12.75">
      <c r="A38" s="9" t="s">
        <v>39</v>
      </c>
      <c r="B38" s="10">
        <f>'Middle Pod Roof Columns'!D14+((20*600)/1000)+(('Middle Pod Column Loads'!D14)*2)</f>
        <v>315.65</v>
      </c>
      <c r="C38">
        <v>144</v>
      </c>
      <c r="D38">
        <f t="shared" si="3"/>
        <v>-1.67910777385159</v>
      </c>
      <c r="E38">
        <f t="shared" si="4"/>
        <v>1.44</v>
      </c>
      <c r="F38" s="10">
        <f t="shared" si="5"/>
        <v>1.44</v>
      </c>
    </row>
    <row r="39" spans="1:6" ht="12.75">
      <c r="A39" s="9" t="s">
        <v>40</v>
      </c>
      <c r="B39" s="10">
        <f>'Middle Pod Roof Columns'!D15+((20*600)/1000)+(('Middle Pod Column Loads'!D15)*2)</f>
        <v>397.40999999999997</v>
      </c>
      <c r="C39">
        <v>144</v>
      </c>
      <c r="D39">
        <f t="shared" si="3"/>
        <v>0.12654593639575765</v>
      </c>
      <c r="E39">
        <f t="shared" si="4"/>
        <v>1.44</v>
      </c>
      <c r="F39" s="10">
        <f t="shared" si="5"/>
        <v>1.44</v>
      </c>
    </row>
    <row r="40" spans="1:6" ht="12.75">
      <c r="A40" s="9" t="s">
        <v>41</v>
      </c>
      <c r="B40" s="10">
        <f>'Middle Pod Roof Columns'!D16+((20*600)/1000)+(('Middle Pod Column Loads'!D16)*2)</f>
        <v>254.70999999999998</v>
      </c>
      <c r="C40">
        <v>144</v>
      </c>
      <c r="D40">
        <f t="shared" si="3"/>
        <v>-3.0249558303886936</v>
      </c>
      <c r="E40">
        <f t="shared" si="4"/>
        <v>1.44</v>
      </c>
      <c r="F40" s="10">
        <f t="shared" si="5"/>
        <v>1.44</v>
      </c>
    </row>
    <row r="41" spans="1:6" ht="12.75">
      <c r="A41" s="9" t="s">
        <v>42</v>
      </c>
      <c r="B41" s="10">
        <f>'Middle Pod Roof Columns'!D17+((20*600)/1000)+(('Middle Pod Column Loads'!D17)*2)</f>
        <v>312.6</v>
      </c>
      <c r="C41">
        <v>144</v>
      </c>
      <c r="D41">
        <f t="shared" si="3"/>
        <v>-1.7464664310954063</v>
      </c>
      <c r="E41">
        <f t="shared" si="4"/>
        <v>1.44</v>
      </c>
      <c r="F41" s="10">
        <f t="shared" si="5"/>
        <v>1.44</v>
      </c>
    </row>
    <row r="42" spans="1:6" ht="12.75">
      <c r="A42" s="9" t="s">
        <v>43</v>
      </c>
      <c r="B42" s="10">
        <f>'Middle Pod Roof Columns'!D18+((20*600)/1000)+(('Middle Pod Column Loads'!D18)*2)</f>
        <v>366.82</v>
      </c>
      <c r="C42">
        <v>144</v>
      </c>
      <c r="D42">
        <f t="shared" si="3"/>
        <v>-0.5490282685512368</v>
      </c>
      <c r="E42">
        <f t="shared" si="4"/>
        <v>1.44</v>
      </c>
      <c r="F42" s="10">
        <f t="shared" si="5"/>
        <v>1.44</v>
      </c>
    </row>
    <row r="43" spans="1:6" ht="12.75">
      <c r="A43" s="9" t="s">
        <v>44</v>
      </c>
      <c r="B43" s="10">
        <f>'Middle Pod Roof Columns'!D19+((20*600)/1000)+(('Middle Pod Column Loads'!D19)*2)</f>
        <v>241.49</v>
      </c>
      <c r="C43">
        <v>144</v>
      </c>
      <c r="D43">
        <f t="shared" si="3"/>
        <v>-3.316916961130742</v>
      </c>
      <c r="E43">
        <f t="shared" si="4"/>
        <v>1.44</v>
      </c>
      <c r="F43" s="10">
        <f t="shared" si="5"/>
        <v>1.44</v>
      </c>
    </row>
    <row r="44" spans="1:6" ht="12.75">
      <c r="A44" s="9" t="s">
        <v>45</v>
      </c>
      <c r="B44" s="10">
        <f>'Middle Pod Roof Columns'!D20+((20*600)/1000)+(('Middle Pod Column Loads'!D20)*2)</f>
        <v>254.73</v>
      </c>
      <c r="C44">
        <v>144</v>
      </c>
      <c r="D44">
        <f t="shared" si="3"/>
        <v>-3.0245141342756185</v>
      </c>
      <c r="E44">
        <f t="shared" si="4"/>
        <v>1.44</v>
      </c>
      <c r="F44" s="10">
        <f t="shared" si="5"/>
        <v>1.44</v>
      </c>
    </row>
    <row r="45" spans="1:6" ht="12.75">
      <c r="A45" s="9" t="s">
        <v>46</v>
      </c>
      <c r="B45" s="10">
        <f>'Middle Pod Roof Columns'!D21+((20*600)/1000)+(('Middle Pod Column Loads'!D21)*2)</f>
        <v>398.28000000000003</v>
      </c>
      <c r="C45">
        <v>144</v>
      </c>
      <c r="D45">
        <f t="shared" si="3"/>
        <v>0.14575971731448867</v>
      </c>
      <c r="E45">
        <f t="shared" si="4"/>
        <v>1.44</v>
      </c>
      <c r="F45" s="10">
        <f t="shared" si="5"/>
        <v>1.44</v>
      </c>
    </row>
    <row r="46" spans="1:6" ht="12.75">
      <c r="A46" s="9" t="s">
        <v>47</v>
      </c>
      <c r="B46" s="10">
        <f>'Middle Pod Roof Columns'!D22+((20*600)/1000)+(('Middle Pod Column Loads'!D22)*2)</f>
        <v>170.93</v>
      </c>
      <c r="C46">
        <v>144</v>
      </c>
      <c r="D46">
        <f t="shared" si="3"/>
        <v>-4.875220848056537</v>
      </c>
      <c r="E46">
        <f t="shared" si="4"/>
        <v>1.44</v>
      </c>
      <c r="F46" s="10">
        <f t="shared" si="5"/>
        <v>1.44</v>
      </c>
    </row>
    <row r="47" spans="1:6" ht="12.75">
      <c r="A47" s="9" t="s">
        <v>57</v>
      </c>
      <c r="B47">
        <f>(3*('S Floor 5'!B26))+((20*600)/1000)</f>
        <v>221.10000000000002</v>
      </c>
      <c r="C47">
        <v>144</v>
      </c>
      <c r="D47">
        <f t="shared" si="3"/>
        <v>-3.767226148409894</v>
      </c>
      <c r="E47">
        <f t="shared" si="4"/>
        <v>1.44</v>
      </c>
      <c r="F47" s="10">
        <f t="shared" si="5"/>
        <v>1.44</v>
      </c>
    </row>
    <row r="48" spans="1:6" ht="12.75">
      <c r="A48" s="9" t="s">
        <v>58</v>
      </c>
      <c r="B48">
        <f>(3*('S Floor 5'!B27))+((20*600)/1000)</f>
        <v>221.10000000000002</v>
      </c>
      <c r="C48">
        <v>144</v>
      </c>
      <c r="D48">
        <f t="shared" si="3"/>
        <v>-3.767226148409894</v>
      </c>
      <c r="E48">
        <f t="shared" si="4"/>
        <v>1.44</v>
      </c>
      <c r="F48" s="10">
        <f t="shared" si="5"/>
        <v>1.44</v>
      </c>
    </row>
    <row r="49" spans="1:6" ht="12.75">
      <c r="A49" s="9" t="s">
        <v>59</v>
      </c>
      <c r="B49">
        <f>(3*('S Floor 5'!B28))+((20*600)/1000)</f>
        <v>118.77000000000001</v>
      </c>
      <c r="C49">
        <v>144</v>
      </c>
      <c r="D49">
        <f t="shared" si="3"/>
        <v>-6.027164310954063</v>
      </c>
      <c r="E49">
        <f t="shared" si="4"/>
        <v>1.44</v>
      </c>
      <c r="F49" s="10">
        <f t="shared" si="5"/>
        <v>1.44</v>
      </c>
    </row>
    <row r="50" spans="1:6" ht="12.75">
      <c r="A50" s="9" t="s">
        <v>60</v>
      </c>
      <c r="B50">
        <f>(3*('S Floor 5'!B29))+((20*600)/1000)</f>
        <v>118.77000000000001</v>
      </c>
      <c r="C50">
        <v>144</v>
      </c>
      <c r="D50">
        <f t="shared" si="3"/>
        <v>-6.027164310954063</v>
      </c>
      <c r="E50">
        <f t="shared" si="4"/>
        <v>1.44</v>
      </c>
      <c r="F50" s="10">
        <f t="shared" si="5"/>
        <v>1.44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25">
      <selection activeCell="A2" sqref="A2:A25"/>
    </sheetView>
  </sheetViews>
  <sheetFormatPr defaultColWidth="11.00390625" defaultRowHeight="12.75"/>
  <sheetData>
    <row r="1" spans="1:6" ht="12.75">
      <c r="A1" t="s">
        <v>49</v>
      </c>
      <c r="B1" t="s">
        <v>50</v>
      </c>
      <c r="C1" t="s">
        <v>51</v>
      </c>
      <c r="D1" t="s">
        <v>52</v>
      </c>
      <c r="E1" t="s">
        <v>53</v>
      </c>
      <c r="F1" t="s">
        <v>54</v>
      </c>
    </row>
    <row r="2" spans="1:6" ht="12.75">
      <c r="A2" s="8" t="s">
        <v>61</v>
      </c>
      <c r="B2">
        <f>'North Pod Roof Columns'!D2+((10*600)/1000)+'North Pod Column Loads'!B2</f>
        <v>59.28</v>
      </c>
      <c r="C2">
        <v>144</v>
      </c>
      <c r="D2">
        <f aca="true" t="shared" si="0" ref="D2:D33">(((B2*1000)/0.8)-489600)/56600</f>
        <v>-7.340989399293286</v>
      </c>
      <c r="E2">
        <f aca="true" t="shared" si="1" ref="E2:E33">0.01*C2</f>
        <v>1.44</v>
      </c>
      <c r="F2">
        <f aca="true" t="shared" si="2" ref="F2:F33">MAX(D2:E2)</f>
        <v>1.44</v>
      </c>
    </row>
    <row r="3" spans="1:6" ht="12.75">
      <c r="A3" s="8" t="s">
        <v>62</v>
      </c>
      <c r="B3">
        <f>'North Pod Roof Columns'!D3+((10*600)/1000)+'North Pod Column Loads'!B3</f>
        <v>102.88</v>
      </c>
      <c r="C3">
        <v>144</v>
      </c>
      <c r="D3">
        <f t="shared" si="0"/>
        <v>-6.3780918727915195</v>
      </c>
      <c r="E3">
        <f t="shared" si="1"/>
        <v>1.44</v>
      </c>
      <c r="F3">
        <f t="shared" si="2"/>
        <v>1.44</v>
      </c>
    </row>
    <row r="4" spans="1:6" ht="12.75">
      <c r="A4" s="8" t="s">
        <v>63</v>
      </c>
      <c r="B4">
        <f>'North Pod Roof Columns'!D4+((10*600)/1000)+'North Pod Column Loads'!B4</f>
        <v>59.28</v>
      </c>
      <c r="C4">
        <v>144</v>
      </c>
      <c r="D4">
        <f t="shared" si="0"/>
        <v>-7.340989399293286</v>
      </c>
      <c r="E4">
        <f t="shared" si="1"/>
        <v>1.44</v>
      </c>
      <c r="F4">
        <f t="shared" si="2"/>
        <v>1.44</v>
      </c>
    </row>
    <row r="5" spans="1:6" ht="12.75">
      <c r="A5" s="8" t="s">
        <v>64</v>
      </c>
      <c r="B5">
        <f>'North Pod Roof Columns'!D5+((10*600)/1000)+'North Pod Column Loads'!B5</f>
        <v>115.51</v>
      </c>
      <c r="C5">
        <v>144</v>
      </c>
      <c r="D5">
        <f t="shared" si="0"/>
        <v>-6.099160777385159</v>
      </c>
      <c r="E5">
        <f t="shared" si="1"/>
        <v>1.44</v>
      </c>
      <c r="F5">
        <f t="shared" si="2"/>
        <v>1.44</v>
      </c>
    </row>
    <row r="6" spans="1:6" ht="12.75">
      <c r="A6" s="8" t="s">
        <v>65</v>
      </c>
      <c r="B6">
        <f>'North Pod Roof Columns'!D6+((10*600)/1000)+'North Pod Column Loads'!B6</f>
        <v>126.04</v>
      </c>
      <c r="C6">
        <v>144</v>
      </c>
      <c r="D6">
        <f t="shared" si="0"/>
        <v>-5.86660777385159</v>
      </c>
      <c r="E6">
        <f t="shared" si="1"/>
        <v>1.44</v>
      </c>
      <c r="F6">
        <f t="shared" si="2"/>
        <v>1.44</v>
      </c>
    </row>
    <row r="7" spans="1:6" ht="12.75">
      <c r="A7" s="8" t="s">
        <v>66</v>
      </c>
      <c r="B7">
        <f>'North Pod Roof Columns'!D7+((10*600)/1000)+'North Pod Column Loads'!B7</f>
        <v>177.44</v>
      </c>
      <c r="C7">
        <v>144</v>
      </c>
      <c r="D7">
        <f t="shared" si="0"/>
        <v>-4.731448763250883</v>
      </c>
      <c r="E7">
        <f t="shared" si="1"/>
        <v>1.44</v>
      </c>
      <c r="F7">
        <f t="shared" si="2"/>
        <v>1.44</v>
      </c>
    </row>
    <row r="8" spans="1:6" ht="12.75">
      <c r="A8" s="8" t="s">
        <v>67</v>
      </c>
      <c r="B8">
        <f>'North Pod Roof Columns'!D8+((10*600)/1000)+'North Pod Column Loads'!B8</f>
        <v>283.77</v>
      </c>
      <c r="C8">
        <v>144</v>
      </c>
      <c r="D8">
        <f t="shared" si="0"/>
        <v>-2.383171378091873</v>
      </c>
      <c r="E8">
        <f t="shared" si="1"/>
        <v>1.44</v>
      </c>
      <c r="F8">
        <f t="shared" si="2"/>
        <v>1.44</v>
      </c>
    </row>
    <row r="9" spans="1:6" ht="12.75">
      <c r="A9" s="8" t="s">
        <v>68</v>
      </c>
      <c r="B9">
        <f>'North Pod Roof Columns'!D9+((10*600)/1000)+'North Pod Column Loads'!B9</f>
        <v>176.22</v>
      </c>
      <c r="C9">
        <v>144</v>
      </c>
      <c r="D9">
        <f t="shared" si="0"/>
        <v>-4.75839222614841</v>
      </c>
      <c r="E9">
        <f t="shared" si="1"/>
        <v>1.44</v>
      </c>
      <c r="F9">
        <f t="shared" si="2"/>
        <v>1.44</v>
      </c>
    </row>
    <row r="10" spans="1:6" ht="12.75">
      <c r="A10" s="8" t="s">
        <v>69</v>
      </c>
      <c r="B10">
        <f>'North Pod Roof Columns'!D10+((10*600)/1000)+'North Pod Column Loads'!B10</f>
        <v>243.38</v>
      </c>
      <c r="C10">
        <v>144</v>
      </c>
      <c r="D10">
        <f t="shared" si="0"/>
        <v>-3.27517667844523</v>
      </c>
      <c r="E10">
        <f t="shared" si="1"/>
        <v>1.44</v>
      </c>
      <c r="F10">
        <f t="shared" si="2"/>
        <v>1.44</v>
      </c>
    </row>
    <row r="11" spans="1:6" ht="12.75">
      <c r="A11" s="8" t="s">
        <v>70</v>
      </c>
      <c r="B11">
        <f>'North Pod Roof Columns'!D11+((10*600)/1000)+'North Pod Column Loads'!B11</f>
        <v>220.61</v>
      </c>
      <c r="C11">
        <v>144</v>
      </c>
      <c r="D11">
        <f t="shared" si="0"/>
        <v>-3.778047703180212</v>
      </c>
      <c r="E11">
        <f t="shared" si="1"/>
        <v>1.44</v>
      </c>
      <c r="F11">
        <f t="shared" si="2"/>
        <v>1.44</v>
      </c>
    </row>
    <row r="12" spans="1:6" ht="12.75">
      <c r="A12" s="8" t="s">
        <v>71</v>
      </c>
      <c r="B12">
        <f>'North Pod Roof Columns'!D12+((10*600)/1000)+'North Pod Column Loads'!B12</f>
        <v>211.54000000000002</v>
      </c>
      <c r="C12">
        <v>144</v>
      </c>
      <c r="D12">
        <f t="shared" si="0"/>
        <v>-3.978356890459364</v>
      </c>
      <c r="E12">
        <f t="shared" si="1"/>
        <v>1.44</v>
      </c>
      <c r="F12">
        <f t="shared" si="2"/>
        <v>1.44</v>
      </c>
    </row>
    <row r="13" spans="1:6" ht="12.75">
      <c r="A13" s="8" t="s">
        <v>72</v>
      </c>
      <c r="B13">
        <f>'North Pod Roof Columns'!D13+((10*600)/1000)+'North Pod Column Loads'!B13</f>
        <v>316.45</v>
      </c>
      <c r="C13">
        <v>144</v>
      </c>
      <c r="D13">
        <f t="shared" si="0"/>
        <v>-1.661439929328622</v>
      </c>
      <c r="E13">
        <f t="shared" si="1"/>
        <v>1.44</v>
      </c>
      <c r="F13">
        <f t="shared" si="2"/>
        <v>1.44</v>
      </c>
    </row>
    <row r="14" spans="1:6" ht="12.75">
      <c r="A14" s="8" t="s">
        <v>73</v>
      </c>
      <c r="B14">
        <f>'North Pod Roof Columns'!D14+((10*600)/1000)+'North Pod Column Loads'!B14</f>
        <v>240.28</v>
      </c>
      <c r="C14">
        <v>144</v>
      </c>
      <c r="D14">
        <f t="shared" si="0"/>
        <v>-3.3436395759717317</v>
      </c>
      <c r="E14">
        <f t="shared" si="1"/>
        <v>1.44</v>
      </c>
      <c r="F14">
        <f t="shared" si="2"/>
        <v>1.44</v>
      </c>
    </row>
    <row r="15" spans="1:6" ht="12.75">
      <c r="A15" s="8" t="s">
        <v>74</v>
      </c>
      <c r="B15">
        <f>'North Pod Roof Columns'!D15+((10*600)/1000)+'North Pod Column Loads'!B15</f>
        <v>144.23000000000002</v>
      </c>
      <c r="C15">
        <v>144</v>
      </c>
      <c r="D15">
        <f t="shared" si="0"/>
        <v>-5.464885159010601</v>
      </c>
      <c r="E15">
        <f t="shared" si="1"/>
        <v>1.44</v>
      </c>
      <c r="F15">
        <f t="shared" si="2"/>
        <v>1.44</v>
      </c>
    </row>
    <row r="16" spans="1:6" ht="12.75">
      <c r="A16" s="8" t="s">
        <v>75</v>
      </c>
      <c r="B16">
        <f>'North Pod Roof Columns'!D16+((10*600)/1000)+'North Pod Column Loads'!B16</f>
        <v>255.51999999999998</v>
      </c>
      <c r="C16">
        <v>144</v>
      </c>
      <c r="D16">
        <f t="shared" si="0"/>
        <v>-3.007067137809188</v>
      </c>
      <c r="E16">
        <f t="shared" si="1"/>
        <v>1.44</v>
      </c>
      <c r="F16">
        <f t="shared" si="2"/>
        <v>1.44</v>
      </c>
    </row>
    <row r="17" spans="1:6" ht="12.75">
      <c r="A17" s="8" t="s">
        <v>76</v>
      </c>
      <c r="B17">
        <f>'North Pod Roof Columns'!D17+((10*600)/1000)+'North Pod Column Loads'!B17</f>
        <v>175.42</v>
      </c>
      <c r="C17">
        <v>144</v>
      </c>
      <c r="D17">
        <f t="shared" si="0"/>
        <v>-4.776060070671378</v>
      </c>
      <c r="E17">
        <f t="shared" si="1"/>
        <v>1.44</v>
      </c>
      <c r="F17">
        <f t="shared" si="2"/>
        <v>1.44</v>
      </c>
    </row>
    <row r="18" spans="1:6" ht="12.75">
      <c r="A18" s="8" t="s">
        <v>77</v>
      </c>
      <c r="B18">
        <f>'North Pod Roof Columns'!D18+((10*600)/1000)+'North Pod Column Loads'!B18</f>
        <v>277.91</v>
      </c>
      <c r="C18">
        <v>144</v>
      </c>
      <c r="D18">
        <f t="shared" si="0"/>
        <v>-2.512588339222615</v>
      </c>
      <c r="E18">
        <f t="shared" si="1"/>
        <v>1.44</v>
      </c>
      <c r="F18">
        <f t="shared" si="2"/>
        <v>1.44</v>
      </c>
    </row>
    <row r="19" spans="1:6" ht="12.75">
      <c r="A19" s="8" t="s">
        <v>78</v>
      </c>
      <c r="B19">
        <f>'North Pod Roof Columns'!D19+((10*600)/1000)+'North Pod Column Loads'!B19</f>
        <v>117.53</v>
      </c>
      <c r="C19">
        <v>144</v>
      </c>
      <c r="D19">
        <f t="shared" si="0"/>
        <v>-6.054549469964664</v>
      </c>
      <c r="E19">
        <f t="shared" si="1"/>
        <v>1.44</v>
      </c>
      <c r="F19">
        <f t="shared" si="2"/>
        <v>1.44</v>
      </c>
    </row>
    <row r="20" spans="1:6" ht="12.75">
      <c r="A20" s="8" t="s">
        <v>79</v>
      </c>
      <c r="B20">
        <f>'North Pod Roof Columns'!D20+((10*600)/1000)+'North Pod Column Loads'!B20</f>
        <v>117.53</v>
      </c>
      <c r="C20">
        <v>144</v>
      </c>
      <c r="D20">
        <f t="shared" si="0"/>
        <v>-6.054549469964664</v>
      </c>
      <c r="E20">
        <f t="shared" si="1"/>
        <v>1.44</v>
      </c>
      <c r="F20">
        <f t="shared" si="2"/>
        <v>1.44</v>
      </c>
    </row>
    <row r="21" spans="1:6" ht="12.75">
      <c r="A21" s="8" t="s">
        <v>80</v>
      </c>
      <c r="B21">
        <f>'North Pod Roof Columns'!D21+((10*600)/1000)+'North Pod Column Loads'!B21</f>
        <v>59.28</v>
      </c>
      <c r="C21">
        <v>144</v>
      </c>
      <c r="D21">
        <f t="shared" si="0"/>
        <v>-7.340989399293286</v>
      </c>
      <c r="E21">
        <f t="shared" si="1"/>
        <v>1.44</v>
      </c>
      <c r="F21">
        <f t="shared" si="2"/>
        <v>1.44</v>
      </c>
    </row>
    <row r="22" spans="1:6" ht="12.75">
      <c r="A22" s="8" t="s">
        <v>81</v>
      </c>
      <c r="B22">
        <f>'North Pod Roof Columns'!D22+((10*600)/1000)+'North Pod Column Loads'!B22</f>
        <v>102.88</v>
      </c>
      <c r="C22">
        <v>144</v>
      </c>
      <c r="D22">
        <f t="shared" si="0"/>
        <v>-6.3780918727915195</v>
      </c>
      <c r="E22">
        <f t="shared" si="1"/>
        <v>1.44</v>
      </c>
      <c r="F22">
        <f t="shared" si="2"/>
        <v>1.44</v>
      </c>
    </row>
    <row r="23" spans="1:6" ht="12.75">
      <c r="A23" s="8" t="s">
        <v>82</v>
      </c>
      <c r="B23">
        <f>'North Pod Roof Columns'!D23+((10*600)/1000)+'North Pod Column Loads'!B23</f>
        <v>59.28</v>
      </c>
      <c r="C23">
        <v>144</v>
      </c>
      <c r="D23">
        <f t="shared" si="0"/>
        <v>-7.340989399293286</v>
      </c>
      <c r="E23">
        <f t="shared" si="1"/>
        <v>1.44</v>
      </c>
      <c r="F23">
        <f t="shared" si="2"/>
        <v>1.44</v>
      </c>
    </row>
    <row r="24" spans="1:6" ht="12.75">
      <c r="A24" s="8" t="s">
        <v>83</v>
      </c>
      <c r="B24">
        <f>'North Pod Roof Columns'!D24+((10*600)/1000)+'North Pod Column Loads'!B24</f>
        <v>191.27</v>
      </c>
      <c r="C24">
        <v>144</v>
      </c>
      <c r="D24">
        <f t="shared" si="0"/>
        <v>-4.426015901060071</v>
      </c>
      <c r="E24">
        <f t="shared" si="1"/>
        <v>1.44</v>
      </c>
      <c r="F24">
        <f t="shared" si="2"/>
        <v>1.44</v>
      </c>
    </row>
    <row r="25" spans="1:6" ht="12.75">
      <c r="A25" s="8" t="s">
        <v>84</v>
      </c>
      <c r="B25">
        <f>'North Pod Roof Columns'!D25+((10*600)/1000)+'North Pod Column Loads'!B25</f>
        <v>206.19</v>
      </c>
      <c r="C25">
        <v>144</v>
      </c>
      <c r="D25">
        <f t="shared" si="0"/>
        <v>-4.096510600706714</v>
      </c>
      <c r="E25">
        <f t="shared" si="1"/>
        <v>1.44</v>
      </c>
      <c r="F25">
        <f t="shared" si="2"/>
        <v>1.44</v>
      </c>
    </row>
    <row r="26" spans="1:6" ht="12.75">
      <c r="A26" s="9" t="s">
        <v>27</v>
      </c>
      <c r="B26" s="10">
        <f>'Middle Pod Roof Columns'!D2+((10*600)/1000)+'Middle Pod Column Loads'!D2</f>
        <v>159.01</v>
      </c>
      <c r="C26">
        <v>144</v>
      </c>
      <c r="D26">
        <f t="shared" si="0"/>
        <v>-5.138471731448763</v>
      </c>
      <c r="E26">
        <f t="shared" si="1"/>
        <v>1.44</v>
      </c>
      <c r="F26">
        <f t="shared" si="2"/>
        <v>1.44</v>
      </c>
    </row>
    <row r="27" spans="1:6" ht="12.75">
      <c r="A27" s="9" t="s">
        <v>28</v>
      </c>
      <c r="B27" s="10">
        <f>'Middle Pod Roof Columns'!D3+((10*600)/1000)+'Middle Pod Column Loads'!D3</f>
        <v>262.63</v>
      </c>
      <c r="C27">
        <v>144</v>
      </c>
      <c r="D27">
        <f t="shared" si="0"/>
        <v>-2.8500441696113072</v>
      </c>
      <c r="E27">
        <f t="shared" si="1"/>
        <v>1.44</v>
      </c>
      <c r="F27">
        <f t="shared" si="2"/>
        <v>1.44</v>
      </c>
    </row>
    <row r="28" spans="1:6" ht="12.75">
      <c r="A28" s="9" t="s">
        <v>29</v>
      </c>
      <c r="B28" s="10">
        <f>'Middle Pod Roof Columns'!D4+((10*600)/1000)+'Middle Pod Column Loads'!D4</f>
        <v>120.76</v>
      </c>
      <c r="C28">
        <v>144</v>
      </c>
      <c r="D28">
        <f t="shared" si="0"/>
        <v>-5.98321554770318</v>
      </c>
      <c r="E28">
        <f t="shared" si="1"/>
        <v>1.44</v>
      </c>
      <c r="F28">
        <f t="shared" si="2"/>
        <v>1.44</v>
      </c>
    </row>
    <row r="29" spans="1:6" ht="12.75">
      <c r="A29" s="9" t="s">
        <v>30</v>
      </c>
      <c r="B29" s="10">
        <f>'Middle Pod Roof Columns'!D5+((10*600)/1000)+'Middle Pod Column Loads'!D5</f>
        <v>208.79000000000002</v>
      </c>
      <c r="C29">
        <v>144</v>
      </c>
      <c r="D29">
        <f t="shared" si="0"/>
        <v>-4.039090106007067</v>
      </c>
      <c r="E29">
        <f t="shared" si="1"/>
        <v>1.44</v>
      </c>
      <c r="F29">
        <f t="shared" si="2"/>
        <v>1.44</v>
      </c>
    </row>
    <row r="30" spans="1:6" ht="12.75">
      <c r="A30" s="9" t="s">
        <v>31</v>
      </c>
      <c r="B30" s="10">
        <f>'Middle Pod Roof Columns'!D6+((10*600)/1000)+'Middle Pod Column Loads'!D6</f>
        <v>238.07</v>
      </c>
      <c r="C30">
        <v>144</v>
      </c>
      <c r="D30">
        <f t="shared" si="0"/>
        <v>-3.392446996466431</v>
      </c>
      <c r="E30">
        <f t="shared" si="1"/>
        <v>1.44</v>
      </c>
      <c r="F30">
        <f t="shared" si="2"/>
        <v>1.44</v>
      </c>
    </row>
    <row r="31" spans="1:6" ht="12.75">
      <c r="A31" s="9" t="s">
        <v>32</v>
      </c>
      <c r="B31" s="10">
        <f>'Middle Pod Roof Columns'!D7+((10*600)/1000)+'Middle Pod Column Loads'!D7</f>
        <v>159.16</v>
      </c>
      <c r="C31">
        <v>144</v>
      </c>
      <c r="D31">
        <f t="shared" si="0"/>
        <v>-5.135159010600707</v>
      </c>
      <c r="E31">
        <f t="shared" si="1"/>
        <v>1.44</v>
      </c>
      <c r="F31">
        <f t="shared" si="2"/>
        <v>1.44</v>
      </c>
    </row>
    <row r="32" spans="1:6" ht="12.75">
      <c r="A32" s="9" t="s">
        <v>33</v>
      </c>
      <c r="B32" s="10">
        <f>'Middle Pod Roof Columns'!D8+((10*600)/1000)+'Middle Pod Column Loads'!D8</f>
        <v>210.51</v>
      </c>
      <c r="C32">
        <v>144</v>
      </c>
      <c r="D32">
        <f t="shared" si="0"/>
        <v>-4.001104240282685</v>
      </c>
      <c r="E32">
        <f t="shared" si="1"/>
        <v>1.44</v>
      </c>
      <c r="F32">
        <f t="shared" si="2"/>
        <v>1.44</v>
      </c>
    </row>
    <row r="33" spans="1:6" ht="12.75">
      <c r="A33" s="9" t="s">
        <v>34</v>
      </c>
      <c r="B33" s="10">
        <f>'Middle Pod Roof Columns'!D9+((10*600)/1000)+'Middle Pod Column Loads'!D9</f>
        <v>271.88</v>
      </c>
      <c r="C33">
        <v>144</v>
      </c>
      <c r="D33">
        <f t="shared" si="0"/>
        <v>-2.645759717314488</v>
      </c>
      <c r="E33">
        <f t="shared" si="1"/>
        <v>1.44</v>
      </c>
      <c r="F33">
        <f t="shared" si="2"/>
        <v>1.44</v>
      </c>
    </row>
    <row r="34" spans="1:6" ht="12.75">
      <c r="A34" s="9" t="s">
        <v>35</v>
      </c>
      <c r="B34" s="10">
        <f>'Middle Pod Roof Columns'!D10+((10*600)/1000)+'Middle Pod Column Loads'!D10</f>
        <v>168.60000000000002</v>
      </c>
      <c r="C34">
        <v>144</v>
      </c>
      <c r="D34">
        <f aca="true" t="shared" si="3" ref="D34:D50">(((B34*1000)/0.8)-489600)/56600</f>
        <v>-4.926678445229682</v>
      </c>
      <c r="E34">
        <f aca="true" t="shared" si="4" ref="E34:E50">0.01*C34</f>
        <v>1.44</v>
      </c>
      <c r="F34">
        <f aca="true" t="shared" si="5" ref="F34:F50">MAX(D34:E34)</f>
        <v>1.44</v>
      </c>
    </row>
    <row r="35" spans="1:6" ht="12.75">
      <c r="A35" s="9" t="s">
        <v>36</v>
      </c>
      <c r="B35" s="10">
        <f>'Middle Pod Roof Columns'!D11+((10*600)/1000)+'Middle Pod Column Loads'!D11</f>
        <v>196.88</v>
      </c>
      <c r="C35">
        <v>144</v>
      </c>
      <c r="D35">
        <f t="shared" si="3"/>
        <v>-4.3021201413427566</v>
      </c>
      <c r="E35">
        <f t="shared" si="4"/>
        <v>1.44</v>
      </c>
      <c r="F35">
        <f t="shared" si="5"/>
        <v>1.44</v>
      </c>
    </row>
    <row r="36" spans="1:6" ht="12.75">
      <c r="A36" s="9" t="s">
        <v>37</v>
      </c>
      <c r="B36" s="10">
        <f>'Middle Pod Roof Columns'!D12+((10*600)/1000)+'Middle Pod Column Loads'!D12</f>
        <v>358.88</v>
      </c>
      <c r="C36">
        <v>144</v>
      </c>
      <c r="D36">
        <f t="shared" si="3"/>
        <v>-0.7243816254416962</v>
      </c>
      <c r="E36">
        <f t="shared" si="4"/>
        <v>1.44</v>
      </c>
      <c r="F36">
        <f t="shared" si="5"/>
        <v>1.44</v>
      </c>
    </row>
    <row r="37" spans="1:6" ht="12.75">
      <c r="A37" s="9" t="s">
        <v>38</v>
      </c>
      <c r="B37" s="10">
        <f>'Middle Pod Roof Columns'!D13+((10*600)/1000)+'Middle Pod Column Loads'!D13</f>
        <v>162.56</v>
      </c>
      <c r="C37">
        <v>144</v>
      </c>
      <c r="D37">
        <f t="shared" si="3"/>
        <v>-5.060070671378092</v>
      </c>
      <c r="E37">
        <f t="shared" si="4"/>
        <v>1.44</v>
      </c>
      <c r="F37">
        <f t="shared" si="5"/>
        <v>1.44</v>
      </c>
    </row>
    <row r="38" spans="1:6" ht="12.75">
      <c r="A38" s="9" t="s">
        <v>39</v>
      </c>
      <c r="B38" s="10">
        <f>'Middle Pod Roof Columns'!D14+((10*600)/1000)+'Middle Pod Column Loads'!D14</f>
        <v>210.51</v>
      </c>
      <c r="C38">
        <v>144</v>
      </c>
      <c r="D38">
        <f t="shared" si="3"/>
        <v>-4.001104240282685</v>
      </c>
      <c r="E38">
        <f t="shared" si="4"/>
        <v>1.44</v>
      </c>
      <c r="F38">
        <f t="shared" si="5"/>
        <v>1.44</v>
      </c>
    </row>
    <row r="39" spans="1:6" ht="12.75">
      <c r="A39" s="9" t="s">
        <v>40</v>
      </c>
      <c r="B39" s="10">
        <f>'Middle Pod Roof Columns'!D15+((10*600)/1000)+'Middle Pod Column Loads'!D15</f>
        <v>271.88</v>
      </c>
      <c r="C39">
        <v>144</v>
      </c>
      <c r="D39">
        <f t="shared" si="3"/>
        <v>-2.645759717314488</v>
      </c>
      <c r="E39">
        <f t="shared" si="4"/>
        <v>1.44</v>
      </c>
      <c r="F39">
        <f t="shared" si="5"/>
        <v>1.44</v>
      </c>
    </row>
    <row r="40" spans="1:6" ht="12.75">
      <c r="A40" s="9" t="s">
        <v>41</v>
      </c>
      <c r="B40" s="10">
        <f>'Middle Pod Roof Columns'!D16+((10*600)/1000)+'Middle Pod Column Loads'!D16</f>
        <v>168.6</v>
      </c>
      <c r="C40">
        <v>144</v>
      </c>
      <c r="D40">
        <f t="shared" si="3"/>
        <v>-4.926678445229682</v>
      </c>
      <c r="E40">
        <f t="shared" si="4"/>
        <v>1.44</v>
      </c>
      <c r="F40">
        <f t="shared" si="5"/>
        <v>1.44</v>
      </c>
    </row>
    <row r="41" spans="1:6" ht="12.75">
      <c r="A41" s="9" t="s">
        <v>42</v>
      </c>
      <c r="B41" s="10">
        <f>'Middle Pod Roof Columns'!D17+((10*600)/1000)+'Middle Pod Column Loads'!D17</f>
        <v>208.79000000000002</v>
      </c>
      <c r="C41">
        <v>144</v>
      </c>
      <c r="D41">
        <f t="shared" si="3"/>
        <v>-4.039090106007067</v>
      </c>
      <c r="E41">
        <f t="shared" si="4"/>
        <v>1.44</v>
      </c>
      <c r="F41">
        <f t="shared" si="5"/>
        <v>1.44</v>
      </c>
    </row>
    <row r="42" spans="1:6" ht="12.75">
      <c r="A42" s="9" t="s">
        <v>43</v>
      </c>
      <c r="B42" s="10">
        <f>'Middle Pod Roof Columns'!D18+((10*600)/1000)+'Middle Pod Column Loads'!D18</f>
        <v>238.07</v>
      </c>
      <c r="C42">
        <v>144</v>
      </c>
      <c r="D42">
        <f t="shared" si="3"/>
        <v>-3.392446996466431</v>
      </c>
      <c r="E42">
        <f t="shared" si="4"/>
        <v>1.44</v>
      </c>
      <c r="F42">
        <f t="shared" si="5"/>
        <v>1.44</v>
      </c>
    </row>
    <row r="43" spans="1:6" ht="12.75">
      <c r="A43" s="9" t="s">
        <v>44</v>
      </c>
      <c r="B43" s="10">
        <f>'Middle Pod Roof Columns'!D19+((10*600)/1000)+'Middle Pod Column Loads'!D19</f>
        <v>159.16</v>
      </c>
      <c r="C43">
        <v>144</v>
      </c>
      <c r="D43">
        <f t="shared" si="3"/>
        <v>-5.135159010600707</v>
      </c>
      <c r="E43">
        <f t="shared" si="4"/>
        <v>1.44</v>
      </c>
      <c r="F43">
        <f t="shared" si="5"/>
        <v>1.44</v>
      </c>
    </row>
    <row r="44" spans="1:6" ht="12.75">
      <c r="A44" s="9" t="s">
        <v>45</v>
      </c>
      <c r="B44" s="10">
        <f>'Middle Pod Roof Columns'!D20+((10*600)/1000)+'Middle Pod Column Loads'!D20</f>
        <v>159.01</v>
      </c>
      <c r="C44">
        <v>144</v>
      </c>
      <c r="D44">
        <f t="shared" si="3"/>
        <v>-5.138471731448763</v>
      </c>
      <c r="E44">
        <f t="shared" si="4"/>
        <v>1.44</v>
      </c>
      <c r="F44">
        <f t="shared" si="5"/>
        <v>1.44</v>
      </c>
    </row>
    <row r="45" spans="1:6" ht="12.75">
      <c r="A45" s="9" t="s">
        <v>46</v>
      </c>
      <c r="B45" s="10">
        <f>'Middle Pod Roof Columns'!D21+((10*600)/1000)+'Middle Pod Column Loads'!D21</f>
        <v>262.63</v>
      </c>
      <c r="C45">
        <v>144</v>
      </c>
      <c r="D45">
        <f t="shared" si="3"/>
        <v>-2.8500441696113072</v>
      </c>
      <c r="E45">
        <f t="shared" si="4"/>
        <v>1.44</v>
      </c>
      <c r="F45">
        <f t="shared" si="5"/>
        <v>1.44</v>
      </c>
    </row>
    <row r="46" spans="1:6" ht="12.75">
      <c r="A46" s="9" t="s">
        <v>47</v>
      </c>
      <c r="B46" s="10">
        <f>'Middle Pod Roof Columns'!D22+((10*600)/1000)+'Middle Pod Column Loads'!D22</f>
        <v>120.76</v>
      </c>
      <c r="C46">
        <v>144</v>
      </c>
      <c r="D46">
        <f t="shared" si="3"/>
        <v>-5.98321554770318</v>
      </c>
      <c r="E46">
        <f t="shared" si="4"/>
        <v>1.44</v>
      </c>
      <c r="F46">
        <f t="shared" si="5"/>
        <v>1.44</v>
      </c>
    </row>
    <row r="47" spans="1:6" ht="12.75">
      <c r="A47" s="9" t="s">
        <v>57</v>
      </c>
      <c r="B47">
        <f>(2*('S Floor 5'!B26))+((10*600)/1000)</f>
        <v>145.4</v>
      </c>
      <c r="C47">
        <v>144</v>
      </c>
      <c r="D47">
        <f t="shared" si="3"/>
        <v>-5.439045936395759</v>
      </c>
      <c r="E47">
        <f t="shared" si="4"/>
        <v>1.44</v>
      </c>
      <c r="F47">
        <f t="shared" si="5"/>
        <v>1.44</v>
      </c>
    </row>
    <row r="48" spans="1:6" ht="12.75">
      <c r="A48" s="9" t="s">
        <v>58</v>
      </c>
      <c r="B48">
        <f>(2*('S Floor 5'!B27))+((10*600)/1000)</f>
        <v>145.4</v>
      </c>
      <c r="C48">
        <v>144</v>
      </c>
      <c r="D48">
        <f t="shared" si="3"/>
        <v>-5.439045936395759</v>
      </c>
      <c r="E48">
        <f t="shared" si="4"/>
        <v>1.44</v>
      </c>
      <c r="F48">
        <f t="shared" si="5"/>
        <v>1.44</v>
      </c>
    </row>
    <row r="49" spans="1:6" ht="12.75">
      <c r="A49" s="9" t="s">
        <v>59</v>
      </c>
      <c r="B49">
        <f>(2*('S Floor 5'!B28))+((10*600)/1000)</f>
        <v>77.18</v>
      </c>
      <c r="C49">
        <v>144</v>
      </c>
      <c r="D49">
        <f t="shared" si="3"/>
        <v>-6.945671378091872</v>
      </c>
      <c r="E49">
        <f t="shared" si="4"/>
        <v>1.44</v>
      </c>
      <c r="F49">
        <f t="shared" si="5"/>
        <v>1.44</v>
      </c>
    </row>
    <row r="50" spans="1:6" ht="12.75">
      <c r="A50" s="9" t="s">
        <v>60</v>
      </c>
      <c r="B50">
        <f>(2*('S Floor 5'!B29))+((10*600)/1000)</f>
        <v>77.18</v>
      </c>
      <c r="C50">
        <v>144</v>
      </c>
      <c r="D50">
        <f t="shared" si="3"/>
        <v>-6.945671378091872</v>
      </c>
      <c r="E50">
        <f t="shared" si="4"/>
        <v>1.44</v>
      </c>
      <c r="F50">
        <f t="shared" si="5"/>
        <v>1.44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selection activeCell="A2" sqref="A2:A25"/>
    </sheetView>
  </sheetViews>
  <sheetFormatPr defaultColWidth="11.00390625" defaultRowHeight="12.75"/>
  <sheetData>
    <row r="1" spans="1:6" ht="12.75">
      <c r="A1" t="s">
        <v>49</v>
      </c>
      <c r="B1" t="s">
        <v>50</v>
      </c>
      <c r="C1" t="s">
        <v>51</v>
      </c>
      <c r="D1" t="s">
        <v>52</v>
      </c>
      <c r="E1" t="s">
        <v>53</v>
      </c>
      <c r="F1" t="s">
        <v>54</v>
      </c>
    </row>
    <row r="2" spans="1:6" ht="12.75">
      <c r="A2" s="8" t="s">
        <v>61</v>
      </c>
      <c r="B2">
        <f>'North Pod Roof Columns'!D2</f>
        <v>21.98</v>
      </c>
      <c r="C2">
        <v>144</v>
      </c>
      <c r="D2">
        <f aca="true" t="shared" si="0" ref="D2:D33">(((B2*1000)/0.8)-489600)/56600</f>
        <v>-8.164752650176679</v>
      </c>
      <c r="E2">
        <f aca="true" t="shared" si="1" ref="E2:E33">0.01*C2</f>
        <v>1.44</v>
      </c>
      <c r="F2">
        <f aca="true" t="shared" si="2" ref="F2:F33">MAX(D2:E2)</f>
        <v>1.44</v>
      </c>
    </row>
    <row r="3" spans="1:6" ht="12.75">
      <c r="A3" s="8" t="s">
        <v>62</v>
      </c>
      <c r="B3">
        <f>'North Pod Roof Columns'!D3</f>
        <v>42.94</v>
      </c>
      <c r="C3">
        <v>144</v>
      </c>
      <c r="D3">
        <f t="shared" si="0"/>
        <v>-7.701855123674911</v>
      </c>
      <c r="E3">
        <f t="shared" si="1"/>
        <v>1.44</v>
      </c>
      <c r="F3">
        <f t="shared" si="2"/>
        <v>1.44</v>
      </c>
    </row>
    <row r="4" spans="1:6" ht="12.75">
      <c r="A4" s="8" t="s">
        <v>63</v>
      </c>
      <c r="B4">
        <f>'North Pod Roof Columns'!D4</f>
        <v>21.98</v>
      </c>
      <c r="C4">
        <v>144</v>
      </c>
      <c r="D4">
        <f t="shared" si="0"/>
        <v>-8.164752650176679</v>
      </c>
      <c r="E4">
        <f t="shared" si="1"/>
        <v>1.44</v>
      </c>
      <c r="F4">
        <f t="shared" si="2"/>
        <v>1.44</v>
      </c>
    </row>
    <row r="5" spans="1:6" ht="12.75">
      <c r="A5" s="8" t="s">
        <v>64</v>
      </c>
      <c r="B5">
        <f>'North Pod Roof Columns'!D5</f>
        <v>52.650000000000006</v>
      </c>
      <c r="C5">
        <v>144</v>
      </c>
      <c r="D5">
        <f t="shared" si="0"/>
        <v>-7.4874116607773855</v>
      </c>
      <c r="E5">
        <f t="shared" si="1"/>
        <v>1.44</v>
      </c>
      <c r="F5">
        <f t="shared" si="2"/>
        <v>1.44</v>
      </c>
    </row>
    <row r="6" spans="1:6" ht="12.75">
      <c r="A6" s="8" t="s">
        <v>65</v>
      </c>
      <c r="B6">
        <f>'North Pod Roof Columns'!D6</f>
        <v>63.18000000000001</v>
      </c>
      <c r="C6">
        <v>144</v>
      </c>
      <c r="D6">
        <f t="shared" si="0"/>
        <v>-7.254858657243816</v>
      </c>
      <c r="E6">
        <f t="shared" si="1"/>
        <v>1.44</v>
      </c>
      <c r="F6">
        <f t="shared" si="2"/>
        <v>1.44</v>
      </c>
    </row>
    <row r="7" spans="1:6" ht="12.75">
      <c r="A7" s="8" t="s">
        <v>66</v>
      </c>
      <c r="B7">
        <f>'North Pod Roof Columns'!D7</f>
        <v>81.9</v>
      </c>
      <c r="C7">
        <v>144</v>
      </c>
      <c r="D7">
        <f t="shared" si="0"/>
        <v>-6.84143109540636</v>
      </c>
      <c r="E7">
        <f t="shared" si="1"/>
        <v>1.44</v>
      </c>
      <c r="F7">
        <f t="shared" si="2"/>
        <v>1.44</v>
      </c>
    </row>
    <row r="8" spans="1:6" ht="12.75">
      <c r="A8" s="8" t="s">
        <v>67</v>
      </c>
      <c r="B8">
        <f>'North Pod Roof Columns'!D8</f>
        <v>111.61</v>
      </c>
      <c r="C8">
        <v>144</v>
      </c>
      <c r="D8">
        <f t="shared" si="0"/>
        <v>-6.185291519434629</v>
      </c>
      <c r="E8">
        <f t="shared" si="1"/>
        <v>1.44</v>
      </c>
      <c r="F8">
        <f t="shared" si="2"/>
        <v>1.44</v>
      </c>
    </row>
    <row r="9" spans="1:6" ht="12.75">
      <c r="A9" s="8" t="s">
        <v>68</v>
      </c>
      <c r="B9">
        <f>'North Pod Roof Columns'!D9</f>
        <v>81.59</v>
      </c>
      <c r="C9">
        <v>144</v>
      </c>
      <c r="D9">
        <f t="shared" si="0"/>
        <v>-6.848277385159011</v>
      </c>
      <c r="E9">
        <f t="shared" si="1"/>
        <v>1.44</v>
      </c>
      <c r="F9">
        <f t="shared" si="2"/>
        <v>1.44</v>
      </c>
    </row>
    <row r="10" spans="1:6" ht="12.75">
      <c r="A10" s="8" t="s">
        <v>69</v>
      </c>
      <c r="B10">
        <f>'North Pod Roof Columns'!D10</f>
        <v>94.33</v>
      </c>
      <c r="C10">
        <v>144</v>
      </c>
      <c r="D10">
        <f t="shared" si="0"/>
        <v>-6.566916961130742</v>
      </c>
      <c r="E10">
        <f t="shared" si="1"/>
        <v>1.44</v>
      </c>
      <c r="F10">
        <f t="shared" si="2"/>
        <v>1.44</v>
      </c>
    </row>
    <row r="11" spans="1:6" ht="12.75">
      <c r="A11" s="8" t="s">
        <v>70</v>
      </c>
      <c r="B11">
        <f>'North Pod Roof Columns'!D11</f>
        <v>103.62</v>
      </c>
      <c r="C11">
        <v>144</v>
      </c>
      <c r="D11">
        <f t="shared" si="0"/>
        <v>-6.361749116607774</v>
      </c>
      <c r="E11">
        <f t="shared" si="1"/>
        <v>1.44</v>
      </c>
      <c r="F11">
        <f t="shared" si="2"/>
        <v>1.44</v>
      </c>
    </row>
    <row r="12" spans="1:6" ht="12.75">
      <c r="A12" s="8" t="s">
        <v>71</v>
      </c>
      <c r="B12">
        <f>'North Pod Roof Columns'!D12</f>
        <v>99.32000000000001</v>
      </c>
      <c r="C12">
        <v>144</v>
      </c>
      <c r="D12">
        <f t="shared" si="0"/>
        <v>-6.456713780918728</v>
      </c>
      <c r="E12">
        <f t="shared" si="1"/>
        <v>1.44</v>
      </c>
      <c r="F12">
        <f t="shared" si="2"/>
        <v>1.44</v>
      </c>
    </row>
    <row r="13" spans="1:6" ht="12.75">
      <c r="A13" s="8" t="s">
        <v>72</v>
      </c>
      <c r="B13">
        <f>'North Pod Roof Columns'!D13</f>
        <v>157</v>
      </c>
      <c r="C13">
        <v>144</v>
      </c>
      <c r="D13">
        <f t="shared" si="0"/>
        <v>-5.182862190812721</v>
      </c>
      <c r="E13">
        <f t="shared" si="1"/>
        <v>1.44</v>
      </c>
      <c r="F13">
        <f t="shared" si="2"/>
        <v>1.44</v>
      </c>
    </row>
    <row r="14" spans="1:6" ht="12.75">
      <c r="A14" s="8" t="s">
        <v>73</v>
      </c>
      <c r="B14">
        <f>'North Pod Roof Columns'!D14</f>
        <v>115.6</v>
      </c>
      <c r="C14">
        <v>144</v>
      </c>
      <c r="D14">
        <f t="shared" si="0"/>
        <v>-6.097173144876325</v>
      </c>
      <c r="E14">
        <f t="shared" si="1"/>
        <v>1.44</v>
      </c>
      <c r="F14">
        <f t="shared" si="2"/>
        <v>1.44</v>
      </c>
    </row>
    <row r="15" spans="1:6" ht="12.75">
      <c r="A15" s="8" t="s">
        <v>74</v>
      </c>
      <c r="B15">
        <f>'North Pod Roof Columns'!D15</f>
        <v>66.06</v>
      </c>
      <c r="C15">
        <v>144</v>
      </c>
      <c r="D15">
        <f t="shared" si="0"/>
        <v>-7.19125441696113</v>
      </c>
      <c r="E15">
        <f t="shared" si="1"/>
        <v>1.44</v>
      </c>
      <c r="F15">
        <f t="shared" si="2"/>
        <v>1.44</v>
      </c>
    </row>
    <row r="16" spans="1:6" ht="12.75">
      <c r="A16" s="8" t="s">
        <v>75</v>
      </c>
      <c r="B16">
        <f>'North Pod Roof Columns'!D16</f>
        <v>125.76</v>
      </c>
      <c r="C16">
        <v>144</v>
      </c>
      <c r="D16">
        <f t="shared" si="0"/>
        <v>-5.872791519434629</v>
      </c>
      <c r="E16">
        <f t="shared" si="1"/>
        <v>1.44</v>
      </c>
      <c r="F16">
        <f t="shared" si="2"/>
        <v>1.44</v>
      </c>
    </row>
    <row r="17" spans="1:6" ht="12.75">
      <c r="A17" s="8" t="s">
        <v>76</v>
      </c>
      <c r="B17">
        <f>'North Pod Roof Columns'!D17</f>
        <v>79.88</v>
      </c>
      <c r="C17">
        <v>144</v>
      </c>
      <c r="D17">
        <f t="shared" si="0"/>
        <v>-6.886042402826855</v>
      </c>
      <c r="E17">
        <f t="shared" si="1"/>
        <v>1.44</v>
      </c>
      <c r="F17">
        <f t="shared" si="2"/>
        <v>1.44</v>
      </c>
    </row>
    <row r="18" spans="1:6" ht="12.75">
      <c r="A18" s="8" t="s">
        <v>77</v>
      </c>
      <c r="B18">
        <f>'North Pod Roof Columns'!D18</f>
        <v>123.85000000000001</v>
      </c>
      <c r="C18">
        <v>144</v>
      </c>
      <c r="D18">
        <f t="shared" si="0"/>
        <v>-5.914973498233215</v>
      </c>
      <c r="E18">
        <f t="shared" si="1"/>
        <v>1.44</v>
      </c>
      <c r="F18">
        <f t="shared" si="2"/>
        <v>1.44</v>
      </c>
    </row>
    <row r="19" spans="1:6" ht="12.75">
      <c r="A19" s="8" t="s">
        <v>78</v>
      </c>
      <c r="B19">
        <f>'North Pod Roof Columns'!D19</f>
        <v>54.67</v>
      </c>
      <c r="C19">
        <v>144</v>
      </c>
      <c r="D19">
        <f t="shared" si="0"/>
        <v>-7.4428003533568905</v>
      </c>
      <c r="E19">
        <f t="shared" si="1"/>
        <v>1.44</v>
      </c>
      <c r="F19">
        <f t="shared" si="2"/>
        <v>1.44</v>
      </c>
    </row>
    <row r="20" spans="1:6" ht="12.75">
      <c r="A20" s="8" t="s">
        <v>79</v>
      </c>
      <c r="B20">
        <f>'North Pod Roof Columns'!D20</f>
        <v>54.67</v>
      </c>
      <c r="C20">
        <v>144</v>
      </c>
      <c r="D20">
        <f t="shared" si="0"/>
        <v>-7.4428003533568905</v>
      </c>
      <c r="E20">
        <f t="shared" si="1"/>
        <v>1.44</v>
      </c>
      <c r="F20">
        <f t="shared" si="2"/>
        <v>1.44</v>
      </c>
    </row>
    <row r="21" spans="1:6" ht="12.75">
      <c r="A21" s="8" t="s">
        <v>80</v>
      </c>
      <c r="B21">
        <f>'North Pod Roof Columns'!D21</f>
        <v>21.98</v>
      </c>
      <c r="C21">
        <v>144</v>
      </c>
      <c r="D21">
        <f t="shared" si="0"/>
        <v>-8.164752650176679</v>
      </c>
      <c r="E21">
        <f t="shared" si="1"/>
        <v>1.44</v>
      </c>
      <c r="F21">
        <f t="shared" si="2"/>
        <v>1.44</v>
      </c>
    </row>
    <row r="22" spans="1:6" ht="12.75">
      <c r="A22" s="8" t="s">
        <v>81</v>
      </c>
      <c r="B22">
        <f>'North Pod Roof Columns'!D22</f>
        <v>42.94</v>
      </c>
      <c r="C22">
        <v>144</v>
      </c>
      <c r="D22">
        <f t="shared" si="0"/>
        <v>-7.701855123674911</v>
      </c>
      <c r="E22">
        <f t="shared" si="1"/>
        <v>1.44</v>
      </c>
      <c r="F22">
        <f t="shared" si="2"/>
        <v>1.44</v>
      </c>
    </row>
    <row r="23" spans="1:6" ht="12.75">
      <c r="A23" s="8" t="s">
        <v>82</v>
      </c>
      <c r="B23">
        <f>'North Pod Roof Columns'!D23</f>
        <v>21.98</v>
      </c>
      <c r="C23">
        <v>144</v>
      </c>
      <c r="D23">
        <f t="shared" si="0"/>
        <v>-8.164752650176679</v>
      </c>
      <c r="E23">
        <f t="shared" si="1"/>
        <v>1.44</v>
      </c>
      <c r="F23">
        <f t="shared" si="2"/>
        <v>1.44</v>
      </c>
    </row>
    <row r="24" spans="1:6" ht="12.75">
      <c r="A24" s="8" t="s">
        <v>83</v>
      </c>
      <c r="B24">
        <f>'North Pod Roof Columns'!D24</f>
        <v>74.12</v>
      </c>
      <c r="C24">
        <v>144</v>
      </c>
      <c r="D24">
        <f t="shared" si="0"/>
        <v>-7.013250883392226</v>
      </c>
      <c r="E24">
        <f t="shared" si="1"/>
        <v>1.44</v>
      </c>
      <c r="F24">
        <f t="shared" si="2"/>
        <v>1.44</v>
      </c>
    </row>
    <row r="25" spans="1:6" ht="12.75">
      <c r="A25" s="8" t="s">
        <v>84</v>
      </c>
      <c r="B25">
        <f>'North Pod Roof Columns'!D25</f>
        <v>81.58</v>
      </c>
      <c r="C25">
        <v>144</v>
      </c>
      <c r="D25">
        <f t="shared" si="0"/>
        <v>-6.8484982332155475</v>
      </c>
      <c r="E25">
        <f t="shared" si="1"/>
        <v>1.44</v>
      </c>
      <c r="F25">
        <f t="shared" si="2"/>
        <v>1.44</v>
      </c>
    </row>
    <row r="26" spans="1:6" ht="12.75">
      <c r="A26" s="9" t="s">
        <v>27</v>
      </c>
      <c r="B26" s="10">
        <f>'Middle Pod Roof Columns'!D2</f>
        <v>63.290000000000006</v>
      </c>
      <c r="C26">
        <v>144</v>
      </c>
      <c r="D26">
        <f t="shared" si="0"/>
        <v>-7.252429328621908</v>
      </c>
      <c r="E26">
        <f t="shared" si="1"/>
        <v>1.44</v>
      </c>
      <c r="F26">
        <f t="shared" si="2"/>
        <v>1.44</v>
      </c>
    </row>
    <row r="27" spans="1:6" ht="12.75">
      <c r="A27" s="9" t="s">
        <v>28</v>
      </c>
      <c r="B27" s="10">
        <f>'Middle Pod Roof Columns'!D3</f>
        <v>126.98</v>
      </c>
      <c r="C27">
        <v>144</v>
      </c>
      <c r="D27">
        <f t="shared" si="0"/>
        <v>-5.845848056537102</v>
      </c>
      <c r="E27">
        <f t="shared" si="1"/>
        <v>1.44</v>
      </c>
      <c r="F27">
        <f t="shared" si="2"/>
        <v>1.44</v>
      </c>
    </row>
    <row r="28" spans="1:6" ht="12.75">
      <c r="A28" s="9" t="s">
        <v>29</v>
      </c>
      <c r="B28" s="10">
        <f>'Middle Pod Roof Columns'!D4</f>
        <v>70.59</v>
      </c>
      <c r="C28">
        <v>144</v>
      </c>
      <c r="D28">
        <f t="shared" si="0"/>
        <v>-7.0912102473498235</v>
      </c>
      <c r="E28">
        <f t="shared" si="1"/>
        <v>1.44</v>
      </c>
      <c r="F28">
        <f t="shared" si="2"/>
        <v>1.44</v>
      </c>
    </row>
    <row r="29" spans="1:6" ht="12.75">
      <c r="A29" s="9" t="s">
        <v>30</v>
      </c>
      <c r="B29" s="10">
        <f>'Middle Pod Roof Columns'!D5</f>
        <v>104.98</v>
      </c>
      <c r="C29">
        <v>144</v>
      </c>
      <c r="D29">
        <f t="shared" si="0"/>
        <v>-6.331713780918728</v>
      </c>
      <c r="E29">
        <f t="shared" si="1"/>
        <v>1.44</v>
      </c>
      <c r="F29">
        <f t="shared" si="2"/>
        <v>1.44</v>
      </c>
    </row>
    <row r="30" spans="1:6" ht="12.75">
      <c r="A30" s="9" t="s">
        <v>31</v>
      </c>
      <c r="B30" s="10">
        <f>'Middle Pod Roof Columns'!D6</f>
        <v>109.32</v>
      </c>
      <c r="C30">
        <v>144</v>
      </c>
      <c r="D30">
        <f t="shared" si="0"/>
        <v>-6.235865724381625</v>
      </c>
      <c r="E30">
        <f t="shared" si="1"/>
        <v>1.44</v>
      </c>
      <c r="F30">
        <f t="shared" si="2"/>
        <v>1.44</v>
      </c>
    </row>
    <row r="31" spans="1:6" ht="12.75">
      <c r="A31" s="9" t="s">
        <v>32</v>
      </c>
      <c r="B31" s="10">
        <f>'Middle Pod Roof Columns'!D7</f>
        <v>76.83</v>
      </c>
      <c r="C31">
        <v>144</v>
      </c>
      <c r="D31">
        <f t="shared" si="0"/>
        <v>-6.9534010600706715</v>
      </c>
      <c r="E31">
        <f t="shared" si="1"/>
        <v>1.44</v>
      </c>
      <c r="F31">
        <f t="shared" si="2"/>
        <v>1.44</v>
      </c>
    </row>
    <row r="32" spans="1:6" ht="12.75">
      <c r="A32" s="9" t="s">
        <v>33</v>
      </c>
      <c r="B32" s="10">
        <f>'Middle Pod Roof Columns'!D8</f>
        <v>105.37</v>
      </c>
      <c r="C32">
        <v>144</v>
      </c>
      <c r="D32">
        <f t="shared" si="0"/>
        <v>-6.323100706713781</v>
      </c>
      <c r="E32">
        <f t="shared" si="1"/>
        <v>1.44</v>
      </c>
      <c r="F32">
        <f t="shared" si="2"/>
        <v>1.44</v>
      </c>
    </row>
    <row r="33" spans="1:6" ht="12.75">
      <c r="A33" s="9" t="s">
        <v>34</v>
      </c>
      <c r="B33" s="10">
        <f>'Middle Pod Roof Columns'!D9</f>
        <v>146.35</v>
      </c>
      <c r="C33">
        <v>144</v>
      </c>
      <c r="D33">
        <f t="shared" si="0"/>
        <v>-5.418065371024735</v>
      </c>
      <c r="E33">
        <f t="shared" si="1"/>
        <v>1.44</v>
      </c>
      <c r="F33">
        <f t="shared" si="2"/>
        <v>1.44</v>
      </c>
    </row>
    <row r="34" spans="1:6" ht="12.75">
      <c r="A34" s="9" t="s">
        <v>35</v>
      </c>
      <c r="B34" s="10">
        <f>'Middle Pod Roof Columns'!D10</f>
        <v>82.49000000000001</v>
      </c>
      <c r="C34">
        <v>144</v>
      </c>
      <c r="D34">
        <f aca="true" t="shared" si="3" ref="D34:D50">(((B34*1000)/0.8)-489600)/56600</f>
        <v>-6.8284010600706715</v>
      </c>
      <c r="E34">
        <f aca="true" t="shared" si="4" ref="E34:E50">0.01*C34</f>
        <v>1.44</v>
      </c>
      <c r="F34">
        <f aca="true" t="shared" si="5" ref="F34:F50">MAX(D34:E34)</f>
        <v>1.44</v>
      </c>
    </row>
    <row r="35" spans="1:6" ht="12.75">
      <c r="A35" s="9" t="s">
        <v>36</v>
      </c>
      <c r="B35" s="10">
        <f>'Middle Pod Roof Columns'!D11</f>
        <v>96.2</v>
      </c>
      <c r="C35">
        <v>144</v>
      </c>
      <c r="D35">
        <f t="shared" si="3"/>
        <v>-6.525618374558304</v>
      </c>
      <c r="E35">
        <f t="shared" si="4"/>
        <v>1.44</v>
      </c>
      <c r="F35">
        <f t="shared" si="5"/>
        <v>1.44</v>
      </c>
    </row>
    <row r="36" spans="1:6" ht="12.75">
      <c r="A36" s="9" t="s">
        <v>37</v>
      </c>
      <c r="B36" s="10">
        <f>'Middle Pod Roof Columns'!D12</f>
        <v>185.53</v>
      </c>
      <c r="C36">
        <v>144</v>
      </c>
      <c r="D36">
        <f t="shared" si="3"/>
        <v>-4.552782685512367</v>
      </c>
      <c r="E36">
        <f t="shared" si="4"/>
        <v>1.44</v>
      </c>
      <c r="F36">
        <f t="shared" si="5"/>
        <v>1.44</v>
      </c>
    </row>
    <row r="37" spans="1:6" ht="12.75">
      <c r="A37" s="9" t="s">
        <v>38</v>
      </c>
      <c r="B37" s="10">
        <f>'Middle Pod Roof Columns'!D13</f>
        <v>77.73</v>
      </c>
      <c r="C37">
        <v>144</v>
      </c>
      <c r="D37">
        <f t="shared" si="3"/>
        <v>-6.933524734982332</v>
      </c>
      <c r="E37">
        <f t="shared" si="4"/>
        <v>1.44</v>
      </c>
      <c r="F37">
        <f t="shared" si="5"/>
        <v>1.44</v>
      </c>
    </row>
    <row r="38" spans="1:6" ht="12.75">
      <c r="A38" s="9" t="s">
        <v>39</v>
      </c>
      <c r="B38" s="10">
        <f>'Middle Pod Roof Columns'!D14</f>
        <v>105.37</v>
      </c>
      <c r="C38">
        <v>144</v>
      </c>
      <c r="D38">
        <f t="shared" si="3"/>
        <v>-6.323100706713781</v>
      </c>
      <c r="E38">
        <f t="shared" si="4"/>
        <v>1.44</v>
      </c>
      <c r="F38">
        <f t="shared" si="5"/>
        <v>1.44</v>
      </c>
    </row>
    <row r="39" spans="1:6" ht="12.75">
      <c r="A39" s="9" t="s">
        <v>40</v>
      </c>
      <c r="B39" s="10">
        <f>'Middle Pod Roof Columns'!D15</f>
        <v>146.35</v>
      </c>
      <c r="C39">
        <v>144</v>
      </c>
      <c r="D39">
        <f t="shared" si="3"/>
        <v>-5.418065371024735</v>
      </c>
      <c r="E39">
        <f t="shared" si="4"/>
        <v>1.44</v>
      </c>
      <c r="F39">
        <f t="shared" si="5"/>
        <v>1.44</v>
      </c>
    </row>
    <row r="40" spans="1:6" ht="12.75">
      <c r="A40" s="9" t="s">
        <v>41</v>
      </c>
      <c r="B40" s="10">
        <f>'Middle Pod Roof Columns'!D16</f>
        <v>82.49</v>
      </c>
      <c r="C40">
        <v>144</v>
      </c>
      <c r="D40">
        <f t="shared" si="3"/>
        <v>-6.8284010600706715</v>
      </c>
      <c r="E40">
        <f t="shared" si="4"/>
        <v>1.44</v>
      </c>
      <c r="F40">
        <f t="shared" si="5"/>
        <v>1.44</v>
      </c>
    </row>
    <row r="41" spans="1:6" ht="12.75">
      <c r="A41" s="9" t="s">
        <v>42</v>
      </c>
      <c r="B41" s="10">
        <f>'Middle Pod Roof Columns'!D17</f>
        <v>104.98</v>
      </c>
      <c r="C41">
        <v>144</v>
      </c>
      <c r="D41">
        <f t="shared" si="3"/>
        <v>-6.331713780918728</v>
      </c>
      <c r="E41">
        <f t="shared" si="4"/>
        <v>1.44</v>
      </c>
      <c r="F41">
        <f t="shared" si="5"/>
        <v>1.44</v>
      </c>
    </row>
    <row r="42" spans="1:6" ht="12.75">
      <c r="A42" s="9" t="s">
        <v>43</v>
      </c>
      <c r="B42" s="10">
        <f>'Middle Pod Roof Columns'!D18</f>
        <v>109.32</v>
      </c>
      <c r="C42">
        <v>144</v>
      </c>
      <c r="D42">
        <f t="shared" si="3"/>
        <v>-6.235865724381625</v>
      </c>
      <c r="E42">
        <f t="shared" si="4"/>
        <v>1.44</v>
      </c>
      <c r="F42">
        <f t="shared" si="5"/>
        <v>1.44</v>
      </c>
    </row>
    <row r="43" spans="1:6" ht="12.75">
      <c r="A43" s="9" t="s">
        <v>44</v>
      </c>
      <c r="B43" s="10">
        <f>'Middle Pod Roof Columns'!D19</f>
        <v>76.83</v>
      </c>
      <c r="C43">
        <v>144</v>
      </c>
      <c r="D43">
        <f t="shared" si="3"/>
        <v>-6.9534010600706715</v>
      </c>
      <c r="E43">
        <f t="shared" si="4"/>
        <v>1.44</v>
      </c>
      <c r="F43">
        <f t="shared" si="5"/>
        <v>1.44</v>
      </c>
    </row>
    <row r="44" spans="1:6" ht="12.75">
      <c r="A44" s="9" t="s">
        <v>45</v>
      </c>
      <c r="B44" s="10">
        <f>'Middle Pod Roof Columns'!D20</f>
        <v>63.29</v>
      </c>
      <c r="C44">
        <v>144</v>
      </c>
      <c r="D44">
        <f t="shared" si="3"/>
        <v>-7.252429328621908</v>
      </c>
      <c r="E44">
        <f t="shared" si="4"/>
        <v>1.44</v>
      </c>
      <c r="F44">
        <f t="shared" si="5"/>
        <v>1.44</v>
      </c>
    </row>
    <row r="45" spans="1:6" ht="12.75">
      <c r="A45" s="9" t="s">
        <v>46</v>
      </c>
      <c r="B45" s="10">
        <f>'Middle Pod Roof Columns'!D21</f>
        <v>126.98</v>
      </c>
      <c r="C45">
        <v>144</v>
      </c>
      <c r="D45">
        <f t="shared" si="3"/>
        <v>-5.845848056537102</v>
      </c>
      <c r="E45">
        <f t="shared" si="4"/>
        <v>1.44</v>
      </c>
      <c r="F45">
        <f t="shared" si="5"/>
        <v>1.44</v>
      </c>
    </row>
    <row r="46" spans="1:6" ht="12.75">
      <c r="A46" s="9" t="s">
        <v>47</v>
      </c>
      <c r="B46" s="10">
        <f>'Middle Pod Roof Columns'!D22</f>
        <v>70.59</v>
      </c>
      <c r="C46">
        <v>144</v>
      </c>
      <c r="D46">
        <f t="shared" si="3"/>
        <v>-7.0912102473498235</v>
      </c>
      <c r="E46">
        <f t="shared" si="4"/>
        <v>1.44</v>
      </c>
      <c r="F46">
        <f t="shared" si="5"/>
        <v>1.44</v>
      </c>
    </row>
    <row r="47" spans="1:6" ht="12.75">
      <c r="A47" s="9" t="s">
        <v>57</v>
      </c>
      <c r="B47">
        <f>25.25+44.45</f>
        <v>69.7</v>
      </c>
      <c r="C47">
        <v>144</v>
      </c>
      <c r="D47">
        <f t="shared" si="3"/>
        <v>-7.110865724381625</v>
      </c>
      <c r="E47">
        <f t="shared" si="4"/>
        <v>1.44</v>
      </c>
      <c r="F47">
        <f t="shared" si="5"/>
        <v>1.44</v>
      </c>
    </row>
    <row r="48" spans="1:6" ht="12.75">
      <c r="A48" s="9" t="s">
        <v>58</v>
      </c>
      <c r="B48">
        <v>69.7</v>
      </c>
      <c r="C48">
        <v>144</v>
      </c>
      <c r="D48">
        <f t="shared" si="3"/>
        <v>-7.110865724381625</v>
      </c>
      <c r="E48">
        <f t="shared" si="4"/>
        <v>1.44</v>
      </c>
      <c r="F48">
        <f t="shared" si="5"/>
        <v>1.44</v>
      </c>
    </row>
    <row r="49" spans="1:6" ht="12.75">
      <c r="A49" s="9" t="s">
        <v>59</v>
      </c>
      <c r="B49">
        <f>11.55+24.04</f>
        <v>35.59</v>
      </c>
      <c r="C49">
        <v>144</v>
      </c>
      <c r="D49">
        <f t="shared" si="3"/>
        <v>-7.864178445229682</v>
      </c>
      <c r="E49">
        <f t="shared" si="4"/>
        <v>1.44</v>
      </c>
      <c r="F49">
        <f t="shared" si="5"/>
        <v>1.44</v>
      </c>
    </row>
    <row r="50" spans="1:6" ht="12.75">
      <c r="A50" s="9" t="s">
        <v>60</v>
      </c>
      <c r="B50">
        <f>11.55+24.04</f>
        <v>35.59</v>
      </c>
      <c r="C50">
        <v>144</v>
      </c>
      <c r="D50">
        <f t="shared" si="3"/>
        <v>-7.864178445229682</v>
      </c>
      <c r="E50">
        <f t="shared" si="4"/>
        <v>1.44</v>
      </c>
      <c r="F50">
        <f t="shared" si="5"/>
        <v>1.44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F2" sqref="F2:F29"/>
    </sheetView>
  </sheetViews>
  <sheetFormatPr defaultColWidth="11.00390625" defaultRowHeight="12.75"/>
  <sheetData>
    <row r="1" spans="1:6" ht="12.75">
      <c r="A1" t="s">
        <v>49</v>
      </c>
      <c r="B1" t="s">
        <v>50</v>
      </c>
      <c r="C1" t="s">
        <v>51</v>
      </c>
      <c r="D1" t="s">
        <v>52</v>
      </c>
      <c r="E1" t="s">
        <v>53</v>
      </c>
      <c r="F1" t="s">
        <v>54</v>
      </c>
    </row>
    <row r="2" spans="1:6" ht="12.75">
      <c r="A2" s="8" t="s">
        <v>4</v>
      </c>
      <c r="B2">
        <f>'South Pod Roof Columns'!D2+((40*600)/1000)+(('South Pod Column Loads'!B2)*4)</f>
        <v>171.18</v>
      </c>
      <c r="C2">
        <v>144</v>
      </c>
      <c r="D2">
        <f aca="true" t="shared" si="0" ref="D2:D25">(((B2*1000)/0.8)-489600)/56600</f>
        <v>-4.8696996466431095</v>
      </c>
      <c r="E2">
        <f aca="true" t="shared" si="1" ref="E2:E29">0.01*C2</f>
        <v>1.44</v>
      </c>
      <c r="F2" s="10">
        <f aca="true" t="shared" si="2" ref="F2:F29">MAX(D2:E2)</f>
        <v>1.44</v>
      </c>
    </row>
    <row r="3" spans="1:6" ht="12.75">
      <c r="A3" s="8" t="s">
        <v>5</v>
      </c>
      <c r="B3">
        <f>'South Pod Roof Columns'!D3+((40*600)/1000)+(('South Pod Column Loads'!B3)*4)</f>
        <v>282.7</v>
      </c>
      <c r="C3">
        <v>144</v>
      </c>
      <c r="D3">
        <f t="shared" si="0"/>
        <v>-2.4068021201413425</v>
      </c>
      <c r="E3">
        <f t="shared" si="1"/>
        <v>1.44</v>
      </c>
      <c r="F3" s="10">
        <f t="shared" si="2"/>
        <v>1.44</v>
      </c>
    </row>
    <row r="4" spans="1:6" ht="12.75">
      <c r="A4" s="8" t="s">
        <v>6</v>
      </c>
      <c r="B4">
        <f>'South Pod Roof Columns'!D4+((40*600)/1000)+(('South Pod Column Loads'!B4)*4)</f>
        <v>171.18</v>
      </c>
      <c r="C4">
        <v>144</v>
      </c>
      <c r="D4">
        <f t="shared" si="0"/>
        <v>-4.8696996466431095</v>
      </c>
      <c r="E4">
        <f t="shared" si="1"/>
        <v>1.44</v>
      </c>
      <c r="F4" s="10">
        <f t="shared" si="2"/>
        <v>1.44</v>
      </c>
    </row>
    <row r="5" spans="1:6" ht="12.75">
      <c r="A5" s="8" t="s">
        <v>7</v>
      </c>
      <c r="B5">
        <f>'South Pod Roof Columns'!D5+((40*600)/1000)+(('South Pod Column Loads'!B5)*4)</f>
        <v>304.09000000000003</v>
      </c>
      <c r="C5">
        <v>144</v>
      </c>
      <c r="D5">
        <f t="shared" si="0"/>
        <v>-1.9344081272084794</v>
      </c>
      <c r="E5">
        <f t="shared" si="1"/>
        <v>1.44</v>
      </c>
      <c r="F5" s="10">
        <f t="shared" si="2"/>
        <v>1.44</v>
      </c>
    </row>
    <row r="6" spans="1:6" ht="12.75">
      <c r="A6" s="8" t="s">
        <v>8</v>
      </c>
      <c r="B6">
        <f>'South Pod Roof Columns'!D6+((40*600)/1000)+(('South Pod Column Loads'!B6)*4)</f>
        <v>314.62</v>
      </c>
      <c r="C6">
        <v>144</v>
      </c>
      <c r="D6">
        <f t="shared" si="0"/>
        <v>-1.7018551236749118</v>
      </c>
      <c r="E6">
        <f t="shared" si="1"/>
        <v>1.44</v>
      </c>
      <c r="F6" s="10">
        <f t="shared" si="2"/>
        <v>1.44</v>
      </c>
    </row>
    <row r="7" spans="1:6" ht="12.75">
      <c r="A7" s="8" t="s">
        <v>9</v>
      </c>
      <c r="B7">
        <f>'South Pod Roof Columns'!D7+((40*600)/1000)+(('South Pod Column Loads'!B7)*4)</f>
        <v>464.06000000000006</v>
      </c>
      <c r="C7">
        <v>144</v>
      </c>
      <c r="D7">
        <f t="shared" si="0"/>
        <v>1.5984982332155477</v>
      </c>
      <c r="E7">
        <f t="shared" si="1"/>
        <v>1.44</v>
      </c>
      <c r="F7" s="10">
        <f t="shared" si="2"/>
        <v>1.5984982332155477</v>
      </c>
    </row>
    <row r="8" spans="1:6" ht="12.75">
      <c r="A8" s="8" t="s">
        <v>10</v>
      </c>
      <c r="B8">
        <f>'South Pod Roof Columns'!D8+((40*600)/1000)+(('South Pod Column Loads'!B8)*4)</f>
        <v>800.25</v>
      </c>
      <c r="C8">
        <v>144</v>
      </c>
      <c r="D8">
        <f t="shared" si="0"/>
        <v>9.023189045936396</v>
      </c>
      <c r="E8">
        <f t="shared" si="1"/>
        <v>1.44</v>
      </c>
      <c r="F8" s="10">
        <f t="shared" si="2"/>
        <v>9.023189045936396</v>
      </c>
    </row>
    <row r="9" spans="1:6" ht="12.75">
      <c r="A9" s="8" t="s">
        <v>11</v>
      </c>
      <c r="B9">
        <f>'South Pod Roof Columns'!D9+((40*600)/1000)+(('South Pod Column Loads'!B9)*4)</f>
        <v>460.11</v>
      </c>
      <c r="C9">
        <v>144</v>
      </c>
      <c r="D9">
        <f t="shared" si="0"/>
        <v>1.5112632508833923</v>
      </c>
      <c r="E9">
        <f t="shared" si="1"/>
        <v>1.44</v>
      </c>
      <c r="F9" s="10">
        <f t="shared" si="2"/>
        <v>1.5112632508833923</v>
      </c>
    </row>
    <row r="10" spans="1:6" ht="12.75">
      <c r="A10" s="8" t="s">
        <v>12</v>
      </c>
      <c r="B10">
        <f>'South Pod Roof Columns'!D10+((40*600)/1000)+(('South Pod Column Loads'!B10)*4)</f>
        <v>690.5300000000001</v>
      </c>
      <c r="C10">
        <f>16*16</f>
        <v>256</v>
      </c>
      <c r="D10">
        <f>(((B10*1000)/0.8)-870400)/56600</f>
        <v>-0.12787102473498027</v>
      </c>
      <c r="E10">
        <f>0.01*C10</f>
        <v>2.56</v>
      </c>
      <c r="F10" s="10">
        <f>MAX(D10:E10)</f>
        <v>2.56</v>
      </c>
    </row>
    <row r="11" spans="1:6" ht="12.75">
      <c r="A11" s="8" t="s">
        <v>13</v>
      </c>
      <c r="B11">
        <f>'South Pod Roof Columns'!D11+((40*600)/1000)+(('South Pod Column Loads'!B11)*4)</f>
        <v>571.58</v>
      </c>
      <c r="C11">
        <v>144</v>
      </c>
      <c r="D11">
        <f t="shared" si="0"/>
        <v>3.9730565371024733</v>
      </c>
      <c r="E11">
        <f t="shared" si="1"/>
        <v>1.44</v>
      </c>
      <c r="F11" s="10">
        <f t="shared" si="2"/>
        <v>3.9730565371024733</v>
      </c>
    </row>
    <row r="12" spans="1:6" ht="12.75">
      <c r="A12" s="8" t="s">
        <v>14</v>
      </c>
      <c r="B12">
        <f>'South Pod Roof Columns'!D12+((40*600)/1000)+(('South Pod Column Loads'!B12)*4)</f>
        <v>562.45</v>
      </c>
      <c r="C12">
        <v>144</v>
      </c>
      <c r="D12">
        <f t="shared" si="0"/>
        <v>3.771422261484099</v>
      </c>
      <c r="E12">
        <f t="shared" si="1"/>
        <v>1.44</v>
      </c>
      <c r="F12" s="10">
        <f t="shared" si="2"/>
        <v>3.771422261484099</v>
      </c>
    </row>
    <row r="13" spans="1:6" ht="12.75">
      <c r="A13" s="8" t="s">
        <v>15</v>
      </c>
      <c r="B13">
        <f>'South Pod Roof Columns'!D13+((40*600)/1000)+(('South Pod Column Loads'!B13)*4)</f>
        <v>911.6999999999999</v>
      </c>
      <c r="C13">
        <f>16*16</f>
        <v>256</v>
      </c>
      <c r="D13">
        <f>(((B13*1000)/0.8)-870400)/56600</f>
        <v>4.756625441696109</v>
      </c>
      <c r="E13">
        <f>0.01*C13</f>
        <v>2.56</v>
      </c>
      <c r="F13" s="10">
        <f>MAX(D13:E13)</f>
        <v>4.756625441696109</v>
      </c>
    </row>
    <row r="14" spans="1:6" ht="12.75">
      <c r="A14" s="8" t="s">
        <v>16</v>
      </c>
      <c r="B14">
        <f>'South Pod Roof Columns'!D14+((40*600)/1000)+(('South Pod Column Loads'!B14)*4)</f>
        <v>693.97</v>
      </c>
      <c r="C14">
        <f>16*16</f>
        <v>256</v>
      </c>
      <c r="D14">
        <f>(((B14*1000)/0.8)-870400)/56600</f>
        <v>-0.05189929328621908</v>
      </c>
      <c r="E14">
        <f t="shared" si="1"/>
        <v>2.56</v>
      </c>
      <c r="F14" s="10">
        <f t="shared" si="2"/>
        <v>2.56</v>
      </c>
    </row>
    <row r="15" spans="1:6" ht="12.75">
      <c r="A15" s="8" t="s">
        <v>17</v>
      </c>
      <c r="B15">
        <f>'South Pod Roof Columns'!D15+((40*600)/1000)+(('South Pod Column Loads'!B15)*4)</f>
        <v>412.24</v>
      </c>
      <c r="C15">
        <v>144</v>
      </c>
      <c r="D15">
        <f t="shared" si="0"/>
        <v>0.4540636042402827</v>
      </c>
      <c r="E15">
        <f t="shared" si="1"/>
        <v>1.44</v>
      </c>
      <c r="F15" s="10">
        <f t="shared" si="2"/>
        <v>1.44</v>
      </c>
    </row>
    <row r="16" spans="1:6" ht="12.75">
      <c r="A16" s="8" t="s">
        <v>18</v>
      </c>
      <c r="B16">
        <f>'South Pod Roof Columns'!D16+((40*600)/1000)+(('South Pod Column Loads'!B16)*4)</f>
        <v>787.6400000000001</v>
      </c>
      <c r="C16">
        <f>16*16</f>
        <v>256</v>
      </c>
      <c r="D16">
        <f>(((B16*1000)/0.8)-870400)/56600</f>
        <v>2.0167844522968217</v>
      </c>
      <c r="E16">
        <f>0.01*C16</f>
        <v>2.56</v>
      </c>
      <c r="F16" s="10">
        <f>MAX(D16:E16)</f>
        <v>2.56</v>
      </c>
    </row>
    <row r="17" spans="1:6" ht="12.75">
      <c r="A17" s="8" t="s">
        <v>19</v>
      </c>
      <c r="B17">
        <f>'South Pod Roof Columns'!D17+((40*600)/1000)+(('South Pod Column Loads'!B17)*4)</f>
        <v>462.03999999999996</v>
      </c>
      <c r="C17">
        <v>144</v>
      </c>
      <c r="D17">
        <f t="shared" si="0"/>
        <v>1.553886925795051</v>
      </c>
      <c r="E17">
        <f t="shared" si="1"/>
        <v>1.44</v>
      </c>
      <c r="F17" s="10">
        <f t="shared" si="2"/>
        <v>1.553886925795051</v>
      </c>
    </row>
    <row r="18" spans="1:6" ht="12.75">
      <c r="A18" s="8" t="s">
        <v>20</v>
      </c>
      <c r="B18">
        <f>'South Pod Roof Columns'!D18+((40*600)/1000)+(('South Pod Column Loads'!B18)*4)</f>
        <v>754.69</v>
      </c>
      <c r="C18">
        <f>16*16</f>
        <v>256</v>
      </c>
      <c r="D18">
        <f>(((B18*1000)/0.8)-870400)/56600</f>
        <v>1.2890901060070672</v>
      </c>
      <c r="E18">
        <f>0.01*C18</f>
        <v>2.56</v>
      </c>
      <c r="F18" s="10">
        <f>MAX(D18:E18)</f>
        <v>2.56</v>
      </c>
    </row>
    <row r="19" spans="1:6" ht="12.75">
      <c r="A19" s="8" t="s">
        <v>21</v>
      </c>
      <c r="B19">
        <f>'South Pod Roof Columns'!D19+((40*600)/1000)+(('South Pod Column Loads'!B19)*4)</f>
        <v>306.11</v>
      </c>
      <c r="C19">
        <v>144</v>
      </c>
      <c r="D19">
        <f t="shared" si="0"/>
        <v>-1.889796819787986</v>
      </c>
      <c r="E19">
        <f t="shared" si="1"/>
        <v>1.44</v>
      </c>
      <c r="F19" s="10">
        <f t="shared" si="2"/>
        <v>1.44</v>
      </c>
    </row>
    <row r="20" spans="1:6" ht="12.75">
      <c r="A20" s="8" t="s">
        <v>22</v>
      </c>
      <c r="B20">
        <f>'South Pod Roof Columns'!D20+((40*600)/1000)+(('South Pod Column Loads'!B20)*4)</f>
        <v>306.11</v>
      </c>
      <c r="C20">
        <v>144</v>
      </c>
      <c r="D20">
        <f t="shared" si="0"/>
        <v>-1.889796819787986</v>
      </c>
      <c r="E20">
        <f t="shared" si="1"/>
        <v>1.44</v>
      </c>
      <c r="F20" s="10">
        <f t="shared" si="2"/>
        <v>1.44</v>
      </c>
    </row>
    <row r="21" spans="1:6" ht="12.75">
      <c r="A21" s="8" t="s">
        <v>23</v>
      </c>
      <c r="B21">
        <f>'South Pod Roof Columns'!D21+((40*600)/1000)+(('South Pod Column Loads'!B21)*4)</f>
        <v>171.18</v>
      </c>
      <c r="C21">
        <v>144</v>
      </c>
      <c r="D21">
        <f t="shared" si="0"/>
        <v>-4.8696996466431095</v>
      </c>
      <c r="E21">
        <f t="shared" si="1"/>
        <v>1.44</v>
      </c>
      <c r="F21" s="10">
        <f t="shared" si="2"/>
        <v>1.44</v>
      </c>
    </row>
    <row r="22" spans="1:6" ht="12.75">
      <c r="A22" s="8" t="s">
        <v>24</v>
      </c>
      <c r="B22">
        <f>'South Pod Roof Columns'!D22+((40*600)/1000)+(('South Pod Column Loads'!B22)*4)</f>
        <v>282.7</v>
      </c>
      <c r="C22">
        <v>144</v>
      </c>
      <c r="D22">
        <f t="shared" si="0"/>
        <v>-2.4068021201413425</v>
      </c>
      <c r="E22">
        <f t="shared" si="1"/>
        <v>1.44</v>
      </c>
      <c r="F22" s="10">
        <f t="shared" si="2"/>
        <v>1.44</v>
      </c>
    </row>
    <row r="23" spans="1:6" ht="12.75">
      <c r="A23" s="8" t="s">
        <v>25</v>
      </c>
      <c r="B23">
        <f>'South Pod Roof Columns'!D23+((40*600)/1000)+(('South Pod Column Loads'!B23)*4)</f>
        <v>171.18</v>
      </c>
      <c r="C23">
        <v>144</v>
      </c>
      <c r="D23">
        <f t="shared" si="0"/>
        <v>-4.8696996466431095</v>
      </c>
      <c r="E23">
        <f t="shared" si="1"/>
        <v>1.44</v>
      </c>
      <c r="F23" s="10">
        <f t="shared" si="2"/>
        <v>1.44</v>
      </c>
    </row>
    <row r="24" spans="1:6" ht="12.75">
      <c r="A24" s="8" t="s">
        <v>55</v>
      </c>
      <c r="B24">
        <f>'South Pod Roof Columns'!D24+((40*600)/1000)+(('South Pod Column Loads'!B24)*4)</f>
        <v>542.72</v>
      </c>
      <c r="C24">
        <v>144</v>
      </c>
      <c r="D24">
        <f t="shared" si="0"/>
        <v>3.335689045936396</v>
      </c>
      <c r="E24">
        <f t="shared" si="1"/>
        <v>1.44</v>
      </c>
      <c r="F24" s="10">
        <f t="shared" si="2"/>
        <v>3.335689045936396</v>
      </c>
    </row>
    <row r="25" spans="1:6" ht="12.75">
      <c r="A25" s="8" t="s">
        <v>56</v>
      </c>
      <c r="B25">
        <f>'South Pod Roof Columns'!D25+((40*600)/1000)+(('South Pod Column Loads'!B25)*4)</f>
        <v>580.02</v>
      </c>
      <c r="C25">
        <v>144</v>
      </c>
      <c r="D25">
        <f t="shared" si="0"/>
        <v>4.159452296819788</v>
      </c>
      <c r="E25">
        <f t="shared" si="1"/>
        <v>1.44</v>
      </c>
      <c r="F25" s="10">
        <f t="shared" si="2"/>
        <v>4.159452296819788</v>
      </c>
    </row>
    <row r="26" spans="1:6" ht="12.75">
      <c r="A26" s="9" t="s">
        <v>57</v>
      </c>
      <c r="B26">
        <f>(5*('S Floor 5'!B26))+((40*600)/1000)</f>
        <v>372.5</v>
      </c>
      <c r="C26">
        <v>144</v>
      </c>
      <c r="D26">
        <f>(((B26*1000)/0.8)-489600)/56600</f>
        <v>-0.42358657243816256</v>
      </c>
      <c r="E26">
        <f t="shared" si="1"/>
        <v>1.44</v>
      </c>
      <c r="F26" s="10">
        <f t="shared" si="2"/>
        <v>1.44</v>
      </c>
    </row>
    <row r="27" spans="1:6" ht="12.75">
      <c r="A27" s="9" t="s">
        <v>58</v>
      </c>
      <c r="B27">
        <f>(5*('S Floor 5'!B27))+((40*600)/1000)</f>
        <v>372.5</v>
      </c>
      <c r="C27">
        <v>144</v>
      </c>
      <c r="D27">
        <f>(((B27*1000)/0.8)-489600)/56600</f>
        <v>-0.42358657243816256</v>
      </c>
      <c r="E27">
        <f t="shared" si="1"/>
        <v>1.44</v>
      </c>
      <c r="F27" s="10">
        <f t="shared" si="2"/>
        <v>1.44</v>
      </c>
    </row>
    <row r="28" spans="1:6" ht="12.75">
      <c r="A28" s="9" t="s">
        <v>59</v>
      </c>
      <c r="B28">
        <f>(5*('S Floor 5'!B28))+((40*600)/1000)</f>
        <v>201.95000000000002</v>
      </c>
      <c r="C28">
        <v>144</v>
      </c>
      <c r="D28">
        <f>(((B28*1000)/0.8)-489600)/56600</f>
        <v>-4.190150176678444</v>
      </c>
      <c r="E28">
        <f t="shared" si="1"/>
        <v>1.44</v>
      </c>
      <c r="F28" s="10">
        <f t="shared" si="2"/>
        <v>1.44</v>
      </c>
    </row>
    <row r="29" spans="1:6" ht="12.75">
      <c r="A29" s="9" t="s">
        <v>60</v>
      </c>
      <c r="B29">
        <f>(5*('S Floor 5'!B29))+((40*600)/1000)</f>
        <v>201.95000000000002</v>
      </c>
      <c r="C29">
        <v>144</v>
      </c>
      <c r="D29">
        <f>(((B29*1000)/0.8)-489600)/56600</f>
        <v>-4.190150176678444</v>
      </c>
      <c r="E29">
        <f t="shared" si="1"/>
        <v>1.44</v>
      </c>
      <c r="F29" s="10">
        <f t="shared" si="2"/>
        <v>1.44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F2" sqref="F2:F29"/>
    </sheetView>
  </sheetViews>
  <sheetFormatPr defaultColWidth="11.00390625" defaultRowHeight="12.75"/>
  <sheetData>
    <row r="1" spans="1:6" ht="12.75">
      <c r="A1" t="s">
        <v>49</v>
      </c>
      <c r="B1" t="s">
        <v>50</v>
      </c>
      <c r="C1" t="s">
        <v>51</v>
      </c>
      <c r="D1" t="s">
        <v>52</v>
      </c>
      <c r="E1" t="s">
        <v>53</v>
      </c>
      <c r="F1" t="s">
        <v>54</v>
      </c>
    </row>
    <row r="2" spans="1:6" ht="12.75">
      <c r="A2" s="8" t="s">
        <v>4</v>
      </c>
      <c r="B2">
        <f>'South Pod Roof Columns'!D2+((30*600)/1000)+(('South Pod Column Loads'!B2)*3)</f>
        <v>133.88</v>
      </c>
      <c r="C2">
        <v>144</v>
      </c>
      <c r="D2">
        <f aca="true" t="shared" si="0" ref="D2:D7">(((B2*1000)/0.8)-489600)/56600</f>
        <v>-5.693462897526501</v>
      </c>
      <c r="E2">
        <f aca="true" t="shared" si="1" ref="E2:E29">0.01*C2</f>
        <v>1.44</v>
      </c>
      <c r="F2" s="10">
        <f aca="true" t="shared" si="2" ref="F2:F29">MAX(D2:E2)</f>
        <v>1.44</v>
      </c>
    </row>
    <row r="3" spans="1:6" ht="12.75">
      <c r="A3" s="8" t="s">
        <v>5</v>
      </c>
      <c r="B3">
        <f>'South Pod Roof Columns'!D3+((30*600)/1000)+(('South Pod Column Loads'!B3)*3)</f>
        <v>222.76</v>
      </c>
      <c r="C3">
        <v>144</v>
      </c>
      <c r="D3">
        <f t="shared" si="0"/>
        <v>-3.730565371024735</v>
      </c>
      <c r="E3">
        <f t="shared" si="1"/>
        <v>1.44</v>
      </c>
      <c r="F3" s="10">
        <f t="shared" si="2"/>
        <v>1.44</v>
      </c>
    </row>
    <row r="4" spans="1:6" ht="12.75">
      <c r="A4" s="8" t="s">
        <v>6</v>
      </c>
      <c r="B4">
        <f>'South Pod Roof Columns'!D4+((30*600)/1000)+(('South Pod Column Loads'!B4)*3)</f>
        <v>133.88</v>
      </c>
      <c r="C4">
        <v>144</v>
      </c>
      <c r="D4">
        <f t="shared" si="0"/>
        <v>-5.693462897526501</v>
      </c>
      <c r="E4">
        <f t="shared" si="1"/>
        <v>1.44</v>
      </c>
      <c r="F4" s="10">
        <f t="shared" si="2"/>
        <v>1.44</v>
      </c>
    </row>
    <row r="5" spans="1:6" ht="12.75">
      <c r="A5" s="8" t="s">
        <v>7</v>
      </c>
      <c r="B5">
        <f>'South Pod Roof Columns'!D5+((30*600)/1000)+(('South Pod Column Loads'!B5)*3)</f>
        <v>241.23</v>
      </c>
      <c r="C5">
        <v>144</v>
      </c>
      <c r="D5">
        <f t="shared" si="0"/>
        <v>-3.322659010600707</v>
      </c>
      <c r="E5">
        <f t="shared" si="1"/>
        <v>1.44</v>
      </c>
      <c r="F5" s="10">
        <f t="shared" si="2"/>
        <v>1.44</v>
      </c>
    </row>
    <row r="6" spans="1:6" ht="12.75">
      <c r="A6" s="8" t="s">
        <v>8</v>
      </c>
      <c r="B6">
        <f>'South Pod Roof Columns'!D6+((30*600)/1000)+(('South Pod Column Loads'!B6)*3)</f>
        <v>251.76</v>
      </c>
      <c r="C6">
        <v>144</v>
      </c>
      <c r="D6">
        <f t="shared" si="0"/>
        <v>-3.090106007067138</v>
      </c>
      <c r="E6">
        <f t="shared" si="1"/>
        <v>1.44</v>
      </c>
      <c r="F6" s="10">
        <f t="shared" si="2"/>
        <v>1.44</v>
      </c>
    </row>
    <row r="7" spans="1:6" ht="12.75">
      <c r="A7" s="8" t="s">
        <v>9</v>
      </c>
      <c r="B7">
        <f>'South Pod Roof Columns'!D7+((30*600)/1000)+(('South Pod Column Loads'!B7)*3)</f>
        <v>368.52</v>
      </c>
      <c r="C7">
        <v>144</v>
      </c>
      <c r="D7">
        <f t="shared" si="0"/>
        <v>-0.5114840989399293</v>
      </c>
      <c r="E7">
        <f t="shared" si="1"/>
        <v>1.44</v>
      </c>
      <c r="F7" s="10">
        <f t="shared" si="2"/>
        <v>1.44</v>
      </c>
    </row>
    <row r="8" spans="1:6" ht="12.75">
      <c r="A8" s="8" t="s">
        <v>10</v>
      </c>
      <c r="B8">
        <f>'South Pod Roof Columns'!D8+((30*600)/1000)+(('South Pod Column Loads'!B8)*3)</f>
        <v>628.09</v>
      </c>
      <c r="C8">
        <f>16*16</f>
        <v>256</v>
      </c>
      <c r="D8">
        <f>(((B8*1000)/0.8)-870400)/56600</f>
        <v>-1.5068462897526502</v>
      </c>
      <c r="E8">
        <f t="shared" si="1"/>
        <v>2.56</v>
      </c>
      <c r="F8" s="10">
        <f t="shared" si="2"/>
        <v>2.56</v>
      </c>
    </row>
    <row r="9" spans="1:6" ht="12.75">
      <c r="A9" s="8" t="s">
        <v>11</v>
      </c>
      <c r="B9">
        <f>'South Pod Roof Columns'!D9+((30*600)/1000)+(('South Pod Column Loads'!B9)*3)</f>
        <v>365.48</v>
      </c>
      <c r="C9">
        <v>144</v>
      </c>
      <c r="D9">
        <f>(((B9*1000)/0.8)-489600)/56600</f>
        <v>-0.5786219081272085</v>
      </c>
      <c r="E9">
        <f t="shared" si="1"/>
        <v>1.44</v>
      </c>
      <c r="F9" s="10">
        <f t="shared" si="2"/>
        <v>1.44</v>
      </c>
    </row>
    <row r="10" spans="1:6" ht="12.75">
      <c r="A10" s="8" t="s">
        <v>12</v>
      </c>
      <c r="B10">
        <f>'South Pod Roof Columns'!D10+((30*600)/1000)+(('South Pod Column Loads'!B10)*3)</f>
        <v>541.48</v>
      </c>
      <c r="C10">
        <f>16*16</f>
        <v>256</v>
      </c>
      <c r="D10">
        <f>(((B10*1000)/0.8)-870400)/56600</f>
        <v>-3.4196113074204946</v>
      </c>
      <c r="E10">
        <f t="shared" si="1"/>
        <v>2.56</v>
      </c>
      <c r="F10" s="10">
        <f t="shared" si="2"/>
        <v>2.56</v>
      </c>
    </row>
    <row r="11" spans="1:6" ht="12.75">
      <c r="A11" s="8" t="s">
        <v>13</v>
      </c>
      <c r="B11">
        <f>'South Pod Roof Columns'!D11+((30*600)/1000)+(('South Pod Column Loads'!B11)*3)</f>
        <v>454.59000000000003</v>
      </c>
      <c r="C11">
        <v>144</v>
      </c>
      <c r="D11">
        <f>(((B11*1000)/0.8)-489600)/56600</f>
        <v>1.3893551236749118</v>
      </c>
      <c r="E11">
        <f t="shared" si="1"/>
        <v>1.44</v>
      </c>
      <c r="F11" s="10">
        <f t="shared" si="2"/>
        <v>1.44</v>
      </c>
    </row>
    <row r="12" spans="1:6" ht="12.75">
      <c r="A12" s="8" t="s">
        <v>14</v>
      </c>
      <c r="B12">
        <f>'South Pod Roof Columns'!D12+((30*600)/1000)+(('South Pod Column Loads'!B12)*3)</f>
        <v>450.22999999999996</v>
      </c>
      <c r="C12">
        <v>144</v>
      </c>
      <c r="D12">
        <f>(((B12*1000)/0.8)-489600)/56600</f>
        <v>1.2930653710247328</v>
      </c>
      <c r="E12">
        <f t="shared" si="1"/>
        <v>1.44</v>
      </c>
      <c r="F12" s="10">
        <f t="shared" si="2"/>
        <v>1.44</v>
      </c>
    </row>
    <row r="13" spans="1:6" ht="12.75">
      <c r="A13" s="8" t="s">
        <v>15</v>
      </c>
      <c r="B13">
        <f>'South Pod Roof Columns'!D13+((30*600)/1000)+(('South Pod Column Loads'!B13)*3)</f>
        <v>752.25</v>
      </c>
      <c r="C13">
        <f>16*16</f>
        <v>256</v>
      </c>
      <c r="D13">
        <f>(((B13*1000)/0.8)-870400)/56600</f>
        <v>1.235203180212014</v>
      </c>
      <c r="E13">
        <f t="shared" si="1"/>
        <v>2.56</v>
      </c>
      <c r="F13" s="10">
        <f t="shared" si="2"/>
        <v>2.56</v>
      </c>
    </row>
    <row r="14" spans="1:6" ht="12.75">
      <c r="A14" s="8" t="s">
        <v>16</v>
      </c>
      <c r="B14">
        <f>'South Pod Roof Columns'!D14+((30*600)/1000)+(('South Pod Column Loads'!B14)*3)</f>
        <v>569.29</v>
      </c>
      <c r="C14">
        <v>144</v>
      </c>
      <c r="D14">
        <f>(((B14*1000)/0.8)-489600)/56600</f>
        <v>3.922482332155477</v>
      </c>
      <c r="E14">
        <f t="shared" si="1"/>
        <v>1.44</v>
      </c>
      <c r="F14" s="10">
        <f t="shared" si="2"/>
        <v>3.922482332155477</v>
      </c>
    </row>
    <row r="15" spans="1:6" ht="12.75">
      <c r="A15" s="8" t="s">
        <v>17</v>
      </c>
      <c r="B15">
        <f>'South Pod Roof Columns'!D15+((30*600)/1000)+(('South Pod Column Loads'!B15)*3)</f>
        <v>334.07</v>
      </c>
      <c r="C15">
        <v>144</v>
      </c>
      <c r="D15">
        <f>(((B15*1000)/0.8)-489600)/56600</f>
        <v>-1.2723056537102473</v>
      </c>
      <c r="E15">
        <f t="shared" si="1"/>
        <v>1.44</v>
      </c>
      <c r="F15" s="10">
        <f t="shared" si="2"/>
        <v>1.44</v>
      </c>
    </row>
    <row r="16" spans="1:6" ht="12.75">
      <c r="A16" s="8" t="s">
        <v>18</v>
      </c>
      <c r="B16">
        <f>'South Pod Roof Columns'!D16+((30*600)/1000)+(('South Pod Column Loads'!B16)*3)</f>
        <v>657.8800000000001</v>
      </c>
      <c r="C16">
        <v>144</v>
      </c>
      <c r="D16">
        <f>(((B16*1000)/0.8)-489600)/56600</f>
        <v>5.87897526501767</v>
      </c>
      <c r="E16">
        <f t="shared" si="1"/>
        <v>1.44</v>
      </c>
      <c r="F16" s="10">
        <f t="shared" si="2"/>
        <v>5.87897526501767</v>
      </c>
    </row>
    <row r="17" spans="1:6" ht="12.75">
      <c r="A17" s="8" t="s">
        <v>19</v>
      </c>
      <c r="B17">
        <f>'South Pod Roof Columns'!D17+((30*600)/1000)+(('South Pod Column Loads'!B17)*3)</f>
        <v>366.5</v>
      </c>
      <c r="C17">
        <v>144</v>
      </c>
      <c r="D17">
        <f>(((B17*1000)/0.8)-489600)/56600</f>
        <v>-0.556095406360424</v>
      </c>
      <c r="E17">
        <f t="shared" si="1"/>
        <v>1.44</v>
      </c>
      <c r="F17" s="10">
        <f t="shared" si="2"/>
        <v>1.44</v>
      </c>
    </row>
    <row r="18" spans="1:6" ht="12.75">
      <c r="A18" s="8" t="s">
        <v>20</v>
      </c>
      <c r="B18">
        <f>'South Pod Roof Columns'!D18+((30*600)/1000)+(('South Pod Column Loads'!B18)*3)</f>
        <v>600.63</v>
      </c>
      <c r="C18">
        <f>16*16</f>
        <v>256</v>
      </c>
      <c r="D18">
        <f>(((B18*1000)/0.8)-870400)/56600</f>
        <v>-2.1132950530035335</v>
      </c>
      <c r="E18">
        <f t="shared" si="1"/>
        <v>2.56</v>
      </c>
      <c r="F18" s="10">
        <f t="shared" si="2"/>
        <v>2.56</v>
      </c>
    </row>
    <row r="19" spans="1:6" ht="12.75">
      <c r="A19" s="8" t="s">
        <v>21</v>
      </c>
      <c r="B19">
        <f>'South Pod Roof Columns'!D19+((30*600)/1000)+(('South Pod Column Loads'!B19)*3)</f>
        <v>243.25</v>
      </c>
      <c r="C19">
        <v>144</v>
      </c>
      <c r="D19">
        <f aca="true" t="shared" si="3" ref="D19:D29">(((B19*1000)/0.8)-489600)/56600</f>
        <v>-3.278047703180212</v>
      </c>
      <c r="E19">
        <f t="shared" si="1"/>
        <v>1.44</v>
      </c>
      <c r="F19" s="10">
        <f t="shared" si="2"/>
        <v>1.44</v>
      </c>
    </row>
    <row r="20" spans="1:6" ht="12.75">
      <c r="A20" s="8" t="s">
        <v>22</v>
      </c>
      <c r="B20">
        <f>'South Pod Roof Columns'!D20+((30*600)/1000)+(('South Pod Column Loads'!B20)*3)</f>
        <v>243.25</v>
      </c>
      <c r="C20">
        <v>144</v>
      </c>
      <c r="D20">
        <f t="shared" si="3"/>
        <v>-3.278047703180212</v>
      </c>
      <c r="E20">
        <f t="shared" si="1"/>
        <v>1.44</v>
      </c>
      <c r="F20" s="10">
        <f t="shared" si="2"/>
        <v>1.44</v>
      </c>
    </row>
    <row r="21" spans="1:6" ht="12.75">
      <c r="A21" s="8" t="s">
        <v>23</v>
      </c>
      <c r="B21">
        <f>'South Pod Roof Columns'!D21+((30*600)/1000)+(('South Pod Column Loads'!B21)*3)</f>
        <v>133.88</v>
      </c>
      <c r="C21">
        <v>144</v>
      </c>
      <c r="D21">
        <f t="shared" si="3"/>
        <v>-5.693462897526501</v>
      </c>
      <c r="E21">
        <f t="shared" si="1"/>
        <v>1.44</v>
      </c>
      <c r="F21" s="10">
        <f t="shared" si="2"/>
        <v>1.44</v>
      </c>
    </row>
    <row r="22" spans="1:6" ht="12.75">
      <c r="A22" s="8" t="s">
        <v>24</v>
      </c>
      <c r="B22">
        <f>'South Pod Roof Columns'!D22+((30*600)/1000)+(('South Pod Column Loads'!B22)*3)</f>
        <v>222.76</v>
      </c>
      <c r="C22">
        <v>144</v>
      </c>
      <c r="D22">
        <f t="shared" si="3"/>
        <v>-3.730565371024735</v>
      </c>
      <c r="E22">
        <f t="shared" si="1"/>
        <v>1.44</v>
      </c>
      <c r="F22" s="10">
        <f t="shared" si="2"/>
        <v>1.44</v>
      </c>
    </row>
    <row r="23" spans="1:6" ht="12.75">
      <c r="A23" s="8" t="s">
        <v>25</v>
      </c>
      <c r="B23">
        <f>'South Pod Roof Columns'!D23+((30*600)/1000)+(('South Pod Column Loads'!B23)*3)</f>
        <v>133.88</v>
      </c>
      <c r="C23">
        <v>144</v>
      </c>
      <c r="D23">
        <f t="shared" si="3"/>
        <v>-5.693462897526501</v>
      </c>
      <c r="E23">
        <f t="shared" si="1"/>
        <v>1.44</v>
      </c>
      <c r="F23" s="10">
        <f t="shared" si="2"/>
        <v>1.44</v>
      </c>
    </row>
    <row r="24" spans="1:6" ht="12.75">
      <c r="A24" s="8" t="s">
        <v>55</v>
      </c>
      <c r="B24">
        <f>'South Pod Roof Columns'!D24+((30*600)/1000)+(('South Pod Column Loads'!B24)*3)</f>
        <v>425.57000000000005</v>
      </c>
      <c r="C24">
        <v>144</v>
      </c>
      <c r="D24">
        <f t="shared" si="3"/>
        <v>0.7484540636042403</v>
      </c>
      <c r="E24">
        <f>0.01*C24</f>
        <v>1.44</v>
      </c>
      <c r="F24" s="10">
        <f>MAX(D24:E24)</f>
        <v>1.44</v>
      </c>
    </row>
    <row r="25" spans="1:6" ht="12.75">
      <c r="A25" s="8" t="s">
        <v>56</v>
      </c>
      <c r="B25">
        <f>'South Pod Roof Columns'!D25+((30*600)/1000)+(('South Pod Column Loads'!B25)*3)</f>
        <v>455.40999999999997</v>
      </c>
      <c r="C25">
        <v>144</v>
      </c>
      <c r="D25">
        <f t="shared" si="3"/>
        <v>1.407464664310952</v>
      </c>
      <c r="E25">
        <f>0.01*C25</f>
        <v>1.44</v>
      </c>
      <c r="F25" s="10">
        <f>MAX(D25:E25)</f>
        <v>1.44</v>
      </c>
    </row>
    <row r="26" spans="1:6" ht="12.75">
      <c r="A26" s="9" t="s">
        <v>57</v>
      </c>
      <c r="B26">
        <f>(4*('S Floor 5'!B26))+((30*600)/1000)</f>
        <v>296.8</v>
      </c>
      <c r="C26">
        <v>144</v>
      </c>
      <c r="D26">
        <f t="shared" si="3"/>
        <v>-2.095406360424028</v>
      </c>
      <c r="E26">
        <f t="shared" si="1"/>
        <v>1.44</v>
      </c>
      <c r="F26" s="10">
        <f t="shared" si="2"/>
        <v>1.44</v>
      </c>
    </row>
    <row r="27" spans="1:6" ht="12.75">
      <c r="A27" s="9" t="s">
        <v>58</v>
      </c>
      <c r="B27">
        <f>(4*('S Floor 5'!B27))+((30*600)/1000)</f>
        <v>296.8</v>
      </c>
      <c r="C27">
        <v>144</v>
      </c>
      <c r="D27">
        <f t="shared" si="3"/>
        <v>-2.095406360424028</v>
      </c>
      <c r="E27">
        <f t="shared" si="1"/>
        <v>1.44</v>
      </c>
      <c r="F27" s="10">
        <f t="shared" si="2"/>
        <v>1.44</v>
      </c>
    </row>
    <row r="28" spans="1:6" ht="12.75">
      <c r="A28" s="9" t="s">
        <v>59</v>
      </c>
      <c r="B28">
        <f>(4*('S Floor 5'!B28))+((30*600)/1000)</f>
        <v>160.36</v>
      </c>
      <c r="C28">
        <v>144</v>
      </c>
      <c r="D28">
        <f t="shared" si="3"/>
        <v>-5.108657243816254</v>
      </c>
      <c r="E28">
        <f t="shared" si="1"/>
        <v>1.44</v>
      </c>
      <c r="F28" s="10">
        <f t="shared" si="2"/>
        <v>1.44</v>
      </c>
    </row>
    <row r="29" spans="1:6" ht="12.75">
      <c r="A29" s="9" t="s">
        <v>60</v>
      </c>
      <c r="B29">
        <f>(4*('S Floor 5'!B29))+((30*600)/1000)</f>
        <v>160.36</v>
      </c>
      <c r="C29">
        <v>144</v>
      </c>
      <c r="D29">
        <f t="shared" si="3"/>
        <v>-5.108657243816254</v>
      </c>
      <c r="E29">
        <f t="shared" si="1"/>
        <v>1.44</v>
      </c>
      <c r="F29" s="10">
        <f t="shared" si="2"/>
        <v>1.44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F2" sqref="F2:F29"/>
    </sheetView>
  </sheetViews>
  <sheetFormatPr defaultColWidth="11.00390625" defaultRowHeight="12.75"/>
  <sheetData>
    <row r="1" spans="1:6" ht="12.75">
      <c r="A1" t="s">
        <v>49</v>
      </c>
      <c r="B1" t="s">
        <v>50</v>
      </c>
      <c r="C1" t="s">
        <v>51</v>
      </c>
      <c r="D1" t="s">
        <v>52</v>
      </c>
      <c r="E1" t="s">
        <v>53</v>
      </c>
      <c r="F1" t="s">
        <v>54</v>
      </c>
    </row>
    <row r="2" spans="1:6" ht="12.75">
      <c r="A2" s="8" t="s">
        <v>4</v>
      </c>
      <c r="B2">
        <f>'South Pod Roof Columns'!D2+((20*600)/1000)+(('South Pod Column Loads'!B2)*2)</f>
        <v>96.58</v>
      </c>
      <c r="C2">
        <v>144</v>
      </c>
      <c r="D2">
        <f>(((B2*1000)/0.8)-489600)/56600</f>
        <v>-6.517226148409894</v>
      </c>
      <c r="E2">
        <f aca="true" t="shared" si="0" ref="E2:E29">0.01*C2</f>
        <v>1.44</v>
      </c>
      <c r="F2" s="10">
        <f aca="true" t="shared" si="1" ref="F2:F29">MAX(D2:E2)</f>
        <v>1.44</v>
      </c>
    </row>
    <row r="3" spans="1:6" ht="12.75">
      <c r="A3" s="8" t="s">
        <v>5</v>
      </c>
      <c r="B3">
        <f>'South Pod Roof Columns'!D3+((20*600)/1000)+(('South Pod Column Loads'!B3)*2)</f>
        <v>162.82</v>
      </c>
      <c r="C3">
        <v>144</v>
      </c>
      <c r="D3">
        <f aca="true" t="shared" si="2" ref="D3:D29">(((B3*1000)/0.8)-489600)/56600</f>
        <v>-5.054328621908128</v>
      </c>
      <c r="E3">
        <f t="shared" si="0"/>
        <v>1.44</v>
      </c>
      <c r="F3" s="10">
        <f t="shared" si="1"/>
        <v>1.44</v>
      </c>
    </row>
    <row r="4" spans="1:6" ht="12.75">
      <c r="A4" s="8" t="s">
        <v>6</v>
      </c>
      <c r="B4">
        <f>'South Pod Roof Columns'!D4+((20*600)/1000)+(('South Pod Column Loads'!B4)*2)</f>
        <v>96.58000000000001</v>
      </c>
      <c r="C4">
        <v>144</v>
      </c>
      <c r="D4">
        <f t="shared" si="2"/>
        <v>-6.517226148409894</v>
      </c>
      <c r="E4">
        <f t="shared" si="0"/>
        <v>1.44</v>
      </c>
      <c r="F4" s="10">
        <f t="shared" si="1"/>
        <v>1.44</v>
      </c>
    </row>
    <row r="5" spans="1:6" ht="12.75">
      <c r="A5" s="8" t="s">
        <v>7</v>
      </c>
      <c r="B5">
        <f>'South Pod Roof Columns'!D5+((20*600)/1000)+(('South Pod Column Loads'!B5)*2)</f>
        <v>178.37</v>
      </c>
      <c r="C5">
        <v>144</v>
      </c>
      <c r="D5">
        <f t="shared" si="2"/>
        <v>-4.710909893992933</v>
      </c>
      <c r="E5">
        <f t="shared" si="0"/>
        <v>1.44</v>
      </c>
      <c r="F5" s="10">
        <f t="shared" si="1"/>
        <v>1.44</v>
      </c>
    </row>
    <row r="6" spans="1:6" ht="12.75">
      <c r="A6" s="8" t="s">
        <v>8</v>
      </c>
      <c r="B6">
        <f>'South Pod Roof Columns'!D6+((20*600)/1000)+(('South Pod Column Loads'!B6)*2)</f>
        <v>188.9</v>
      </c>
      <c r="C6">
        <v>144</v>
      </c>
      <c r="D6">
        <f t="shared" si="2"/>
        <v>-4.478356890459364</v>
      </c>
      <c r="E6">
        <f t="shared" si="0"/>
        <v>1.44</v>
      </c>
      <c r="F6" s="10">
        <f t="shared" si="1"/>
        <v>1.44</v>
      </c>
    </row>
    <row r="7" spans="1:6" ht="12.75">
      <c r="A7" s="8" t="s">
        <v>9</v>
      </c>
      <c r="B7">
        <f>'South Pod Roof Columns'!D7+((20*600)/1000)+(('South Pod Column Loads'!B7)*2)</f>
        <v>272.98</v>
      </c>
      <c r="C7">
        <v>144</v>
      </c>
      <c r="D7">
        <f t="shared" si="2"/>
        <v>-2.6214664310954063</v>
      </c>
      <c r="E7">
        <f t="shared" si="0"/>
        <v>1.44</v>
      </c>
      <c r="F7" s="10">
        <f t="shared" si="1"/>
        <v>1.44</v>
      </c>
    </row>
    <row r="8" spans="1:6" ht="12.75">
      <c r="A8" s="8" t="s">
        <v>10</v>
      </c>
      <c r="B8">
        <f>'South Pod Roof Columns'!D8+((20*600)/1000)+(('South Pod Column Loads'!B8)*2)</f>
        <v>455.93</v>
      </c>
      <c r="C8">
        <v>144</v>
      </c>
      <c r="D8">
        <f t="shared" si="2"/>
        <v>1.4189487632508835</v>
      </c>
      <c r="E8">
        <f t="shared" si="0"/>
        <v>1.44</v>
      </c>
      <c r="F8" s="10">
        <f t="shared" si="1"/>
        <v>1.44</v>
      </c>
    </row>
    <row r="9" spans="1:6" ht="12.75">
      <c r="A9" s="8" t="s">
        <v>11</v>
      </c>
      <c r="B9">
        <f>'South Pod Roof Columns'!D9+((20*600)/1000)+(('South Pod Column Loads'!B9)*2)</f>
        <v>270.85</v>
      </c>
      <c r="C9">
        <v>144</v>
      </c>
      <c r="D9">
        <f t="shared" si="2"/>
        <v>-2.668507067137809</v>
      </c>
      <c r="E9">
        <f t="shared" si="0"/>
        <v>1.44</v>
      </c>
      <c r="F9" s="10">
        <f t="shared" si="1"/>
        <v>1.44</v>
      </c>
    </row>
    <row r="10" spans="1:6" ht="12.75">
      <c r="A10" s="8" t="s">
        <v>12</v>
      </c>
      <c r="B10">
        <f>'South Pod Roof Columns'!D10+((20*600)/1000)+(('South Pod Column Loads'!B10)*2)</f>
        <v>392.43</v>
      </c>
      <c r="C10">
        <v>144</v>
      </c>
      <c r="D10">
        <f t="shared" si="2"/>
        <v>0.016563604240282685</v>
      </c>
      <c r="E10">
        <f t="shared" si="0"/>
        <v>1.44</v>
      </c>
      <c r="F10" s="10">
        <f t="shared" si="1"/>
        <v>1.44</v>
      </c>
    </row>
    <row r="11" spans="1:6" ht="12.75">
      <c r="A11" s="8" t="s">
        <v>13</v>
      </c>
      <c r="B11">
        <f>'South Pod Roof Columns'!D11+((20*600)/1000)+(('South Pod Column Loads'!B11)*2)</f>
        <v>337.6</v>
      </c>
      <c r="C11">
        <v>144</v>
      </c>
      <c r="D11">
        <f t="shared" si="2"/>
        <v>-1.1943462897526502</v>
      </c>
      <c r="E11">
        <f t="shared" si="0"/>
        <v>1.44</v>
      </c>
      <c r="F11" s="10">
        <f t="shared" si="1"/>
        <v>1.44</v>
      </c>
    </row>
    <row r="12" spans="1:6" ht="12.75">
      <c r="A12" s="8" t="s">
        <v>14</v>
      </c>
      <c r="B12">
        <f>'South Pod Roof Columns'!D12+((20*600)/1000)+(('South Pod Column Loads'!B12)*2)</f>
        <v>338.01</v>
      </c>
      <c r="C12">
        <v>144</v>
      </c>
      <c r="D12">
        <f t="shared" si="2"/>
        <v>-1.185291519434629</v>
      </c>
      <c r="E12">
        <f t="shared" si="0"/>
        <v>1.44</v>
      </c>
      <c r="F12" s="10">
        <f t="shared" si="1"/>
        <v>1.44</v>
      </c>
    </row>
    <row r="13" spans="1:6" ht="12.75">
      <c r="A13" s="8" t="s">
        <v>15</v>
      </c>
      <c r="B13">
        <f>'South Pod Roof Columns'!D13+((20*600)/1000)+(('South Pod Column Loads'!B13)*2)</f>
        <v>592.8</v>
      </c>
      <c r="C13">
        <v>144</v>
      </c>
      <c r="D13">
        <f t="shared" si="2"/>
        <v>4.4416961130742045</v>
      </c>
      <c r="E13">
        <f t="shared" si="0"/>
        <v>1.44</v>
      </c>
      <c r="F13" s="10">
        <f t="shared" si="1"/>
        <v>4.4416961130742045</v>
      </c>
    </row>
    <row r="14" spans="1:6" ht="12.75">
      <c r="A14" s="8" t="s">
        <v>16</v>
      </c>
      <c r="B14">
        <f>'South Pod Roof Columns'!D14+((20*600)/1000)+(('South Pod Column Loads'!B14)*2)</f>
        <v>444.61</v>
      </c>
      <c r="C14">
        <v>144</v>
      </c>
      <c r="D14">
        <f t="shared" si="2"/>
        <v>1.1689487632508835</v>
      </c>
      <c r="E14">
        <f t="shared" si="0"/>
        <v>1.44</v>
      </c>
      <c r="F14" s="10">
        <f t="shared" si="1"/>
        <v>1.44</v>
      </c>
    </row>
    <row r="15" spans="1:6" ht="12.75">
      <c r="A15" s="8" t="s">
        <v>17</v>
      </c>
      <c r="B15">
        <f>'South Pod Roof Columns'!D15+((20*600)/1000)+(('South Pod Column Loads'!B15)*2)</f>
        <v>255.9</v>
      </c>
      <c r="C15">
        <v>144</v>
      </c>
      <c r="D15">
        <f t="shared" si="2"/>
        <v>-2.9986749116607774</v>
      </c>
      <c r="E15">
        <f t="shared" si="0"/>
        <v>1.44</v>
      </c>
      <c r="F15" s="10">
        <f t="shared" si="1"/>
        <v>1.44</v>
      </c>
    </row>
    <row r="16" spans="1:6" ht="12.75">
      <c r="A16" s="8" t="s">
        <v>18</v>
      </c>
      <c r="B16">
        <f>'South Pod Roof Columns'!D16+((20*600)/1000)+(('South Pod Column Loads'!B16)*2)</f>
        <v>528.12</v>
      </c>
      <c r="C16">
        <v>144</v>
      </c>
      <c r="D16">
        <f t="shared" si="2"/>
        <v>3.0132508833922262</v>
      </c>
      <c r="E16">
        <f t="shared" si="0"/>
        <v>1.44</v>
      </c>
      <c r="F16" s="10">
        <f t="shared" si="1"/>
        <v>3.0132508833922262</v>
      </c>
    </row>
    <row r="17" spans="1:6" ht="12.75">
      <c r="A17" s="8" t="s">
        <v>19</v>
      </c>
      <c r="B17">
        <f>'South Pod Roof Columns'!D17+((20*600)/1000)+(('South Pod Column Loads'!B17)*2)</f>
        <v>270.96</v>
      </c>
      <c r="C17">
        <v>144</v>
      </c>
      <c r="D17">
        <f t="shared" si="2"/>
        <v>-2.666077738515901</v>
      </c>
      <c r="E17">
        <f t="shared" si="0"/>
        <v>1.44</v>
      </c>
      <c r="F17" s="10">
        <f t="shared" si="1"/>
        <v>1.44</v>
      </c>
    </row>
    <row r="18" spans="1:6" ht="12.75">
      <c r="A18" s="8" t="s">
        <v>20</v>
      </c>
      <c r="B18">
        <f>'South Pod Roof Columns'!D18+((20*600)/1000)+(('South Pod Column Loads'!B18)*2)</f>
        <v>446.57</v>
      </c>
      <c r="C18">
        <v>144</v>
      </c>
      <c r="D18">
        <f t="shared" si="2"/>
        <v>1.2122349823321554</v>
      </c>
      <c r="E18">
        <f t="shared" si="0"/>
        <v>1.44</v>
      </c>
      <c r="F18" s="10">
        <f t="shared" si="1"/>
        <v>1.44</v>
      </c>
    </row>
    <row r="19" spans="1:6" ht="12.75">
      <c r="A19" s="8" t="s">
        <v>21</v>
      </c>
      <c r="B19">
        <f>'South Pod Roof Columns'!D19+((20*600)/1000)+(('South Pod Column Loads'!B19)*2)</f>
        <v>180.39</v>
      </c>
      <c r="C19">
        <v>144</v>
      </c>
      <c r="D19">
        <f t="shared" si="2"/>
        <v>-4.666298586572438</v>
      </c>
      <c r="E19">
        <f t="shared" si="0"/>
        <v>1.44</v>
      </c>
      <c r="F19" s="10">
        <f t="shared" si="1"/>
        <v>1.44</v>
      </c>
    </row>
    <row r="20" spans="1:6" ht="12.75">
      <c r="A20" s="8" t="s">
        <v>22</v>
      </c>
      <c r="B20">
        <f>'South Pod Roof Columns'!D20+((20*600)/1000)+(('South Pod Column Loads'!B20)*2)</f>
        <v>180.39</v>
      </c>
      <c r="C20">
        <v>144</v>
      </c>
      <c r="D20">
        <f t="shared" si="2"/>
        <v>-4.666298586572438</v>
      </c>
      <c r="E20">
        <f t="shared" si="0"/>
        <v>1.44</v>
      </c>
      <c r="F20" s="10">
        <f t="shared" si="1"/>
        <v>1.44</v>
      </c>
    </row>
    <row r="21" spans="1:6" ht="12.75">
      <c r="A21" s="8" t="s">
        <v>23</v>
      </c>
      <c r="B21">
        <f>'South Pod Roof Columns'!D21+((20*600)/1000)+(('South Pod Column Loads'!B21)*2)</f>
        <v>96.58000000000001</v>
      </c>
      <c r="C21">
        <v>144</v>
      </c>
      <c r="D21">
        <f t="shared" si="2"/>
        <v>-6.517226148409894</v>
      </c>
      <c r="E21">
        <f t="shared" si="0"/>
        <v>1.44</v>
      </c>
      <c r="F21" s="10">
        <f t="shared" si="1"/>
        <v>1.44</v>
      </c>
    </row>
    <row r="22" spans="1:6" ht="12.75">
      <c r="A22" s="8" t="s">
        <v>24</v>
      </c>
      <c r="B22">
        <f>'South Pod Roof Columns'!D22+((20*600)/1000)+(('South Pod Column Loads'!B22)*2)</f>
        <v>162.82</v>
      </c>
      <c r="C22">
        <v>144</v>
      </c>
      <c r="D22">
        <f t="shared" si="2"/>
        <v>-5.054328621908128</v>
      </c>
      <c r="E22">
        <f t="shared" si="0"/>
        <v>1.44</v>
      </c>
      <c r="F22" s="10">
        <f t="shared" si="1"/>
        <v>1.44</v>
      </c>
    </row>
    <row r="23" spans="1:6" ht="12.75">
      <c r="A23" s="8" t="s">
        <v>25</v>
      </c>
      <c r="B23">
        <f>'South Pod Roof Columns'!D23+((20*600)/1000)+(('South Pod Column Loads'!B23)*2)</f>
        <v>96.58000000000001</v>
      </c>
      <c r="C23">
        <v>144</v>
      </c>
      <c r="D23">
        <f t="shared" si="2"/>
        <v>-6.517226148409894</v>
      </c>
      <c r="E23">
        <f t="shared" si="0"/>
        <v>1.44</v>
      </c>
      <c r="F23" s="10">
        <f t="shared" si="1"/>
        <v>1.44</v>
      </c>
    </row>
    <row r="24" spans="1:6" ht="12.75">
      <c r="A24" s="8" t="s">
        <v>55</v>
      </c>
      <c r="B24">
        <f>'South Pod Roof Columns'!D24+((20*600)/1000)+(('South Pod Column Loads'!B24)*2)</f>
        <v>308.42</v>
      </c>
      <c r="C24">
        <v>144</v>
      </c>
      <c r="D24">
        <f>(((B24*1000)/0.8)-489600)/56600</f>
        <v>-1.8387809187279152</v>
      </c>
      <c r="E24">
        <f>0.01*C24</f>
        <v>1.44</v>
      </c>
      <c r="F24" s="10">
        <f>MAX(D24:E24)</f>
        <v>1.44</v>
      </c>
    </row>
    <row r="25" spans="1:6" ht="12.75">
      <c r="A25" s="8" t="s">
        <v>56</v>
      </c>
      <c r="B25">
        <f>'South Pod Roof Columns'!D25+((20*600)/1000)+(('South Pod Column Loads'!B25)*2)</f>
        <v>330.8</v>
      </c>
      <c r="C25">
        <v>144</v>
      </c>
      <c r="D25">
        <f>(((B25*1000)/0.8)-489600)/56600</f>
        <v>-1.3445229681978799</v>
      </c>
      <c r="E25">
        <f>0.01*C25</f>
        <v>1.44</v>
      </c>
      <c r="F25" s="10">
        <f>MAX(D25:E25)</f>
        <v>1.44</v>
      </c>
    </row>
    <row r="26" spans="1:6" ht="12.75">
      <c r="A26" s="9" t="s">
        <v>57</v>
      </c>
      <c r="B26">
        <f>(3*('S Floor 5'!B26))+((20*600)/1000)</f>
        <v>221.10000000000002</v>
      </c>
      <c r="C26">
        <v>144</v>
      </c>
      <c r="D26">
        <f t="shared" si="2"/>
        <v>-3.767226148409894</v>
      </c>
      <c r="E26">
        <f t="shared" si="0"/>
        <v>1.44</v>
      </c>
      <c r="F26" s="10">
        <f t="shared" si="1"/>
        <v>1.44</v>
      </c>
    </row>
    <row r="27" spans="1:6" ht="12.75">
      <c r="A27" s="9" t="s">
        <v>58</v>
      </c>
      <c r="B27">
        <f>(3*('S Floor 5'!B27))+((20*600)/1000)</f>
        <v>221.10000000000002</v>
      </c>
      <c r="C27">
        <v>144</v>
      </c>
      <c r="D27">
        <f t="shared" si="2"/>
        <v>-3.767226148409894</v>
      </c>
      <c r="E27">
        <f t="shared" si="0"/>
        <v>1.44</v>
      </c>
      <c r="F27" s="10">
        <f t="shared" si="1"/>
        <v>1.44</v>
      </c>
    </row>
    <row r="28" spans="1:6" ht="12.75">
      <c r="A28" s="9" t="s">
        <v>59</v>
      </c>
      <c r="B28">
        <f>(3*('S Floor 5'!B28))+((20*600)/1000)</f>
        <v>118.77000000000001</v>
      </c>
      <c r="C28">
        <v>144</v>
      </c>
      <c r="D28">
        <f t="shared" si="2"/>
        <v>-6.027164310954063</v>
      </c>
      <c r="E28">
        <f t="shared" si="0"/>
        <v>1.44</v>
      </c>
      <c r="F28" s="10">
        <f t="shared" si="1"/>
        <v>1.44</v>
      </c>
    </row>
    <row r="29" spans="1:6" ht="12.75">
      <c r="A29" s="9" t="s">
        <v>60</v>
      </c>
      <c r="B29">
        <f>(3*('S Floor 5'!B29))+((20*600)/1000)</f>
        <v>118.77000000000001</v>
      </c>
      <c r="C29">
        <v>144</v>
      </c>
      <c r="D29">
        <f t="shared" si="2"/>
        <v>-6.027164310954063</v>
      </c>
      <c r="E29">
        <f t="shared" si="0"/>
        <v>1.44</v>
      </c>
      <c r="F29" s="10">
        <f t="shared" si="1"/>
        <v>1.44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B2" sqref="B2:B25"/>
    </sheetView>
  </sheetViews>
  <sheetFormatPr defaultColWidth="11.00390625" defaultRowHeight="12.75"/>
  <sheetData>
    <row r="1" spans="1:6" ht="12.75">
      <c r="A1" t="s">
        <v>49</v>
      </c>
      <c r="B1" t="s">
        <v>50</v>
      </c>
      <c r="C1" t="s">
        <v>51</v>
      </c>
      <c r="D1" t="s">
        <v>52</v>
      </c>
      <c r="E1" t="s">
        <v>53</v>
      </c>
      <c r="F1" t="s">
        <v>54</v>
      </c>
    </row>
    <row r="2" spans="1:6" ht="12.75">
      <c r="A2" s="8" t="s">
        <v>4</v>
      </c>
      <c r="B2">
        <f>'South Pod Roof Columns'!D2+((10*600)/1000)+'South Pod Column Loads'!B2</f>
        <v>59.28</v>
      </c>
      <c r="C2">
        <v>144</v>
      </c>
      <c r="D2">
        <f>(((B2*1000)/0.8)-489600)/56600</f>
        <v>-7.340989399293286</v>
      </c>
      <c r="E2">
        <f aca="true" t="shared" si="0" ref="E2:E25">0.01*C2</f>
        <v>1.44</v>
      </c>
      <c r="F2">
        <f aca="true" t="shared" si="1" ref="F2:F25">MAX(D2:E2)</f>
        <v>1.44</v>
      </c>
    </row>
    <row r="3" spans="1:6" ht="12.75">
      <c r="A3" s="8" t="s">
        <v>5</v>
      </c>
      <c r="B3">
        <f>'South Pod Roof Columns'!D3+((10*600)/1000)+'South Pod Column Loads'!B3</f>
        <v>102.88</v>
      </c>
      <c r="C3">
        <v>144</v>
      </c>
      <c r="D3">
        <f aca="true" t="shared" si="2" ref="D3:D29">(((B3*1000)/0.8)-489600)/56600</f>
        <v>-6.3780918727915195</v>
      </c>
      <c r="E3">
        <f t="shared" si="0"/>
        <v>1.44</v>
      </c>
      <c r="F3">
        <f t="shared" si="1"/>
        <v>1.44</v>
      </c>
    </row>
    <row r="4" spans="1:6" ht="12.75">
      <c r="A4" s="8" t="s">
        <v>6</v>
      </c>
      <c r="B4">
        <f>'South Pod Roof Columns'!D4+((10*600)/1000)+'South Pod Column Loads'!B4</f>
        <v>59.28</v>
      </c>
      <c r="C4">
        <v>144</v>
      </c>
      <c r="D4">
        <f t="shared" si="2"/>
        <v>-7.340989399293286</v>
      </c>
      <c r="E4">
        <f t="shared" si="0"/>
        <v>1.44</v>
      </c>
      <c r="F4">
        <f t="shared" si="1"/>
        <v>1.44</v>
      </c>
    </row>
    <row r="5" spans="1:6" ht="12.75">
      <c r="A5" s="8" t="s">
        <v>7</v>
      </c>
      <c r="B5">
        <f>'South Pod Roof Columns'!D5+((10*600)/1000)+'South Pod Column Loads'!B5</f>
        <v>115.51</v>
      </c>
      <c r="C5">
        <v>144</v>
      </c>
      <c r="D5">
        <f t="shared" si="2"/>
        <v>-6.099160777385159</v>
      </c>
      <c r="E5">
        <f t="shared" si="0"/>
        <v>1.44</v>
      </c>
      <c r="F5">
        <f t="shared" si="1"/>
        <v>1.44</v>
      </c>
    </row>
    <row r="6" spans="1:6" ht="12.75">
      <c r="A6" s="8" t="s">
        <v>8</v>
      </c>
      <c r="B6">
        <f>'South Pod Roof Columns'!D6+((10*600)/1000)+'South Pod Column Loads'!B6</f>
        <v>126.04</v>
      </c>
      <c r="C6">
        <v>144</v>
      </c>
      <c r="D6">
        <f t="shared" si="2"/>
        <v>-5.86660777385159</v>
      </c>
      <c r="E6">
        <f t="shared" si="0"/>
        <v>1.44</v>
      </c>
      <c r="F6">
        <f t="shared" si="1"/>
        <v>1.44</v>
      </c>
    </row>
    <row r="7" spans="1:6" ht="12.75">
      <c r="A7" s="8" t="s">
        <v>9</v>
      </c>
      <c r="B7">
        <f>'South Pod Roof Columns'!D7+((10*600)/1000)+'South Pod Column Loads'!B7</f>
        <v>177.44</v>
      </c>
      <c r="C7">
        <v>144</v>
      </c>
      <c r="D7">
        <f t="shared" si="2"/>
        <v>-4.731448763250883</v>
      </c>
      <c r="E7">
        <f t="shared" si="0"/>
        <v>1.44</v>
      </c>
      <c r="F7">
        <f t="shared" si="1"/>
        <v>1.44</v>
      </c>
    </row>
    <row r="8" spans="1:6" ht="12.75">
      <c r="A8" s="8" t="s">
        <v>10</v>
      </c>
      <c r="B8">
        <f>'South Pod Roof Columns'!D8+((10*600)/1000)+'South Pod Column Loads'!B8</f>
        <v>283.77</v>
      </c>
      <c r="C8">
        <v>144</v>
      </c>
      <c r="D8">
        <f t="shared" si="2"/>
        <v>-2.383171378091873</v>
      </c>
      <c r="E8">
        <f t="shared" si="0"/>
        <v>1.44</v>
      </c>
      <c r="F8">
        <f t="shared" si="1"/>
        <v>1.44</v>
      </c>
    </row>
    <row r="9" spans="1:6" ht="12.75">
      <c r="A9" s="8" t="s">
        <v>11</v>
      </c>
      <c r="B9">
        <f>'South Pod Roof Columns'!D9+((10*600)/1000)+'South Pod Column Loads'!B9</f>
        <v>176.22</v>
      </c>
      <c r="C9">
        <v>144</v>
      </c>
      <c r="D9">
        <f t="shared" si="2"/>
        <v>-4.75839222614841</v>
      </c>
      <c r="E9">
        <f t="shared" si="0"/>
        <v>1.44</v>
      </c>
      <c r="F9">
        <f t="shared" si="1"/>
        <v>1.44</v>
      </c>
    </row>
    <row r="10" spans="1:6" ht="12.75">
      <c r="A10" s="8" t="s">
        <v>12</v>
      </c>
      <c r="B10">
        <f>'South Pod Roof Columns'!D10+((10*600)/1000)+'South Pod Column Loads'!B10</f>
        <v>243.38</v>
      </c>
      <c r="C10">
        <v>144</v>
      </c>
      <c r="D10">
        <f t="shared" si="2"/>
        <v>-3.27517667844523</v>
      </c>
      <c r="E10">
        <f t="shared" si="0"/>
        <v>1.44</v>
      </c>
      <c r="F10">
        <f t="shared" si="1"/>
        <v>1.44</v>
      </c>
    </row>
    <row r="11" spans="1:6" ht="12.75">
      <c r="A11" s="8" t="s">
        <v>13</v>
      </c>
      <c r="B11">
        <f>'South Pod Roof Columns'!D11+((10*600)/1000)+'South Pod Column Loads'!B11</f>
        <v>220.61</v>
      </c>
      <c r="C11">
        <v>144</v>
      </c>
      <c r="D11">
        <f t="shared" si="2"/>
        <v>-3.778047703180212</v>
      </c>
      <c r="E11">
        <f t="shared" si="0"/>
        <v>1.44</v>
      </c>
      <c r="F11">
        <f t="shared" si="1"/>
        <v>1.44</v>
      </c>
    </row>
    <row r="12" spans="1:6" ht="12.75">
      <c r="A12" s="8" t="s">
        <v>14</v>
      </c>
      <c r="B12">
        <f>'South Pod Roof Columns'!D12+((10*600)/1000)+'South Pod Column Loads'!B12</f>
        <v>225.79</v>
      </c>
      <c r="C12">
        <v>144</v>
      </c>
      <c r="D12">
        <f t="shared" si="2"/>
        <v>-3.6636484098939928</v>
      </c>
      <c r="E12">
        <f t="shared" si="0"/>
        <v>1.44</v>
      </c>
      <c r="F12">
        <f t="shared" si="1"/>
        <v>1.44</v>
      </c>
    </row>
    <row r="13" spans="1:6" ht="12.75">
      <c r="A13" s="8" t="s">
        <v>15</v>
      </c>
      <c r="B13">
        <f>'South Pod Roof Columns'!D13+((10*600)/1000)+'South Pod Column Loads'!B13</f>
        <v>433.34999999999997</v>
      </c>
      <c r="C13">
        <v>144</v>
      </c>
      <c r="D13">
        <f t="shared" si="2"/>
        <v>0.920273851590104</v>
      </c>
      <c r="E13">
        <f t="shared" si="0"/>
        <v>1.44</v>
      </c>
      <c r="F13">
        <f t="shared" si="1"/>
        <v>1.44</v>
      </c>
    </row>
    <row r="14" spans="1:6" ht="12.75">
      <c r="A14" s="8" t="s">
        <v>16</v>
      </c>
      <c r="B14">
        <f>'South Pod Roof Columns'!D14+((10*600)/1000)+'South Pod Column Loads'!B14</f>
        <v>319.93</v>
      </c>
      <c r="C14">
        <v>144</v>
      </c>
      <c r="D14">
        <f t="shared" si="2"/>
        <v>-1.5845848056537102</v>
      </c>
      <c r="E14">
        <f t="shared" si="0"/>
        <v>1.44</v>
      </c>
      <c r="F14">
        <f t="shared" si="1"/>
        <v>1.44</v>
      </c>
    </row>
    <row r="15" spans="1:6" ht="12.75">
      <c r="A15" s="8" t="s">
        <v>17</v>
      </c>
      <c r="B15">
        <f>'South Pod Roof Columns'!D15+((10*600)/1000)+'South Pod Column Loads'!B15</f>
        <v>177.73000000000002</v>
      </c>
      <c r="C15">
        <v>144</v>
      </c>
      <c r="D15">
        <f t="shared" si="2"/>
        <v>-4.725044169611308</v>
      </c>
      <c r="E15">
        <f t="shared" si="0"/>
        <v>1.44</v>
      </c>
      <c r="F15">
        <f t="shared" si="1"/>
        <v>1.44</v>
      </c>
    </row>
    <row r="16" spans="1:6" ht="12.75">
      <c r="A16" s="8" t="s">
        <v>18</v>
      </c>
      <c r="B16">
        <f>'South Pod Roof Columns'!D16+((10*600)/1000)+'South Pod Column Loads'!B16</f>
        <v>398.36</v>
      </c>
      <c r="C16">
        <v>144</v>
      </c>
      <c r="D16">
        <f t="shared" si="2"/>
        <v>0.14752650176678445</v>
      </c>
      <c r="E16">
        <f t="shared" si="0"/>
        <v>1.44</v>
      </c>
      <c r="F16">
        <f t="shared" si="1"/>
        <v>1.44</v>
      </c>
    </row>
    <row r="17" spans="1:6" ht="12.75">
      <c r="A17" s="8" t="s">
        <v>19</v>
      </c>
      <c r="B17">
        <f>'South Pod Roof Columns'!D17+((10*600)/1000)+'South Pod Column Loads'!B17</f>
        <v>175.42</v>
      </c>
      <c r="C17">
        <v>144</v>
      </c>
      <c r="D17">
        <f t="shared" si="2"/>
        <v>-4.776060070671378</v>
      </c>
      <c r="E17">
        <f t="shared" si="0"/>
        <v>1.44</v>
      </c>
      <c r="F17">
        <f t="shared" si="1"/>
        <v>1.44</v>
      </c>
    </row>
    <row r="18" spans="1:6" ht="12.75">
      <c r="A18" s="8" t="s">
        <v>20</v>
      </c>
      <c r="B18">
        <f>'South Pod Roof Columns'!D18+((10*600)/1000)+'South Pod Column Loads'!B18</f>
        <v>292.51</v>
      </c>
      <c r="C18">
        <v>144</v>
      </c>
      <c r="D18">
        <f t="shared" si="2"/>
        <v>-2.1901501766784452</v>
      </c>
      <c r="E18">
        <f t="shared" si="0"/>
        <v>1.44</v>
      </c>
      <c r="F18">
        <f t="shared" si="1"/>
        <v>1.44</v>
      </c>
    </row>
    <row r="19" spans="1:6" ht="12.75">
      <c r="A19" s="8" t="s">
        <v>21</v>
      </c>
      <c r="B19">
        <f>'South Pod Roof Columns'!D19+((10*600)/1000)+'South Pod Column Loads'!B19</f>
        <v>117.53</v>
      </c>
      <c r="C19">
        <v>144</v>
      </c>
      <c r="D19">
        <f t="shared" si="2"/>
        <v>-6.054549469964664</v>
      </c>
      <c r="E19">
        <f t="shared" si="0"/>
        <v>1.44</v>
      </c>
      <c r="F19">
        <f t="shared" si="1"/>
        <v>1.44</v>
      </c>
    </row>
    <row r="20" spans="1:6" ht="12.75">
      <c r="A20" s="8" t="s">
        <v>22</v>
      </c>
      <c r="B20">
        <f>'South Pod Roof Columns'!D20+((10*600)/1000)+'South Pod Column Loads'!B20</f>
        <v>117.53</v>
      </c>
      <c r="C20">
        <v>144</v>
      </c>
      <c r="D20">
        <f t="shared" si="2"/>
        <v>-6.054549469964664</v>
      </c>
      <c r="E20">
        <f t="shared" si="0"/>
        <v>1.44</v>
      </c>
      <c r="F20">
        <f t="shared" si="1"/>
        <v>1.44</v>
      </c>
    </row>
    <row r="21" spans="1:6" ht="12.75">
      <c r="A21" s="8" t="s">
        <v>23</v>
      </c>
      <c r="B21">
        <f>'South Pod Roof Columns'!D21+((10*600)/1000)+'South Pod Column Loads'!B21</f>
        <v>59.28</v>
      </c>
      <c r="C21">
        <v>144</v>
      </c>
      <c r="D21">
        <f t="shared" si="2"/>
        <v>-7.340989399293286</v>
      </c>
      <c r="E21">
        <f t="shared" si="0"/>
        <v>1.44</v>
      </c>
      <c r="F21">
        <f t="shared" si="1"/>
        <v>1.44</v>
      </c>
    </row>
    <row r="22" spans="1:6" ht="12.75">
      <c r="A22" s="8" t="s">
        <v>24</v>
      </c>
      <c r="B22">
        <f>'South Pod Roof Columns'!D22+((10*600)/1000)+'South Pod Column Loads'!B22</f>
        <v>102.88</v>
      </c>
      <c r="C22">
        <v>144</v>
      </c>
      <c r="D22">
        <f t="shared" si="2"/>
        <v>-6.3780918727915195</v>
      </c>
      <c r="E22">
        <f t="shared" si="0"/>
        <v>1.44</v>
      </c>
      <c r="F22">
        <f t="shared" si="1"/>
        <v>1.44</v>
      </c>
    </row>
    <row r="23" spans="1:6" ht="12.75">
      <c r="A23" s="8" t="s">
        <v>25</v>
      </c>
      <c r="B23">
        <f>'South Pod Roof Columns'!D23+((10*600)/1000)+'South Pod Column Loads'!B23</f>
        <v>59.28</v>
      </c>
      <c r="C23">
        <v>144</v>
      </c>
      <c r="D23">
        <f t="shared" si="2"/>
        <v>-7.340989399293286</v>
      </c>
      <c r="E23">
        <f t="shared" si="0"/>
        <v>1.44</v>
      </c>
      <c r="F23">
        <f t="shared" si="1"/>
        <v>1.44</v>
      </c>
    </row>
    <row r="24" spans="1:6" ht="12.75">
      <c r="A24" s="8" t="s">
        <v>55</v>
      </c>
      <c r="B24">
        <f>'South Pod Roof Columns'!D24+((10*600)/1000)+'South Pod Column Loads'!B24</f>
        <v>191.27</v>
      </c>
      <c r="C24">
        <v>144</v>
      </c>
      <c r="D24">
        <f t="shared" si="2"/>
        <v>-4.426015901060071</v>
      </c>
      <c r="E24">
        <f t="shared" si="0"/>
        <v>1.44</v>
      </c>
      <c r="F24">
        <f t="shared" si="1"/>
        <v>1.44</v>
      </c>
    </row>
    <row r="25" spans="1:6" ht="12.75">
      <c r="A25" s="8" t="s">
        <v>56</v>
      </c>
      <c r="B25">
        <f>'South Pod Roof Columns'!D25+((10*600)/1000)+'South Pod Column Loads'!B25</f>
        <v>206.19</v>
      </c>
      <c r="C25">
        <v>144</v>
      </c>
      <c r="D25">
        <f t="shared" si="2"/>
        <v>-4.096510600706714</v>
      </c>
      <c r="E25">
        <f t="shared" si="0"/>
        <v>1.44</v>
      </c>
      <c r="F25">
        <f t="shared" si="1"/>
        <v>1.44</v>
      </c>
    </row>
    <row r="26" spans="1:6" ht="12.75">
      <c r="A26" s="9" t="s">
        <v>57</v>
      </c>
      <c r="B26">
        <f>(2*('S Floor 5'!B26))+((10*600)/1000)</f>
        <v>145.4</v>
      </c>
      <c r="C26">
        <v>144</v>
      </c>
      <c r="D26">
        <f t="shared" si="2"/>
        <v>-5.439045936395759</v>
      </c>
      <c r="E26">
        <f>0.01*C26</f>
        <v>1.44</v>
      </c>
      <c r="F26">
        <f>MAX(D26:E26)</f>
        <v>1.44</v>
      </c>
    </row>
    <row r="27" spans="1:6" ht="12.75">
      <c r="A27" s="9" t="s">
        <v>58</v>
      </c>
      <c r="B27">
        <f>(2*('S Floor 5'!B27))+((10*600)/1000)</f>
        <v>145.4</v>
      </c>
      <c r="C27">
        <v>144</v>
      </c>
      <c r="D27">
        <f t="shared" si="2"/>
        <v>-5.439045936395759</v>
      </c>
      <c r="E27">
        <f>0.01*C27</f>
        <v>1.44</v>
      </c>
      <c r="F27">
        <f>MAX(D27:E27)</f>
        <v>1.44</v>
      </c>
    </row>
    <row r="28" spans="1:6" ht="12.75">
      <c r="A28" s="9" t="s">
        <v>59</v>
      </c>
      <c r="B28">
        <f>(2*('S Floor 5'!B28))+((10*600)/1000)</f>
        <v>77.18</v>
      </c>
      <c r="C28">
        <v>144</v>
      </c>
      <c r="D28">
        <f t="shared" si="2"/>
        <v>-6.945671378091872</v>
      </c>
      <c r="E28">
        <f>0.01*C28</f>
        <v>1.44</v>
      </c>
      <c r="F28">
        <f>MAX(D28:E28)</f>
        <v>1.44</v>
      </c>
    </row>
    <row r="29" spans="1:6" ht="12.75">
      <c r="A29" s="9" t="s">
        <v>60</v>
      </c>
      <c r="B29">
        <f>(2*('S Floor 5'!B29))+((10*600)/1000)</f>
        <v>77.18</v>
      </c>
      <c r="C29">
        <v>144</v>
      </c>
      <c r="D29">
        <f t="shared" si="2"/>
        <v>-6.945671378091872</v>
      </c>
      <c r="E29">
        <f>0.01*C29</f>
        <v>1.44</v>
      </c>
      <c r="F29">
        <f>MAX(D29:E29)</f>
        <v>1.44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Worcester Polytechnic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WPI CCC</dc:creator>
  <cp:keywords/>
  <dc:description/>
  <cp:lastModifiedBy>WPI CCC</cp:lastModifiedBy>
  <dcterms:created xsi:type="dcterms:W3CDTF">2007-12-03T01:42:41Z</dcterms:created>
  <dcterms:modified xsi:type="dcterms:W3CDTF">2008-02-15T18:54:09Z</dcterms:modified>
  <cp:category/>
  <cp:version/>
  <cp:contentType/>
  <cp:contentStatus/>
</cp:coreProperties>
</file>