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JMHaz\Desktop\MQP\"/>
    </mc:Choice>
  </mc:AlternateContent>
  <xr:revisionPtr revIDLastSave="0" documentId="8_{05E5CCEA-0FD6-42A3-940A-D04B3EC3F6AC}" xr6:coauthVersionLast="46" xr6:coauthVersionMax="46" xr10:uidLastSave="{00000000-0000-0000-0000-000000000000}"/>
  <bookViews>
    <workbookView xWindow="28680" yWindow="-120" windowWidth="24240" windowHeight="13140" tabRatio="761" firstSheet="3" activeTab="4" xr2:uid="{00000000-000D-0000-FFFF-FFFF00000000}"/>
  </bookViews>
  <sheets>
    <sheet name="Intro" sheetId="1" r:id="rId1"/>
    <sheet name="PFD" sheetId="5" r:id="rId2"/>
    <sheet name="Streams" sheetId="6" r:id="rId3"/>
    <sheet name="Compositions" sheetId="7" r:id="rId4"/>
    <sheet name="Material Balance" sheetId="24" r:id="rId5"/>
    <sheet name="Energy Balance" sheetId="23" r:id="rId6"/>
    <sheet name="Cost Analysis (Ref. Interview)" sheetId="25" r:id="rId7"/>
    <sheet name="Cost Analysis (Ref. Model)" sheetId="31" r:id="rId8"/>
    <sheet name="CAPEX1-Al" sheetId="26" r:id="rId9"/>
    <sheet name="CAPEX" sheetId="11" r:id="rId10"/>
    <sheet name="CAPEX1-Si" sheetId="28" r:id="rId11"/>
    <sheet name="OPEX" sheetId="12" r:id="rId12"/>
    <sheet name="Equipment" sheetId="9" r:id="rId13"/>
    <sheet name="Financial" sheetId="16" r:id="rId14"/>
    <sheet name="Summary" sheetId="17" r:id="rId15"/>
    <sheet name="Reference" sheetId="4" r:id="rId16"/>
    <sheet name="Utilities" sheetId="14" r:id="rId17"/>
    <sheet name="Appendix" sheetId="20" r:id="rId18"/>
    <sheet name="ParameterView" sheetId="18" r:id="rId19"/>
  </sheets>
  <externalReferences>
    <externalReference r:id="rId20"/>
    <externalReference r:id="rId21"/>
  </externalReferences>
  <definedNames>
    <definedName name="Al2O3MolarMass">'Material Balance'!$F$10</definedName>
    <definedName name="AlMolarMass">'Material Balance'!$C$10</definedName>
    <definedName name="BMolarMass">'Material Balance'!$C$13</definedName>
    <definedName name="CaF2MolarMass">'Material Balance'!$F$7</definedName>
    <definedName name="CalciumMolarMass" localSheetId="7">'Material Balance'!#REF!</definedName>
    <definedName name="CalciumMolarMass">'Material Balance'!#REF!</definedName>
    <definedName name="CaMolarMass">'Material Balance'!$C$8</definedName>
    <definedName name="CaOMolarMass">'Material Balance'!$F$8</definedName>
    <definedName name="CarbonMolarMass" localSheetId="7">'Material Balance'!#REF!</definedName>
    <definedName name="CarbonMolarMass">'Material Balance'!#REF!</definedName>
    <definedName name="CheckStreamComp">Streams!$F$13</definedName>
    <definedName name="DescribeSpecies">Compositions!$A$9</definedName>
    <definedName name="Economic_Value_Streams">Streams!$W$7</definedName>
    <definedName name="EquipmentList">Equipment!$A$1</definedName>
    <definedName name="FeMolarMass">'Material Balance'!$C$17</definedName>
    <definedName name="FluorineMolarMass" localSheetId="7">'Material Balance'!#REF!</definedName>
    <definedName name="FluorineMolarMass">'Material Balance'!#REF!</definedName>
    <definedName name="FMolarMass">'Material Balance'!$C$9</definedName>
    <definedName name="IRROE">[1]Financial!$AK$4</definedName>
    <definedName name="LCOP">[1]Financial!$AK$2</definedName>
    <definedName name="MgF2MolarMass">'Material Balance'!$F$6</definedName>
    <definedName name="MgMolarMass">'Material Balance'!$C$7</definedName>
    <definedName name="MgOMolarMass" localSheetId="7">'Material Balance'!#REF!</definedName>
    <definedName name="MgOMolarMass">'Material Balance'!#REF!</definedName>
    <definedName name="MM_Al">[2]Reference!$C$8</definedName>
    <definedName name="MM_F">[2]Reference!$C$37</definedName>
    <definedName name="MM_O">[2]Reference!$C$72</definedName>
    <definedName name="MM_Y">[2]Reference!$C$112</definedName>
    <definedName name="MM_Zr">[2]Reference!$C$115</definedName>
    <definedName name="MolarMassofAl2O3">'Material Balance'!$F$10</definedName>
    <definedName name="MolarMassofCaF2">'Material Balance'!$F$7</definedName>
    <definedName name="MolarMassofCaO">'Material Balance'!$F$8</definedName>
    <definedName name="MolarMassofMgF2">'Material Balance'!$F$6</definedName>
    <definedName name="MolarMassofO2">'Material Balance'!$F$9</definedName>
    <definedName name="MolarMassOfSi">'Material Balance'!$C$5</definedName>
    <definedName name="MolarMassofSiO2">'Material Balance'!$F$5</definedName>
    <definedName name="MolarMassofSiO2_">'Material Balance'!$F$5</definedName>
    <definedName name="MolarMassofYF3">'Material Balance'!$F$11</definedName>
    <definedName name="NaMolarMass">'Material Balance'!$C$14</definedName>
    <definedName name="O2MolarMass">'Material Balance'!$F$9</definedName>
    <definedName name="OMolarMass">'Material Balance'!$C$6</definedName>
    <definedName name="OxygenMolarMass" localSheetId="7">'Material Balance'!#REF!</definedName>
    <definedName name="OxygenMolarMass">'Material Balance'!#REF!</definedName>
    <definedName name="PMolarMass">'Material Balance'!$C$15</definedName>
    <definedName name="PrimaryProduct" localSheetId="7">#REF!</definedName>
    <definedName name="PrimaryProduct">#REF!</definedName>
    <definedName name="SalesPriceBaseYear">[1]Financial!$AK$1</definedName>
    <definedName name="SiliconMolarMass">'Material Balance'!$C$5</definedName>
    <definedName name="siMolarMass">'Material Balance'!$C$29</definedName>
    <definedName name="SiO2MolarMass">'Material Balance'!$F$5</definedName>
    <definedName name="solver_adj" localSheetId="9" hidden="1">CAPEX!$F$15</definedName>
    <definedName name="solver_adj" localSheetId="4" hidden="1">'Material Balance'!#REF!,'Material Balance'!#REF!</definedName>
    <definedName name="solver_adj" localSheetId="11" hidden="1">OPEX!$F$16</definedName>
    <definedName name="solver_adj" localSheetId="16" hidden="1">Utilities!#REF!</definedName>
    <definedName name="solver_cvg" localSheetId="9" hidden="1">0.0001</definedName>
    <definedName name="solver_cvg" localSheetId="4" hidden="1">0.0001</definedName>
    <definedName name="solver_cvg" localSheetId="11" hidden="1">0.0001</definedName>
    <definedName name="solver_cvg" localSheetId="16" hidden="1">0.0001</definedName>
    <definedName name="solver_drv" localSheetId="9" hidden="1">1</definedName>
    <definedName name="solver_drv" localSheetId="4" hidden="1">1</definedName>
    <definedName name="solver_drv" localSheetId="11" hidden="1">1</definedName>
    <definedName name="solver_drv" localSheetId="16" hidden="1">1</definedName>
    <definedName name="solver_eng" localSheetId="9" hidden="1">1</definedName>
    <definedName name="solver_eng" localSheetId="4" hidden="1">1</definedName>
    <definedName name="solver_eng" localSheetId="11" hidden="1">1</definedName>
    <definedName name="solver_eng" localSheetId="16" hidden="1">1</definedName>
    <definedName name="solver_est" localSheetId="9" hidden="1">1</definedName>
    <definedName name="solver_est" localSheetId="4" hidden="1">1</definedName>
    <definedName name="solver_est" localSheetId="11" hidden="1">1</definedName>
    <definedName name="solver_est" localSheetId="16" hidden="1">1</definedName>
    <definedName name="solver_itr" localSheetId="9" hidden="1">2147483647</definedName>
    <definedName name="solver_itr" localSheetId="4" hidden="1">2147483647</definedName>
    <definedName name="solver_itr" localSheetId="11" hidden="1">2147483647</definedName>
    <definedName name="solver_itr" localSheetId="16" hidden="1">2147483647</definedName>
    <definedName name="solver_lhs1" localSheetId="9" hidden="1">CAPEX!#REF!</definedName>
    <definedName name="solver_lhs1" localSheetId="4" hidden="1">'Material Balance'!#REF!</definedName>
    <definedName name="solver_lhs1" localSheetId="11" hidden="1">OPEX!#REF!</definedName>
    <definedName name="solver_lhs1" localSheetId="16" hidden="1">Utilities!#REF!</definedName>
    <definedName name="solver_lhs2" localSheetId="9" hidden="1">CAPEX!#REF!</definedName>
    <definedName name="solver_lhs2" localSheetId="4" hidden="1">'Material Balance'!#REF!</definedName>
    <definedName name="solver_lhs2" localSheetId="11" hidden="1">OPEX!#REF!</definedName>
    <definedName name="solver_lhs2" localSheetId="16" hidden="1">Utilities!#REF!</definedName>
    <definedName name="solver_lhs3" localSheetId="9" hidden="1">CAPEX!#REF!</definedName>
    <definedName name="solver_lhs3" localSheetId="11" hidden="1">OPEX!#REF!</definedName>
    <definedName name="solver_lhs3" localSheetId="16" hidden="1">Utilities!#REF!</definedName>
    <definedName name="solver_lhs4" localSheetId="9" hidden="1">CAPEX!#REF!</definedName>
    <definedName name="solver_lhs4" localSheetId="11" hidden="1">OPEX!#REF!</definedName>
    <definedName name="solver_lhs4" localSheetId="16" hidden="1">Utilities!#REF!</definedName>
    <definedName name="solver_mip" localSheetId="9" hidden="1">2147483647</definedName>
    <definedName name="solver_mip" localSheetId="4" hidden="1">2147483647</definedName>
    <definedName name="solver_mip" localSheetId="11" hidden="1">2147483647</definedName>
    <definedName name="solver_mip" localSheetId="16" hidden="1">2147483647</definedName>
    <definedName name="solver_mni" localSheetId="9" hidden="1">30</definedName>
    <definedName name="solver_mni" localSheetId="4" hidden="1">30</definedName>
    <definedName name="solver_mni" localSheetId="11" hidden="1">30</definedName>
    <definedName name="solver_mni" localSheetId="16" hidden="1">30</definedName>
    <definedName name="solver_mrt" localSheetId="9" hidden="1">0.075</definedName>
    <definedName name="solver_mrt" localSheetId="4" hidden="1">0.075</definedName>
    <definedName name="solver_mrt" localSheetId="11" hidden="1">0.075</definedName>
    <definedName name="solver_mrt" localSheetId="16" hidden="1">0.075</definedName>
    <definedName name="solver_msl" localSheetId="9" hidden="1">2</definedName>
    <definedName name="solver_msl" localSheetId="4" hidden="1">2</definedName>
    <definedName name="solver_msl" localSheetId="11" hidden="1">2</definedName>
    <definedName name="solver_msl" localSheetId="16" hidden="1">2</definedName>
    <definedName name="solver_neg" localSheetId="9" hidden="1">1</definedName>
    <definedName name="solver_neg" localSheetId="4" hidden="1">1</definedName>
    <definedName name="solver_neg" localSheetId="11" hidden="1">1</definedName>
    <definedName name="solver_neg" localSheetId="16" hidden="1">1</definedName>
    <definedName name="solver_nod" localSheetId="9" hidden="1">2147483647</definedName>
    <definedName name="solver_nod" localSheetId="4" hidden="1">2147483647</definedName>
    <definedName name="solver_nod" localSheetId="11" hidden="1">2147483647</definedName>
    <definedName name="solver_nod" localSheetId="16" hidden="1">2147483647</definedName>
    <definedName name="solver_num" localSheetId="9" hidden="1">0</definedName>
    <definedName name="solver_num" localSheetId="4" hidden="1">2</definedName>
    <definedName name="solver_num" localSheetId="11" hidden="1">0</definedName>
    <definedName name="solver_num" localSheetId="16" hidden="1">0</definedName>
    <definedName name="solver_nwt" localSheetId="9" hidden="1">1</definedName>
    <definedName name="solver_nwt" localSheetId="4" hidden="1">1</definedName>
    <definedName name="solver_nwt" localSheetId="11" hidden="1">1</definedName>
    <definedName name="solver_nwt" localSheetId="16" hidden="1">1</definedName>
    <definedName name="solver_opt" localSheetId="9" hidden="1">CAPEX!$N$32</definedName>
    <definedName name="solver_opt" localSheetId="4" hidden="1">'Material Balance'!#REF!</definedName>
    <definedName name="solver_opt" localSheetId="11" hidden="1">OPEX!$H$16</definedName>
    <definedName name="solver_opt" localSheetId="16" hidden="1">Utilities!#REF!</definedName>
    <definedName name="solver_pre" localSheetId="9" hidden="1">0.000001</definedName>
    <definedName name="solver_pre" localSheetId="4" hidden="1">0.000001</definedName>
    <definedName name="solver_pre" localSheetId="11" hidden="1">0.000001</definedName>
    <definedName name="solver_pre" localSheetId="16" hidden="1">0.000001</definedName>
    <definedName name="solver_rbv" localSheetId="9" hidden="1">1</definedName>
    <definedName name="solver_rbv" localSheetId="4" hidden="1">1</definedName>
    <definedName name="solver_rbv" localSheetId="11" hidden="1">1</definedName>
    <definedName name="solver_rbv" localSheetId="16" hidden="1">1</definedName>
    <definedName name="solver_rel1" localSheetId="9" hidden="1">2</definedName>
    <definedName name="solver_rel1" localSheetId="4" hidden="1">3</definedName>
    <definedName name="solver_rel1" localSheetId="11" hidden="1">2</definedName>
    <definedName name="solver_rel1" localSheetId="16" hidden="1">2</definedName>
    <definedName name="solver_rel2" localSheetId="9" hidden="1">2</definedName>
    <definedName name="solver_rel2" localSheetId="4" hidden="1">3</definedName>
    <definedName name="solver_rel2" localSheetId="11" hidden="1">2</definedName>
    <definedName name="solver_rel2" localSheetId="16" hidden="1">2</definedName>
    <definedName name="solver_rel3" localSheetId="9" hidden="1">2</definedName>
    <definedName name="solver_rel3" localSheetId="11" hidden="1">2</definedName>
    <definedName name="solver_rel3" localSheetId="16" hidden="1">2</definedName>
    <definedName name="solver_rel4" localSheetId="9" hidden="1">2</definedName>
    <definedName name="solver_rel4" localSheetId="11" hidden="1">2</definedName>
    <definedName name="solver_rel4" localSheetId="16" hidden="1">2</definedName>
    <definedName name="solver_rhs1" localSheetId="9" hidden="1">0</definedName>
    <definedName name="solver_rhs1" localSheetId="4" hidden="1">0</definedName>
    <definedName name="solver_rhs1" localSheetId="11" hidden="1">0</definedName>
    <definedName name="solver_rhs1" localSheetId="16" hidden="1">0</definedName>
    <definedName name="solver_rhs2" localSheetId="9" hidden="1">0</definedName>
    <definedName name="solver_rhs2" localSheetId="4" hidden="1">0</definedName>
    <definedName name="solver_rhs2" localSheetId="11" hidden="1">0</definedName>
    <definedName name="solver_rhs2" localSheetId="16" hidden="1">0</definedName>
    <definedName name="solver_rhs3" localSheetId="9" hidden="1">0</definedName>
    <definedName name="solver_rhs3" localSheetId="11" hidden="1">0</definedName>
    <definedName name="solver_rhs3" localSheetId="16" hidden="1">0</definedName>
    <definedName name="solver_rhs4" localSheetId="9" hidden="1">0</definedName>
    <definedName name="solver_rhs4" localSheetId="11" hidden="1">0</definedName>
    <definedName name="solver_rhs4" localSheetId="16" hidden="1">0</definedName>
    <definedName name="solver_rlx" localSheetId="9" hidden="1">2</definedName>
    <definedName name="solver_rlx" localSheetId="4" hidden="1">2</definedName>
    <definedName name="solver_rlx" localSheetId="11" hidden="1">2</definedName>
    <definedName name="solver_rlx" localSheetId="16" hidden="1">2</definedName>
    <definedName name="solver_rsd" localSheetId="9" hidden="1">0</definedName>
    <definedName name="solver_rsd" localSheetId="4" hidden="1">0</definedName>
    <definedName name="solver_rsd" localSheetId="11" hidden="1">0</definedName>
    <definedName name="solver_rsd" localSheetId="16" hidden="1">0</definedName>
    <definedName name="solver_scl" localSheetId="9" hidden="1">1</definedName>
    <definedName name="solver_scl" localSheetId="4" hidden="1">1</definedName>
    <definedName name="solver_scl" localSheetId="11" hidden="1">1</definedName>
    <definedName name="solver_scl" localSheetId="16" hidden="1">1</definedName>
    <definedName name="solver_sho" localSheetId="9" hidden="1">2</definedName>
    <definedName name="solver_sho" localSheetId="4" hidden="1">2</definedName>
    <definedName name="solver_sho" localSheetId="11" hidden="1">2</definedName>
    <definedName name="solver_sho" localSheetId="16" hidden="1">2</definedName>
    <definedName name="solver_ssz" localSheetId="9" hidden="1">100</definedName>
    <definedName name="solver_ssz" localSheetId="4" hidden="1">100</definedName>
    <definedName name="solver_ssz" localSheetId="11" hidden="1">100</definedName>
    <definedName name="solver_ssz" localSheetId="16" hidden="1">100</definedName>
    <definedName name="solver_tim" localSheetId="9" hidden="1">2147483647</definedName>
    <definedName name="solver_tim" localSheetId="4" hidden="1">2147483647</definedName>
    <definedName name="solver_tim" localSheetId="11" hidden="1">2147483647</definedName>
    <definedName name="solver_tim" localSheetId="16" hidden="1">2147483647</definedName>
    <definedName name="solver_tol" localSheetId="9" hidden="1">0.01</definedName>
    <definedName name="solver_tol" localSheetId="4" hidden="1">0.01</definedName>
    <definedName name="solver_tol" localSheetId="11" hidden="1">0.01</definedName>
    <definedName name="solver_tol" localSheetId="16" hidden="1">0.01</definedName>
    <definedName name="solver_typ" localSheetId="9" hidden="1">3</definedName>
    <definedName name="solver_typ" localSheetId="4" hidden="1">3</definedName>
    <definedName name="solver_typ" localSheetId="11" hidden="1">3</definedName>
    <definedName name="solver_typ" localSheetId="16" hidden="1">3</definedName>
    <definedName name="solver_val" localSheetId="9" hidden="1">0</definedName>
    <definedName name="solver_val" localSheetId="4" hidden="1">0</definedName>
    <definedName name="solver_val" localSheetId="11" hidden="1">0</definedName>
    <definedName name="solver_val" localSheetId="16" hidden="1">0</definedName>
    <definedName name="solver_ver" localSheetId="9" hidden="1">3</definedName>
    <definedName name="solver_ver" localSheetId="4" hidden="1">3</definedName>
    <definedName name="solver_ver" localSheetId="11" hidden="1">3</definedName>
    <definedName name="solver_ver" localSheetId="16" hidden="1">3</definedName>
    <definedName name="TiMolarMass">'Material Balance'!$C$16</definedName>
    <definedName name="YF3MolarMass">'Material Balance'!$F$11</definedName>
    <definedName name="YMolarMass">'Material Balance'!$C$11</definedName>
    <definedName name="ZrMolarMass">'Material Balance'!$C$12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1" l="1"/>
  <c r="F17" i="11"/>
  <c r="B32" i="28"/>
  <c r="E32" i="28"/>
  <c r="E39" i="12"/>
  <c r="E38" i="12"/>
  <c r="E37" i="12"/>
  <c r="E36" i="12"/>
  <c r="E35" i="12"/>
  <c r="E34" i="12"/>
  <c r="C41" i="12"/>
  <c r="AD33" i="7"/>
  <c r="AD32" i="7"/>
  <c r="AD31" i="7"/>
  <c r="AD30" i="7"/>
  <c r="AD29" i="7"/>
  <c r="AD28" i="7"/>
  <c r="AD27" i="7"/>
  <c r="AD26" i="7"/>
  <c r="AD41" i="7"/>
  <c r="AD40" i="7"/>
  <c r="AD39" i="7"/>
  <c r="AD38" i="7"/>
  <c r="AD37" i="7"/>
  <c r="AD36" i="7"/>
  <c r="AD35" i="7"/>
  <c r="AD34" i="7"/>
  <c r="AD25" i="7"/>
  <c r="AD24" i="7"/>
  <c r="AD23" i="7"/>
  <c r="AD22" i="7"/>
  <c r="AD21" i="7"/>
  <c r="AD20" i="7"/>
  <c r="AD19" i="7"/>
  <c r="AD18" i="7"/>
  <c r="AD17" i="7"/>
  <c r="AD16" i="7"/>
  <c r="AD15" i="7"/>
  <c r="AD14" i="7"/>
  <c r="AD13" i="7"/>
  <c r="AD12" i="7"/>
  <c r="AD11" i="7"/>
  <c r="C65" i="31" l="1"/>
  <c r="C66" i="31" l="1"/>
  <c r="C34" i="31"/>
  <c r="C19" i="31"/>
  <c r="C17" i="31"/>
  <c r="E14" i="31"/>
  <c r="C4" i="31"/>
  <c r="C23" i="28"/>
  <c r="C24" i="28" s="1"/>
  <c r="E18" i="31" l="1"/>
  <c r="E12" i="28"/>
  <c r="E20" i="31" l="1"/>
  <c r="E21" i="31"/>
  <c r="E19" i="31"/>
  <c r="I9" i="31" s="1"/>
  <c r="H32" i="28"/>
  <c r="B33" i="28"/>
  <c r="C61" i="25" l="1"/>
  <c r="C67" i="31" l="1"/>
  <c r="C45" i="12"/>
  <c r="C46" i="12"/>
  <c r="C47" i="12"/>
  <c r="F34" i="12"/>
  <c r="F35" i="12"/>
  <c r="F36" i="12"/>
  <c r="F37" i="12"/>
  <c r="F38" i="12"/>
  <c r="F39" i="12"/>
  <c r="F40" i="12"/>
  <c r="F42" i="12"/>
  <c r="F43" i="12"/>
  <c r="C34" i="12"/>
  <c r="C35" i="12"/>
  <c r="C36" i="12"/>
  <c r="C37" i="12"/>
  <c r="C38" i="12"/>
  <c r="C39" i="12"/>
  <c r="C40" i="12"/>
  <c r="E40" i="12"/>
  <c r="E41" i="12"/>
  <c r="C42" i="12"/>
  <c r="C43" i="12"/>
  <c r="E43" i="12"/>
  <c r="C68" i="31" l="1"/>
  <c r="C62" i="25"/>
  <c r="C63" i="25" s="1"/>
  <c r="C64" i="25" s="1"/>
  <c r="C65" i="25" s="1"/>
  <c r="D6" i="25"/>
  <c r="D5" i="25"/>
  <c r="C69" i="31" l="1"/>
  <c r="D7" i="25"/>
  <c r="D58" i="25"/>
  <c r="H2" i="25"/>
  <c r="H3" i="25" s="1"/>
  <c r="J14" i="11" s="1"/>
  <c r="F34" i="11"/>
  <c r="D36" i="11"/>
  <c r="G34" i="11"/>
  <c r="G12" i="28"/>
  <c r="C25" i="28" s="1"/>
  <c r="F7" i="25" l="1"/>
  <c r="F41" i="11"/>
  <c r="C70" i="31"/>
  <c r="F58" i="25"/>
  <c r="G58" i="25" s="1"/>
  <c r="G8" i="12"/>
  <c r="G12" i="12" s="1"/>
  <c r="D19" i="11"/>
  <c r="C71" i="31" l="1"/>
  <c r="F35" i="11"/>
  <c r="F42" i="11"/>
  <c r="F43" i="11"/>
  <c r="C32" i="28"/>
  <c r="G32" i="28"/>
  <c r="G33" i="28"/>
  <c r="B34" i="28"/>
  <c r="G34" i="28"/>
  <c r="B35" i="28"/>
  <c r="G35" i="28"/>
  <c r="B36" i="28"/>
  <c r="G36" i="28"/>
  <c r="B37" i="28"/>
  <c r="B49" i="28"/>
  <c r="C49" i="28" s="1"/>
  <c r="B41" i="28"/>
  <c r="B40" i="28"/>
  <c r="B39" i="28"/>
  <c r="B38" i="28"/>
  <c r="B42" i="28"/>
  <c r="B43" i="28"/>
  <c r="B44" i="28"/>
  <c r="C44" i="28" s="1"/>
  <c r="B45" i="28"/>
  <c r="C45" i="28" s="1"/>
  <c r="B46" i="28"/>
  <c r="B47" i="28"/>
  <c r="C47" i="28" s="1"/>
  <c r="B48" i="28"/>
  <c r="C48" i="28" s="1"/>
  <c r="G37" i="28"/>
  <c r="C46" i="28" l="1"/>
  <c r="C72" i="31"/>
  <c r="C40" i="28"/>
  <c r="O34" i="11"/>
  <c r="C33" i="28"/>
  <c r="H34" i="11"/>
  <c r="C42" i="28"/>
  <c r="Q34" i="11"/>
  <c r="C41" i="28"/>
  <c r="P34" i="11"/>
  <c r="C36" i="28"/>
  <c r="K34" i="11"/>
  <c r="C34" i="28"/>
  <c r="I34" i="11"/>
  <c r="C38" i="28"/>
  <c r="M34" i="11"/>
  <c r="H33" i="28"/>
  <c r="G14" i="12"/>
  <c r="G15" i="12"/>
  <c r="C43" i="28"/>
  <c r="R34" i="11"/>
  <c r="C39" i="28"/>
  <c r="N34" i="11"/>
  <c r="H37" i="28"/>
  <c r="L34" i="11"/>
  <c r="C35" i="28"/>
  <c r="J34" i="11"/>
  <c r="F44" i="11"/>
  <c r="F36" i="11"/>
  <c r="F38" i="11"/>
  <c r="F40" i="11"/>
  <c r="F39" i="11"/>
  <c r="F37" i="11"/>
  <c r="H35" i="28"/>
  <c r="H34" i="28"/>
  <c r="H36" i="28"/>
  <c r="C37" i="28"/>
  <c r="C73" i="31" l="1"/>
  <c r="L8" i="12"/>
  <c r="R8" i="12"/>
  <c r="M8" i="12"/>
  <c r="K8" i="12"/>
  <c r="Q8" i="12"/>
  <c r="O8" i="12"/>
  <c r="J8" i="12"/>
  <c r="N8" i="12"/>
  <c r="I8" i="12"/>
  <c r="P8" i="12"/>
  <c r="H8" i="12"/>
  <c r="D9" i="25"/>
  <c r="C20" i="28"/>
  <c r="D32" i="28" s="1"/>
  <c r="F32" i="28" s="1"/>
  <c r="C74" i="31" l="1"/>
  <c r="G41" i="11"/>
  <c r="I12" i="12"/>
  <c r="D34" i="28"/>
  <c r="D37" i="28"/>
  <c r="L44" i="11" s="1"/>
  <c r="M12" i="12"/>
  <c r="L12" i="12"/>
  <c r="D59" i="25"/>
  <c r="F59" i="25" s="1"/>
  <c r="G59" i="25" s="1"/>
  <c r="P12" i="12"/>
  <c r="J12" i="12"/>
  <c r="Q12" i="12"/>
  <c r="D35" i="28"/>
  <c r="D36" i="28"/>
  <c r="H12" i="12"/>
  <c r="N12" i="12"/>
  <c r="O12" i="12"/>
  <c r="K12" i="12"/>
  <c r="R12" i="12"/>
  <c r="D33" i="28"/>
  <c r="D60" i="25"/>
  <c r="F60" i="25" s="1"/>
  <c r="D61" i="25"/>
  <c r="H49" i="28"/>
  <c r="H48" i="28"/>
  <c r="H47" i="28"/>
  <c r="H46" i="28"/>
  <c r="H45" i="28"/>
  <c r="H44" i="28"/>
  <c r="H43" i="28"/>
  <c r="H42" i="28"/>
  <c r="H41" i="28"/>
  <c r="H40" i="28"/>
  <c r="H39" i="28"/>
  <c r="H38" i="28"/>
  <c r="E35" i="26"/>
  <c r="E36" i="26"/>
  <c r="E37" i="26"/>
  <c r="E38" i="26"/>
  <c r="E39" i="26"/>
  <c r="E40" i="26"/>
  <c r="E41" i="26"/>
  <c r="E42" i="26"/>
  <c r="E43" i="26"/>
  <c r="E44" i="26"/>
  <c r="E34" i="26"/>
  <c r="E33" i="26"/>
  <c r="E32" i="26"/>
  <c r="C75" i="31" l="1"/>
  <c r="F33" i="28"/>
  <c r="H44" i="11"/>
  <c r="E33" i="28"/>
  <c r="J44" i="11"/>
  <c r="E35" i="28"/>
  <c r="F35" i="28"/>
  <c r="N14" i="12"/>
  <c r="N15" i="12"/>
  <c r="R14" i="12"/>
  <c r="R15" i="12"/>
  <c r="O15" i="12"/>
  <c r="O14" i="12"/>
  <c r="H15" i="12"/>
  <c r="H14" i="12"/>
  <c r="Q15" i="12"/>
  <c r="Q14" i="12"/>
  <c r="P15" i="12"/>
  <c r="P14" i="12"/>
  <c r="L14" i="12"/>
  <c r="L15" i="12"/>
  <c r="L41" i="11"/>
  <c r="K15" i="12"/>
  <c r="K14" i="12"/>
  <c r="I44" i="11"/>
  <c r="E34" i="28"/>
  <c r="F34" i="28"/>
  <c r="K44" i="11"/>
  <c r="F36" i="28"/>
  <c r="E36" i="28"/>
  <c r="J15" i="12"/>
  <c r="J14" i="12"/>
  <c r="M14" i="12"/>
  <c r="M15" i="12"/>
  <c r="I15" i="12"/>
  <c r="I14" i="12"/>
  <c r="G35" i="11"/>
  <c r="E37" i="28"/>
  <c r="F37" i="28"/>
  <c r="G47" i="28"/>
  <c r="D47" i="28" s="1"/>
  <c r="C12" i="28"/>
  <c r="G40" i="28"/>
  <c r="D40" i="28" s="1"/>
  <c r="O44" i="11" s="1"/>
  <c r="G42" i="28"/>
  <c r="G44" i="28"/>
  <c r="D44" i="28" s="1"/>
  <c r="G46" i="28"/>
  <c r="D46" i="28" s="1"/>
  <c r="G48" i="28"/>
  <c r="D48" i="28" s="1"/>
  <c r="G38" i="28"/>
  <c r="D38" i="28" s="1"/>
  <c r="M44" i="11" s="1"/>
  <c r="G39" i="28"/>
  <c r="D39" i="28" s="1"/>
  <c r="N44" i="11" s="1"/>
  <c r="G43" i="28"/>
  <c r="D43" i="28" s="1"/>
  <c r="R44" i="11" s="1"/>
  <c r="G49" i="28"/>
  <c r="D49" i="28" s="1"/>
  <c r="G41" i="28"/>
  <c r="D41" i="28" s="1"/>
  <c r="P44" i="11" s="1"/>
  <c r="G45" i="28"/>
  <c r="D45" i="28" s="1"/>
  <c r="D42" i="28"/>
  <c r="Q44" i="11" s="1"/>
  <c r="D12" i="28" l="1"/>
  <c r="E12" i="31"/>
  <c r="C76" i="31"/>
  <c r="M41" i="11"/>
  <c r="Q41" i="11"/>
  <c r="N41" i="11"/>
  <c r="J41" i="11"/>
  <c r="P41" i="11"/>
  <c r="I41" i="11"/>
  <c r="O41" i="11"/>
  <c r="G9" i="12"/>
  <c r="G42" i="11"/>
  <c r="K41" i="11"/>
  <c r="H41" i="11"/>
  <c r="R41" i="11"/>
  <c r="G43" i="11"/>
  <c r="L42" i="11"/>
  <c r="L9" i="12"/>
  <c r="L35" i="11"/>
  <c r="L43" i="11"/>
  <c r="E48" i="28"/>
  <c r="F48" i="28"/>
  <c r="E45" i="28"/>
  <c r="F45" i="28"/>
  <c r="E41" i="28"/>
  <c r="F41" i="28"/>
  <c r="E42" i="28"/>
  <c r="F42" i="28"/>
  <c r="E40" i="28"/>
  <c r="F40" i="28"/>
  <c r="E46" i="28"/>
  <c r="F46" i="28"/>
  <c r="E39" i="28"/>
  <c r="F39" i="28"/>
  <c r="E47" i="28"/>
  <c r="F47" i="28"/>
  <c r="E44" i="28"/>
  <c r="F44" i="28"/>
  <c r="E49" i="28"/>
  <c r="F49" i="28"/>
  <c r="E43" i="28"/>
  <c r="F43" i="28"/>
  <c r="E38" i="28"/>
  <c r="F38" i="28"/>
  <c r="G12" i="26"/>
  <c r="C20" i="26"/>
  <c r="C24" i="26"/>
  <c r="I66" i="26"/>
  <c r="G17" i="11" s="1"/>
  <c r="I65" i="26"/>
  <c r="F52" i="26"/>
  <c r="F51" i="26"/>
  <c r="F50" i="26"/>
  <c r="D62" i="26"/>
  <c r="D61" i="26"/>
  <c r="D60" i="26"/>
  <c r="D59" i="26"/>
  <c r="D50" i="26"/>
  <c r="D58" i="26"/>
  <c r="D57" i="26"/>
  <c r="D56" i="26"/>
  <c r="D55" i="26"/>
  <c r="D54" i="26"/>
  <c r="D53" i="26"/>
  <c r="D52" i="26"/>
  <c r="D51" i="26"/>
  <c r="F62" i="26"/>
  <c r="F53" i="26"/>
  <c r="F54" i="26"/>
  <c r="F55" i="26"/>
  <c r="F56" i="26"/>
  <c r="F57" i="26"/>
  <c r="F58" i="26"/>
  <c r="F59" i="26"/>
  <c r="F60" i="26"/>
  <c r="F61" i="26"/>
  <c r="E9" i="31" l="1"/>
  <c r="E10" i="31" s="1"/>
  <c r="G37" i="11"/>
  <c r="G38" i="11"/>
  <c r="C77" i="31"/>
  <c r="L38" i="11"/>
  <c r="L39" i="11"/>
  <c r="L40" i="11"/>
  <c r="L37" i="11"/>
  <c r="L36" i="11"/>
  <c r="H35" i="11"/>
  <c r="H9" i="12"/>
  <c r="H42" i="11"/>
  <c r="H43" i="11"/>
  <c r="G17" i="12"/>
  <c r="G16" i="12"/>
  <c r="J43" i="11"/>
  <c r="J9" i="12"/>
  <c r="J35" i="11"/>
  <c r="J42" i="11"/>
  <c r="Q35" i="11"/>
  <c r="Q9" i="12"/>
  <c r="Q43" i="11"/>
  <c r="Q42" i="11"/>
  <c r="L17" i="12"/>
  <c r="L16" i="12"/>
  <c r="R35" i="11"/>
  <c r="R9" i="12"/>
  <c r="R43" i="11"/>
  <c r="R42" i="11"/>
  <c r="K43" i="11"/>
  <c r="K9" i="12"/>
  <c r="K42" i="11"/>
  <c r="K35" i="11"/>
  <c r="G36" i="11"/>
  <c r="G40" i="11"/>
  <c r="G39" i="11"/>
  <c r="I35" i="11"/>
  <c r="I9" i="12"/>
  <c r="I43" i="11"/>
  <c r="I42" i="11"/>
  <c r="O9" i="12"/>
  <c r="O42" i="11"/>
  <c r="O43" i="11"/>
  <c r="O35" i="11"/>
  <c r="P35" i="11"/>
  <c r="P9" i="12"/>
  <c r="P42" i="11"/>
  <c r="P43" i="11"/>
  <c r="N35" i="11"/>
  <c r="N9" i="12"/>
  <c r="N43" i="11"/>
  <c r="N42" i="11"/>
  <c r="M42" i="11"/>
  <c r="M9" i="12"/>
  <c r="M43" i="11"/>
  <c r="M35" i="11"/>
  <c r="F14" i="11"/>
  <c r="F26" i="11" s="1"/>
  <c r="F29" i="11"/>
  <c r="G14" i="11"/>
  <c r="G26" i="11" s="1"/>
  <c r="G29" i="11"/>
  <c r="C25" i="26"/>
  <c r="D42" i="26"/>
  <c r="C42" i="26" s="1"/>
  <c r="H60" i="26" s="1"/>
  <c r="J60" i="26" s="1"/>
  <c r="D43" i="26"/>
  <c r="C43" i="26" s="1"/>
  <c r="H61" i="26" s="1"/>
  <c r="D35" i="26"/>
  <c r="C35" i="26" s="1"/>
  <c r="H53" i="26" s="1"/>
  <c r="J53" i="26" s="1"/>
  <c r="D34" i="26"/>
  <c r="C34" i="26" s="1"/>
  <c r="H52" i="26" s="1"/>
  <c r="J52" i="26" s="1"/>
  <c r="D33" i="26"/>
  <c r="C33" i="26" s="1"/>
  <c r="H51" i="26" s="1"/>
  <c r="J51" i="26" s="1"/>
  <c r="D36" i="26"/>
  <c r="C36" i="26" s="1"/>
  <c r="H54" i="26" s="1"/>
  <c r="J54" i="26" s="1"/>
  <c r="D44" i="26"/>
  <c r="C44" i="26" s="1"/>
  <c r="H62" i="26" s="1"/>
  <c r="J62" i="26" s="1"/>
  <c r="D37" i="26"/>
  <c r="C37" i="26" s="1"/>
  <c r="H55" i="26" s="1"/>
  <c r="J55" i="26" s="1"/>
  <c r="D38" i="26"/>
  <c r="C38" i="26" s="1"/>
  <c r="H56" i="26" s="1"/>
  <c r="J56" i="26" s="1"/>
  <c r="D41" i="26"/>
  <c r="C41" i="26" s="1"/>
  <c r="H59" i="26" s="1"/>
  <c r="J59" i="26" s="1"/>
  <c r="D39" i="26"/>
  <c r="C39" i="26" s="1"/>
  <c r="H57" i="26" s="1"/>
  <c r="J57" i="26" s="1"/>
  <c r="D32" i="26"/>
  <c r="C32" i="26" s="1"/>
  <c r="D40" i="26"/>
  <c r="C40" i="26" s="1"/>
  <c r="H58" i="26" s="1"/>
  <c r="J58" i="26" s="1"/>
  <c r="J61" i="26"/>
  <c r="C12" i="26"/>
  <c r="D12" i="26" s="1"/>
  <c r="E11" i="31" l="1"/>
  <c r="E3" i="31"/>
  <c r="E7" i="31" s="1"/>
  <c r="E15" i="31"/>
  <c r="E23" i="31" s="1"/>
  <c r="E6" i="31"/>
  <c r="C78" i="31"/>
  <c r="I32" i="26"/>
  <c r="H50" i="26"/>
  <c r="J50" i="26" s="1"/>
  <c r="O38" i="11"/>
  <c r="O37" i="11"/>
  <c r="O39" i="11"/>
  <c r="O40" i="11"/>
  <c r="O36" i="11"/>
  <c r="I17" i="12"/>
  <c r="I16" i="12"/>
  <c r="K36" i="11"/>
  <c r="K40" i="11"/>
  <c r="K38" i="11"/>
  <c r="K39" i="11"/>
  <c r="K37" i="11"/>
  <c r="R17" i="12"/>
  <c r="R16" i="12"/>
  <c r="J39" i="11"/>
  <c r="J40" i="11"/>
  <c r="J36" i="11"/>
  <c r="J37" i="11"/>
  <c r="J38" i="11"/>
  <c r="H36" i="11"/>
  <c r="H38" i="11"/>
  <c r="H37" i="11"/>
  <c r="H39" i="11"/>
  <c r="H40" i="11"/>
  <c r="M40" i="11"/>
  <c r="M39" i="11"/>
  <c r="M37" i="11"/>
  <c r="M36" i="11"/>
  <c r="M38" i="11"/>
  <c r="N16" i="12"/>
  <c r="N17" i="12"/>
  <c r="P17" i="12"/>
  <c r="P16" i="12"/>
  <c r="I39" i="11"/>
  <c r="I36" i="11"/>
  <c r="I38" i="11"/>
  <c r="I40" i="11"/>
  <c r="I37" i="11"/>
  <c r="R36" i="11"/>
  <c r="R39" i="11"/>
  <c r="R38" i="11"/>
  <c r="R40" i="11"/>
  <c r="R37" i="11"/>
  <c r="Q16" i="12"/>
  <c r="Q17" i="12"/>
  <c r="N38" i="11"/>
  <c r="N40" i="11"/>
  <c r="N39" i="11"/>
  <c r="N37" i="11"/>
  <c r="N36" i="11"/>
  <c r="K17" i="12"/>
  <c r="K16" i="12"/>
  <c r="Q36" i="11"/>
  <c r="Q39" i="11"/>
  <c r="Q37" i="11"/>
  <c r="Q40" i="11"/>
  <c r="Q38" i="11"/>
  <c r="J16" i="12"/>
  <c r="J17" i="12"/>
  <c r="H17" i="12"/>
  <c r="H16" i="12"/>
  <c r="M17" i="12"/>
  <c r="M16" i="12"/>
  <c r="P38" i="11"/>
  <c r="P36" i="11"/>
  <c r="P40" i="11"/>
  <c r="P37" i="11"/>
  <c r="P39" i="11"/>
  <c r="O16" i="12"/>
  <c r="O17" i="12"/>
  <c r="G8" i="16"/>
  <c r="J65" i="26"/>
  <c r="H17" i="11" s="1"/>
  <c r="J66" i="26"/>
  <c r="I17" i="11" s="1"/>
  <c r="E17" i="31" l="1"/>
  <c r="E22" i="31"/>
  <c r="E4" i="31"/>
  <c r="E8" i="31"/>
  <c r="E5" i="31"/>
  <c r="E16" i="31"/>
  <c r="D62" i="31"/>
  <c r="F62" i="31" s="1"/>
  <c r="G62" i="31" s="1"/>
  <c r="D63" i="31"/>
  <c r="F63" i="31" s="1"/>
  <c r="C79" i="31"/>
  <c r="I14" i="11"/>
  <c r="I26" i="11" s="1"/>
  <c r="I29" i="11"/>
  <c r="H14" i="11"/>
  <c r="H26" i="11" s="1"/>
  <c r="H29" i="11"/>
  <c r="I40" i="26"/>
  <c r="I35" i="26"/>
  <c r="I34" i="26"/>
  <c r="I33" i="26"/>
  <c r="I39" i="26"/>
  <c r="I41" i="26"/>
  <c r="I38" i="26"/>
  <c r="I42" i="26"/>
  <c r="I37" i="26"/>
  <c r="I43" i="26"/>
  <c r="I36" i="26"/>
  <c r="I44" i="26"/>
  <c r="D64" i="31" l="1"/>
  <c r="F64" i="31" s="1"/>
  <c r="D65" i="31"/>
  <c r="C80" i="31"/>
  <c r="I15" i="11"/>
  <c r="I27" i="11" s="1"/>
  <c r="G63" i="31" l="1"/>
  <c r="G64" i="31" s="1"/>
  <c r="C81" i="31"/>
  <c r="I16" i="11"/>
  <c r="I28" i="11" s="1"/>
  <c r="H15" i="11"/>
  <c r="H27" i="11" s="1"/>
  <c r="H16" i="11"/>
  <c r="H28" i="11" s="1"/>
  <c r="G15" i="11"/>
  <c r="G27" i="11" s="1"/>
  <c r="C82" i="31" l="1"/>
  <c r="G16" i="11"/>
  <c r="G28" i="11" s="1"/>
  <c r="H13" i="25"/>
  <c r="I86" i="24" l="1"/>
  <c r="I87" i="24"/>
  <c r="J67" i="24"/>
  <c r="I85" i="24" s="1"/>
  <c r="J73" i="24"/>
  <c r="E79" i="24"/>
  <c r="H54" i="24"/>
  <c r="J54" i="24"/>
  <c r="K54" i="24"/>
  <c r="D55" i="24"/>
  <c r="E55" i="24"/>
  <c r="F55" i="24"/>
  <c r="L55" i="24"/>
  <c r="M55" i="24"/>
  <c r="N55" i="24"/>
  <c r="O55" i="24"/>
  <c r="P55" i="24"/>
  <c r="D56" i="24"/>
  <c r="E56" i="24"/>
  <c r="F56" i="24"/>
  <c r="H56" i="24"/>
  <c r="I56" i="24"/>
  <c r="J56" i="24"/>
  <c r="K56" i="24"/>
  <c r="L56" i="24"/>
  <c r="M56" i="24"/>
  <c r="N56" i="24"/>
  <c r="O56" i="24"/>
  <c r="P56" i="24"/>
  <c r="G58" i="24"/>
  <c r="H58" i="24"/>
  <c r="I58" i="24"/>
  <c r="J58" i="24"/>
  <c r="L58" i="24"/>
  <c r="M58" i="24"/>
  <c r="N58" i="24"/>
  <c r="O58" i="24"/>
  <c r="P58" i="24"/>
  <c r="AP58" i="24"/>
  <c r="K58" i="24" s="1"/>
  <c r="H44" i="24"/>
  <c r="J44" i="24"/>
  <c r="K44" i="24"/>
  <c r="D45" i="24"/>
  <c r="E45" i="24"/>
  <c r="F45" i="24"/>
  <c r="L45" i="24"/>
  <c r="M45" i="24"/>
  <c r="N45" i="24"/>
  <c r="O45" i="24"/>
  <c r="P45" i="24"/>
  <c r="D46" i="24"/>
  <c r="E46" i="24"/>
  <c r="F46" i="24"/>
  <c r="H46" i="24"/>
  <c r="I46" i="24"/>
  <c r="J46" i="24"/>
  <c r="K46" i="24"/>
  <c r="L46" i="24"/>
  <c r="M46" i="24"/>
  <c r="N46" i="24"/>
  <c r="O46" i="24"/>
  <c r="P46" i="24"/>
  <c r="G48" i="24"/>
  <c r="H48" i="24"/>
  <c r="I48" i="24"/>
  <c r="J48" i="24"/>
  <c r="K48" i="24"/>
  <c r="L48" i="24"/>
  <c r="M48" i="24"/>
  <c r="N48" i="24"/>
  <c r="O48" i="24"/>
  <c r="P48" i="24"/>
  <c r="H33" i="24"/>
  <c r="J33" i="24"/>
  <c r="K33" i="24"/>
  <c r="F36" i="24"/>
  <c r="L36" i="24"/>
  <c r="M36" i="24"/>
  <c r="N36" i="24"/>
  <c r="O36" i="24"/>
  <c r="P36" i="24"/>
  <c r="D37" i="24"/>
  <c r="E37" i="24"/>
  <c r="AV38" i="24"/>
  <c r="Q38" i="24" s="1"/>
  <c r="F5" i="24"/>
  <c r="I5" i="24" s="1"/>
  <c r="W5" i="24"/>
  <c r="F6" i="24"/>
  <c r="H6" i="24" s="1"/>
  <c r="M6" i="24"/>
  <c r="W6" i="24"/>
  <c r="F7" i="24"/>
  <c r="I7" i="24" s="1"/>
  <c r="M7" i="24"/>
  <c r="O8" i="24" s="1"/>
  <c r="C74" i="24" s="1"/>
  <c r="W7" i="24"/>
  <c r="F8" i="24"/>
  <c r="H8" i="24" s="1"/>
  <c r="M8" i="24"/>
  <c r="F17" i="5" s="1"/>
  <c r="R8" i="24"/>
  <c r="W8" i="24"/>
  <c r="F9" i="24"/>
  <c r="H9" i="24" s="1"/>
  <c r="J9" i="24" s="1"/>
  <c r="M9" i="24"/>
  <c r="R9" i="24"/>
  <c r="F10" i="24"/>
  <c r="I10" i="24" s="1"/>
  <c r="M10" i="24"/>
  <c r="F19" i="5" s="1"/>
  <c r="R10" i="24"/>
  <c r="W10" i="24"/>
  <c r="F11" i="24"/>
  <c r="H11" i="24" s="1" a="1"/>
  <c r="H11" i="24" s="1"/>
  <c r="M11" i="24"/>
  <c r="F20" i="5" s="1"/>
  <c r="W11" i="24"/>
  <c r="AB11" i="24"/>
  <c r="J12" i="24"/>
  <c r="M12" i="24"/>
  <c r="F21" i="5" s="1"/>
  <c r="J13" i="24"/>
  <c r="M13" i="24"/>
  <c r="O13" i="24" s="1"/>
  <c r="C73" i="24" s="1"/>
  <c r="J14" i="24"/>
  <c r="J15" i="24"/>
  <c r="J16" i="24"/>
  <c r="J17" i="24"/>
  <c r="F18" i="24"/>
  <c r="H18" i="24" s="1"/>
  <c r="M21" i="24"/>
  <c r="N21" i="24" s="1"/>
  <c r="N22" i="24"/>
  <c r="W22" i="24"/>
  <c r="N23" i="24"/>
  <c r="T8" i="24" l="1"/>
  <c r="J16" i="11"/>
  <c r="J28" i="11" s="1"/>
  <c r="J26" i="11"/>
  <c r="J15" i="11"/>
  <c r="W12" i="24"/>
  <c r="O12" i="24"/>
  <c r="C75" i="24" s="1"/>
  <c r="H10" i="24"/>
  <c r="Y11" i="24" s="1"/>
  <c r="F67" i="24" s="1"/>
  <c r="I11" i="24"/>
  <c r="J11" i="24" s="1"/>
  <c r="I8" i="24"/>
  <c r="J8" i="24" s="1"/>
  <c r="I18" i="24"/>
  <c r="J18" i="24" s="1"/>
  <c r="O11" i="24"/>
  <c r="C76" i="24" s="1"/>
  <c r="I6" i="24"/>
  <c r="J6" i="24" s="1"/>
  <c r="H5" i="24"/>
  <c r="J5" i="24" s="1"/>
  <c r="O10" i="24"/>
  <c r="C78" i="24" s="1"/>
  <c r="F18" i="5"/>
  <c r="O14" i="24"/>
  <c r="C77" i="24" s="1"/>
  <c r="Q48" i="24"/>
  <c r="E20" i="6" s="1"/>
  <c r="O9" i="24"/>
  <c r="D71" i="24"/>
  <c r="N24" i="24"/>
  <c r="AK38" i="24"/>
  <c r="AV48" i="24"/>
  <c r="M14" i="24"/>
  <c r="AJ38" i="24"/>
  <c r="H7" i="24"/>
  <c r="Y5" i="24" s="1"/>
  <c r="J66" i="24"/>
  <c r="M24" i="24"/>
  <c r="Y7" i="24"/>
  <c r="F71" i="24" s="1"/>
  <c r="Y9" i="24"/>
  <c r="F70" i="24" s="1"/>
  <c r="J10" i="24" l="1"/>
  <c r="O6" i="24"/>
  <c r="O7" i="24"/>
  <c r="C69" i="24" s="1"/>
  <c r="Y8" i="24"/>
  <c r="F69" i="24" s="1"/>
  <c r="J27" i="11"/>
  <c r="J17" i="11"/>
  <c r="Y6" i="24"/>
  <c r="F72" i="24" s="1"/>
  <c r="O5" i="24"/>
  <c r="C66" i="24" s="1"/>
  <c r="Y10" i="24"/>
  <c r="F66" i="24" s="1"/>
  <c r="AI38" i="24"/>
  <c r="AW38" i="24" s="1"/>
  <c r="C67" i="24"/>
  <c r="O15" i="24"/>
  <c r="I84" i="24"/>
  <c r="J79" i="24"/>
  <c r="E38" i="24"/>
  <c r="S38" i="24" s="1"/>
  <c r="AX38" i="24"/>
  <c r="AJ48" i="24"/>
  <c r="J7" i="24"/>
  <c r="T9" i="24"/>
  <c r="F68" i="24"/>
  <c r="AK48" i="24"/>
  <c r="F38" i="24"/>
  <c r="T38" i="24" s="1"/>
  <c r="AY38" i="24"/>
  <c r="C68" i="24"/>
  <c r="J23" i="6"/>
  <c r="E20" i="7"/>
  <c r="Y12" i="24" l="1"/>
  <c r="J29" i="11"/>
  <c r="F79" i="24"/>
  <c r="AI48" i="24"/>
  <c r="AI58" i="24" s="1"/>
  <c r="D38" i="24"/>
  <c r="R38" i="24" s="1"/>
  <c r="AE38" i="24" s="1"/>
  <c r="BJ38" i="24"/>
  <c r="D68" i="24"/>
  <c r="AK58" i="24"/>
  <c r="AY48" i="24"/>
  <c r="F48" i="24"/>
  <c r="T48" i="24" s="1"/>
  <c r="C79" i="24"/>
  <c r="E48" i="24"/>
  <c r="S48" i="24" s="1"/>
  <c r="AX48" i="24"/>
  <c r="AJ58" i="24"/>
  <c r="E32" i="7"/>
  <c r="AW48" i="24" l="1"/>
  <c r="BJ48" i="24" s="1"/>
  <c r="D48" i="24"/>
  <c r="R48" i="24" s="1"/>
  <c r="AE48" i="24" s="1"/>
  <c r="AV58" i="24"/>
  <c r="AW58" i="24" s="1"/>
  <c r="D58" i="24"/>
  <c r="F58" i="24"/>
  <c r="E58" i="24"/>
  <c r="Y17" i="6"/>
  <c r="G60" i="25" l="1"/>
  <c r="AC58" i="24"/>
  <c r="BC58" i="24"/>
  <c r="BD58" i="24"/>
  <c r="BF58" i="24"/>
  <c r="X58" i="24"/>
  <c r="BH58" i="24"/>
  <c r="BG58" i="24"/>
  <c r="BI58" i="24"/>
  <c r="AB58" i="24"/>
  <c r="AZ58" i="24"/>
  <c r="U58" i="24"/>
  <c r="AD58" i="24"/>
  <c r="BA58" i="24"/>
  <c r="BB58" i="24"/>
  <c r="BE58" i="24"/>
  <c r="AA58" i="24"/>
  <c r="V58" i="24"/>
  <c r="W58" i="24"/>
  <c r="Z58" i="24"/>
  <c r="Y58" i="24"/>
  <c r="AX58" i="24"/>
  <c r="S58" i="24"/>
  <c r="T58" i="24"/>
  <c r="AY58" i="24"/>
  <c r="Q58" i="24"/>
  <c r="R58" i="24"/>
  <c r="BJ58" i="24" l="1"/>
  <c r="AE58" i="24"/>
  <c r="E40" i="7" l="1"/>
  <c r="E41" i="7" l="1"/>
  <c r="E39" i="7" l="1"/>
  <c r="F59" i="5"/>
  <c r="F58" i="5"/>
  <c r="F57" i="5"/>
  <c r="F13" i="5"/>
  <c r="AA32" i="7" l="1"/>
  <c r="AM41" i="5"/>
  <c r="AM40" i="5"/>
  <c r="Z41" i="7"/>
  <c r="AA41" i="7"/>
  <c r="Z32" i="7"/>
  <c r="E11" i="7"/>
  <c r="AM39" i="5" l="1"/>
  <c r="E14" i="7"/>
  <c r="F16" i="5"/>
  <c r="E12" i="7"/>
  <c r="F14" i="5"/>
  <c r="E17" i="7"/>
  <c r="E13" i="7"/>
  <c r="E18" i="7"/>
  <c r="E19" i="7"/>
  <c r="F15" i="5"/>
  <c r="E15" i="7"/>
  <c r="E16" i="7"/>
  <c r="E35" i="7" l="1"/>
  <c r="E34" i="7"/>
  <c r="E36" i="7"/>
  <c r="AH7" i="7" l="1"/>
  <c r="AA12" i="7" l="1"/>
  <c r="Z37" i="7" l="1"/>
  <c r="AA37" i="7"/>
  <c r="Z28" i="7" l="1"/>
  <c r="AA28" i="7"/>
  <c r="AA36" i="7" l="1"/>
  <c r="Z36" i="7"/>
  <c r="Z35" i="7"/>
  <c r="AA35" i="7"/>
  <c r="Z34" i="7"/>
  <c r="AA34" i="7"/>
  <c r="Z33" i="7"/>
  <c r="AA33" i="7"/>
  <c r="Z31" i="7"/>
  <c r="AA31" i="7"/>
  <c r="Z30" i="7"/>
  <c r="AA30" i="7"/>
  <c r="Z29" i="7"/>
  <c r="AA29" i="7"/>
  <c r="AA27" i="7"/>
  <c r="Z27" i="7"/>
  <c r="D29" i="25" l="1"/>
  <c r="H23" i="25" s="1"/>
  <c r="E45" i="12" l="1"/>
  <c r="C40" i="25"/>
  <c r="B40" i="25"/>
  <c r="B39" i="25"/>
  <c r="B38" i="25"/>
  <c r="B37" i="25"/>
  <c r="D27" i="25"/>
  <c r="D28" i="25" l="1"/>
  <c r="H25" i="25" s="1"/>
  <c r="E47" i="12" l="1"/>
  <c r="C39" i="25"/>
  <c r="H9" i="31" s="1"/>
  <c r="E8" i="23"/>
  <c r="G88" i="23"/>
  <c r="H88" i="23" s="1"/>
  <c r="I88" i="23" s="1"/>
  <c r="J88" i="23" s="1"/>
  <c r="K88" i="23" s="1"/>
  <c r="L88" i="23" s="1"/>
  <c r="M88" i="23" s="1"/>
  <c r="N88" i="23" s="1"/>
  <c r="G87" i="23"/>
  <c r="H87" i="23" s="1"/>
  <c r="I87" i="23" s="1"/>
  <c r="J87" i="23" s="1"/>
  <c r="K87" i="23" s="1"/>
  <c r="L87" i="23" s="1"/>
  <c r="M87" i="23" s="1"/>
  <c r="N87" i="23" s="1"/>
  <c r="E19" i="23" l="1"/>
  <c r="AA26" i="7" l="1"/>
  <c r="Z26" i="7"/>
  <c r="AA25" i="7"/>
  <c r="Z25" i="7"/>
  <c r="AA24" i="7"/>
  <c r="Z24" i="7"/>
  <c r="AA23" i="7"/>
  <c r="Z23" i="7"/>
  <c r="AA22" i="7"/>
  <c r="Z22" i="7"/>
  <c r="AA21" i="7"/>
  <c r="Z21" i="7"/>
  <c r="AA20" i="7"/>
  <c r="Z20" i="7"/>
  <c r="AA38" i="7"/>
  <c r="Z38" i="7"/>
  <c r="AA40" i="7"/>
  <c r="Z40" i="7"/>
  <c r="AA39" i="7"/>
  <c r="Z39" i="7"/>
  <c r="AA19" i="7"/>
  <c r="Z19" i="7"/>
  <c r="AA18" i="7"/>
  <c r="Z18" i="7"/>
  <c r="AA17" i="7"/>
  <c r="Z17" i="7"/>
  <c r="AA16" i="7"/>
  <c r="Z16" i="7"/>
  <c r="AA15" i="7"/>
  <c r="Z15" i="7"/>
  <c r="AA14" i="7"/>
  <c r="Z14" i="7"/>
  <c r="AA13" i="7"/>
  <c r="Z13" i="7"/>
  <c r="Z12" i="7"/>
  <c r="H14" i="23" l="1"/>
  <c r="I14" i="23"/>
  <c r="J14" i="23"/>
  <c r="K14" i="23"/>
  <c r="L14" i="23"/>
  <c r="M14" i="23"/>
  <c r="N14" i="23"/>
  <c r="G14" i="23"/>
  <c r="H77" i="23" l="1"/>
  <c r="I77" i="23"/>
  <c r="J77" i="23"/>
  <c r="K77" i="23"/>
  <c r="L77" i="23"/>
  <c r="M77" i="23"/>
  <c r="N77" i="23"/>
  <c r="G77" i="23"/>
  <c r="E7" i="23" l="1"/>
  <c r="G78" i="23" l="1"/>
  <c r="H78" i="23"/>
  <c r="I78" i="23"/>
  <c r="J78" i="23"/>
  <c r="K78" i="23"/>
  <c r="L78" i="23"/>
  <c r="M78" i="23"/>
  <c r="N78" i="23"/>
  <c r="F78" i="23"/>
  <c r="G74" i="23" l="1"/>
  <c r="G75" i="23" s="1"/>
  <c r="H74" i="23"/>
  <c r="I74" i="23"/>
  <c r="J74" i="23"/>
  <c r="K74" i="23"/>
  <c r="L74" i="23"/>
  <c r="M74" i="23"/>
  <c r="M75" i="23" s="1"/>
  <c r="N74" i="23"/>
  <c r="F74" i="23"/>
  <c r="E22" i="23"/>
  <c r="N39" i="23"/>
  <c r="N72" i="23" s="1"/>
  <c r="N22" i="23" s="1"/>
  <c r="M39" i="23"/>
  <c r="M73" i="23" s="1"/>
  <c r="L39" i="23"/>
  <c r="L72" i="23" s="1"/>
  <c r="L22" i="23" s="1"/>
  <c r="K39" i="23"/>
  <c r="K73" i="23" s="1"/>
  <c r="J39" i="23"/>
  <c r="J72" i="23" s="1"/>
  <c r="J22" i="23" s="1"/>
  <c r="I39" i="23"/>
  <c r="I73" i="23" s="1"/>
  <c r="H39" i="23"/>
  <c r="H73" i="23" s="1"/>
  <c r="G39" i="23"/>
  <c r="G72" i="23" s="1"/>
  <c r="G22" i="23" s="1"/>
  <c r="F39" i="23"/>
  <c r="F73" i="23" s="1"/>
  <c r="G38" i="23"/>
  <c r="H38" i="23"/>
  <c r="I38" i="23"/>
  <c r="J38" i="23"/>
  <c r="K38" i="23"/>
  <c r="L38" i="23"/>
  <c r="M38" i="23"/>
  <c r="N38" i="23"/>
  <c r="F38" i="23"/>
  <c r="J73" i="23" l="1"/>
  <c r="N73" i="23"/>
  <c r="J75" i="23"/>
  <c r="I75" i="23"/>
  <c r="N75" i="23"/>
  <c r="I72" i="23"/>
  <c r="I22" i="23" s="1"/>
  <c r="F72" i="23"/>
  <c r="F22" i="23" s="1"/>
  <c r="M72" i="23"/>
  <c r="M22" i="23" s="1"/>
  <c r="L75" i="23"/>
  <c r="K72" i="23"/>
  <c r="K22" i="23" s="1"/>
  <c r="L73" i="23"/>
  <c r="K75" i="23"/>
  <c r="G73" i="23"/>
  <c r="H72" i="23"/>
  <c r="H22" i="23" s="1"/>
  <c r="H75" i="23"/>
  <c r="F75" i="23"/>
  <c r="E21" i="23"/>
  <c r="E20" i="23"/>
  <c r="E6" i="23"/>
  <c r="E5" i="23"/>
  <c r="E4" i="23"/>
  <c r="G54" i="23" l="1"/>
  <c r="H54" i="23"/>
  <c r="I54" i="23"/>
  <c r="J54" i="23"/>
  <c r="K54" i="23"/>
  <c r="L54" i="23"/>
  <c r="M54" i="23"/>
  <c r="N54" i="23"/>
  <c r="F54" i="23"/>
  <c r="G52" i="23"/>
  <c r="H52" i="23"/>
  <c r="I52" i="23"/>
  <c r="J52" i="23"/>
  <c r="K52" i="23"/>
  <c r="L52" i="23"/>
  <c r="M52" i="23"/>
  <c r="N52" i="23"/>
  <c r="F52" i="23"/>
  <c r="G50" i="23"/>
  <c r="H50" i="23"/>
  <c r="I50" i="23"/>
  <c r="J50" i="23"/>
  <c r="K50" i="23"/>
  <c r="L50" i="23"/>
  <c r="M50" i="23"/>
  <c r="N50" i="23"/>
  <c r="F50" i="23"/>
  <c r="G45" i="23"/>
  <c r="H45" i="23"/>
  <c r="I45" i="23"/>
  <c r="J45" i="23"/>
  <c r="K45" i="23"/>
  <c r="L45" i="23"/>
  <c r="M45" i="23"/>
  <c r="N45" i="23"/>
  <c r="F45" i="23"/>
  <c r="G43" i="23"/>
  <c r="H43" i="23"/>
  <c r="I43" i="23"/>
  <c r="J43" i="23"/>
  <c r="K43" i="23"/>
  <c r="L43" i="23"/>
  <c r="M43" i="23"/>
  <c r="N43" i="23"/>
  <c r="F43" i="23"/>
  <c r="G41" i="23"/>
  <c r="H41" i="23"/>
  <c r="I41" i="23"/>
  <c r="J41" i="23"/>
  <c r="K41" i="23"/>
  <c r="L41" i="23"/>
  <c r="M41" i="23"/>
  <c r="N41" i="23"/>
  <c r="F41" i="23"/>
  <c r="N32" i="23"/>
  <c r="N56" i="23" l="1"/>
  <c r="N61" i="23" s="1"/>
  <c r="N19" i="23" s="1"/>
  <c r="F28" i="23"/>
  <c r="F63" i="23" s="1"/>
  <c r="G28" i="23"/>
  <c r="H28" i="23"/>
  <c r="I28" i="23"/>
  <c r="I81" i="23" s="1"/>
  <c r="J28" i="23"/>
  <c r="K28" i="23"/>
  <c r="L28" i="23"/>
  <c r="M28" i="23"/>
  <c r="N28" i="23"/>
  <c r="F32" i="23"/>
  <c r="F56" i="23" s="1"/>
  <c r="F61" i="23" s="1"/>
  <c r="F19" i="23" s="1"/>
  <c r="G32" i="23"/>
  <c r="G56" i="23" s="1"/>
  <c r="G61" i="23" s="1"/>
  <c r="G19" i="23" s="1"/>
  <c r="H32" i="23"/>
  <c r="H56" i="23" s="1"/>
  <c r="H61" i="23" s="1"/>
  <c r="H19" i="23" s="1"/>
  <c r="I32" i="23"/>
  <c r="I56" i="23" s="1"/>
  <c r="I61" i="23" s="1"/>
  <c r="I19" i="23" s="1"/>
  <c r="J32" i="23"/>
  <c r="J56" i="23" s="1"/>
  <c r="J61" i="23" s="1"/>
  <c r="J19" i="23" s="1"/>
  <c r="K32" i="23"/>
  <c r="K56" i="23" s="1"/>
  <c r="K61" i="23" s="1"/>
  <c r="K19" i="23" s="1"/>
  <c r="L32" i="23"/>
  <c r="L56" i="23" s="1"/>
  <c r="L61" i="23" s="1"/>
  <c r="L19" i="23" s="1"/>
  <c r="M32" i="23"/>
  <c r="M56" i="23" s="1"/>
  <c r="M61" i="23" s="1"/>
  <c r="M19" i="23" s="1"/>
  <c r="F34" i="23"/>
  <c r="F57" i="23" s="1"/>
  <c r="G34" i="23"/>
  <c r="G57" i="23" s="1"/>
  <c r="H34" i="23"/>
  <c r="H57" i="23" s="1"/>
  <c r="I34" i="23"/>
  <c r="I57" i="23" s="1"/>
  <c r="J34" i="23"/>
  <c r="J57" i="23" s="1"/>
  <c r="K34" i="23"/>
  <c r="K57" i="23" s="1"/>
  <c r="L34" i="23"/>
  <c r="L57" i="23" s="1"/>
  <c r="M34" i="23"/>
  <c r="M57" i="23" s="1"/>
  <c r="N34" i="23"/>
  <c r="N57" i="23" s="1"/>
  <c r="F36" i="23"/>
  <c r="F58" i="23" s="1"/>
  <c r="F60" i="23" s="1"/>
  <c r="G36" i="23"/>
  <c r="G58" i="23" s="1"/>
  <c r="G60" i="23" s="1"/>
  <c r="G4" i="23" s="1"/>
  <c r="H36" i="23"/>
  <c r="I36" i="23"/>
  <c r="J36" i="23"/>
  <c r="K36" i="23"/>
  <c r="L36" i="23"/>
  <c r="M36" i="23"/>
  <c r="N36" i="23"/>
  <c r="I63" i="23" l="1"/>
  <c r="I64" i="23" s="1"/>
  <c r="I67" i="23" s="1"/>
  <c r="M63" i="23"/>
  <c r="M81" i="23"/>
  <c r="L63" i="23"/>
  <c r="L81" i="23"/>
  <c r="K63" i="23"/>
  <c r="K81" i="23"/>
  <c r="J63" i="23"/>
  <c r="J81" i="23"/>
  <c r="I86" i="23"/>
  <c r="I89" i="23" s="1"/>
  <c r="I8" i="23" s="1"/>
  <c r="I82" i="23"/>
  <c r="I83" i="23" s="1"/>
  <c r="I7" i="23" s="1"/>
  <c r="H63" i="23"/>
  <c r="H81" i="23"/>
  <c r="G63" i="23"/>
  <c r="G81" i="23"/>
  <c r="N63" i="23"/>
  <c r="N81" i="23"/>
  <c r="F81" i="23"/>
  <c r="F86" i="23" s="1"/>
  <c r="F89" i="23" s="1"/>
  <c r="F8" i="23" s="1"/>
  <c r="F64" i="23"/>
  <c r="H58" i="23"/>
  <c r="H60" i="23" s="1"/>
  <c r="H4" i="23" s="1"/>
  <c r="K58" i="23"/>
  <c r="K60" i="23" s="1"/>
  <c r="K4" i="23" s="1"/>
  <c r="I58" i="23"/>
  <c r="I60" i="23" s="1"/>
  <c r="I4" i="23" s="1"/>
  <c r="J58" i="23"/>
  <c r="J60" i="23" s="1"/>
  <c r="J4" i="23" s="1"/>
  <c r="N58" i="23"/>
  <c r="N60" i="23" s="1"/>
  <c r="N4" i="23" s="1"/>
  <c r="M58" i="23"/>
  <c r="M60" i="23" s="1"/>
  <c r="M4" i="23" s="1"/>
  <c r="F4" i="23"/>
  <c r="L58" i="23"/>
  <c r="L60" i="23" s="1"/>
  <c r="L4" i="23" s="1"/>
  <c r="Z29" i="6"/>
  <c r="H29" i="6"/>
  <c r="Z28" i="6"/>
  <c r="H28" i="6"/>
  <c r="Z27" i="6"/>
  <c r="H27" i="6"/>
  <c r="Z26" i="6"/>
  <c r="H26" i="6"/>
  <c r="Z25" i="6"/>
  <c r="H25" i="6"/>
  <c r="Z24" i="6"/>
  <c r="H24" i="6"/>
  <c r="Z23" i="6"/>
  <c r="H23" i="6"/>
  <c r="Z22" i="6"/>
  <c r="H22" i="6"/>
  <c r="H20" i="6"/>
  <c r="I65" i="23" l="1"/>
  <c r="I66" i="23" s="1"/>
  <c r="I6" i="23" s="1"/>
  <c r="H86" i="23"/>
  <c r="H89" i="23" s="1"/>
  <c r="H8" i="23" s="1"/>
  <c r="H82" i="23"/>
  <c r="H83" i="23" s="1"/>
  <c r="H7" i="23" s="1"/>
  <c r="J64" i="23"/>
  <c r="J67" i="23" s="1"/>
  <c r="J69" i="23" s="1"/>
  <c r="J70" i="23" s="1"/>
  <c r="J21" i="23" s="1"/>
  <c r="J65" i="23"/>
  <c r="J66" i="23" s="1"/>
  <c r="J6" i="23" s="1"/>
  <c r="H64" i="23"/>
  <c r="H67" i="23" s="1"/>
  <c r="H69" i="23" s="1"/>
  <c r="H70" i="23" s="1"/>
  <c r="H21" i="23" s="1"/>
  <c r="H65" i="23"/>
  <c r="K86" i="23"/>
  <c r="K89" i="23" s="1"/>
  <c r="K8" i="23" s="1"/>
  <c r="K82" i="23"/>
  <c r="K83" i="23" s="1"/>
  <c r="K7" i="23" s="1"/>
  <c r="K64" i="23"/>
  <c r="K67" i="23" s="1"/>
  <c r="K69" i="23" s="1"/>
  <c r="K70" i="23" s="1"/>
  <c r="K21" i="23" s="1"/>
  <c r="K65" i="23"/>
  <c r="K66" i="23" s="1"/>
  <c r="K6" i="23" s="1"/>
  <c r="G64" i="23"/>
  <c r="G67" i="23" s="1"/>
  <c r="G65" i="23"/>
  <c r="G66" i="23" s="1"/>
  <c r="G6" i="23" s="1"/>
  <c r="F67" i="23"/>
  <c r="F68" i="23" s="1"/>
  <c r="F20" i="23" s="1"/>
  <c r="F65" i="23"/>
  <c r="F5" i="23" s="1"/>
  <c r="L86" i="23"/>
  <c r="L89" i="23" s="1"/>
  <c r="L8" i="23" s="1"/>
  <c r="L82" i="23"/>
  <c r="L83" i="23" s="1"/>
  <c r="L7" i="23" s="1"/>
  <c r="N86" i="23"/>
  <c r="N89" i="23" s="1"/>
  <c r="N8" i="23" s="1"/>
  <c r="N82" i="23"/>
  <c r="N83" i="23" s="1"/>
  <c r="N7" i="23" s="1"/>
  <c r="L64" i="23"/>
  <c r="L67" i="23" s="1"/>
  <c r="L69" i="23" s="1"/>
  <c r="L70" i="23" s="1"/>
  <c r="L21" i="23" s="1"/>
  <c r="L65" i="23"/>
  <c r="J86" i="23"/>
  <c r="J89" i="23" s="1"/>
  <c r="J8" i="23" s="1"/>
  <c r="J82" i="23"/>
  <c r="J83" i="23" s="1"/>
  <c r="J7" i="23" s="1"/>
  <c r="N64" i="23"/>
  <c r="N65" i="23"/>
  <c r="N66" i="23" s="1"/>
  <c r="N6" i="23" s="1"/>
  <c r="M86" i="23"/>
  <c r="M89" i="23" s="1"/>
  <c r="M8" i="23" s="1"/>
  <c r="M82" i="23"/>
  <c r="M83" i="23" s="1"/>
  <c r="M7" i="23" s="1"/>
  <c r="F82" i="23"/>
  <c r="G86" i="23"/>
  <c r="G89" i="23" s="1"/>
  <c r="G8" i="23" s="1"/>
  <c r="G82" i="23"/>
  <c r="G83" i="23" s="1"/>
  <c r="G7" i="23" s="1"/>
  <c r="I5" i="23"/>
  <c r="I11" i="23" s="1"/>
  <c r="I12" i="23" s="1"/>
  <c r="I13" i="23" s="1"/>
  <c r="I15" i="23" s="1"/>
  <c r="M64" i="23"/>
  <c r="M67" i="23" s="1"/>
  <c r="M65" i="23"/>
  <c r="M66" i="23" s="1"/>
  <c r="M6" i="23" s="1"/>
  <c r="I69" i="23"/>
  <c r="I70" i="23" s="1"/>
  <c r="I21" i="23" s="1"/>
  <c r="I68" i="23"/>
  <c r="I20" i="23" s="1"/>
  <c r="R9" i="9"/>
  <c r="N5" i="23" l="1"/>
  <c r="N11" i="23" s="1"/>
  <c r="N12" i="23" s="1"/>
  <c r="N13" i="23" s="1"/>
  <c r="N15" i="23" s="1"/>
  <c r="F66" i="23"/>
  <c r="F6" i="23" s="1"/>
  <c r="G69" i="23"/>
  <c r="G70" i="23" s="1"/>
  <c r="G21" i="23" s="1"/>
  <c r="G68" i="23"/>
  <c r="G20" i="23" s="1"/>
  <c r="M69" i="23"/>
  <c r="M70" i="23" s="1"/>
  <c r="M21" i="23" s="1"/>
  <c r="M68" i="23"/>
  <c r="M20" i="23" s="1"/>
  <c r="F83" i="23"/>
  <c r="F7" i="23" s="1"/>
  <c r="F11" i="23" s="1"/>
  <c r="K68" i="23"/>
  <c r="K20" i="23" s="1"/>
  <c r="M5" i="23"/>
  <c r="M11" i="23" s="1"/>
  <c r="M12" i="23" s="1"/>
  <c r="M13" i="23" s="1"/>
  <c r="M15" i="23" s="1"/>
  <c r="H66" i="23"/>
  <c r="H6" i="23" s="1"/>
  <c r="H5" i="23"/>
  <c r="H11" i="23" s="1"/>
  <c r="H12" i="23" s="1"/>
  <c r="H13" i="23" s="1"/>
  <c r="H15" i="23" s="1"/>
  <c r="L68" i="23"/>
  <c r="L20" i="23" s="1"/>
  <c r="N67" i="23"/>
  <c r="G5" i="23"/>
  <c r="G11" i="23" s="1"/>
  <c r="G12" i="23" s="1"/>
  <c r="G13" i="23" s="1"/>
  <c r="G15" i="23" s="1"/>
  <c r="K5" i="23"/>
  <c r="K11" i="23" s="1"/>
  <c r="K12" i="23" s="1"/>
  <c r="K13" i="23" s="1"/>
  <c r="K15" i="23" s="1"/>
  <c r="J5" i="23"/>
  <c r="J11" i="23" s="1"/>
  <c r="J12" i="23" s="1"/>
  <c r="J13" i="23" s="1"/>
  <c r="J15" i="23" s="1"/>
  <c r="H21" i="25" s="1"/>
  <c r="H68" i="23"/>
  <c r="H20" i="23" s="1"/>
  <c r="J68" i="23"/>
  <c r="J20" i="23" s="1"/>
  <c r="L5" i="23"/>
  <c r="L66" i="23"/>
  <c r="L6" i="23" s="1"/>
  <c r="I23" i="23"/>
  <c r="F69" i="23"/>
  <c r="F70" i="23" s="1"/>
  <c r="F21" i="23" s="1"/>
  <c r="H10" i="14"/>
  <c r="Y9" i="9"/>
  <c r="X9" i="9"/>
  <c r="E42" i="12" l="1"/>
  <c r="D21" i="25"/>
  <c r="D22" i="25" s="1"/>
  <c r="C38" i="25"/>
  <c r="H11" i="31" s="1"/>
  <c r="G23" i="23"/>
  <c r="K23" i="23"/>
  <c r="M23" i="23"/>
  <c r="H23" i="23"/>
  <c r="L11" i="23"/>
  <c r="J23" i="23"/>
  <c r="N69" i="23"/>
  <c r="N70" i="23" s="1"/>
  <c r="N21" i="23" s="1"/>
  <c r="N68" i="23"/>
  <c r="N20" i="23" s="1"/>
  <c r="F12" i="23"/>
  <c r="F13" i="23" s="1"/>
  <c r="F15" i="23" s="1"/>
  <c r="F23" i="23" s="1"/>
  <c r="Y5" i="9"/>
  <c r="E33" i="31" l="1"/>
  <c r="I11" i="31" s="1"/>
  <c r="G27" i="12"/>
  <c r="I27" i="12"/>
  <c r="M27" i="12"/>
  <c r="Q27" i="12"/>
  <c r="H27" i="12"/>
  <c r="J27" i="12"/>
  <c r="N27" i="12"/>
  <c r="P27" i="12"/>
  <c r="R27" i="12"/>
  <c r="K27" i="12"/>
  <c r="O27" i="12"/>
  <c r="L27" i="12"/>
  <c r="N23" i="23"/>
  <c r="L12" i="23"/>
  <c r="L13" i="23" s="1"/>
  <c r="L15" i="23" s="1"/>
  <c r="L23" i="23" s="1"/>
  <c r="E10" i="14"/>
  <c r="D10" i="14"/>
  <c r="D60" i="18"/>
  <c r="I10" i="14" l="1"/>
  <c r="D59" i="18"/>
  <c r="D58" i="18"/>
  <c r="D56" i="18"/>
  <c r="D14" i="18"/>
  <c r="D13" i="18"/>
  <c r="D12" i="18"/>
  <c r="D10" i="18"/>
  <c r="W8" i="6"/>
  <c r="AF1" i="4" l="1"/>
  <c r="A17" i="6"/>
  <c r="A7" i="6" s="1"/>
  <c r="A8" i="6"/>
  <c r="H3" i="9"/>
  <c r="Z1" i="4"/>
  <c r="D54" i="18"/>
  <c r="B54" i="18"/>
  <c r="H9" i="14"/>
  <c r="A9" i="6" l="1"/>
  <c r="C29" i="7"/>
  <c r="C40" i="7"/>
  <c r="C41" i="7"/>
  <c r="C30" i="7"/>
  <c r="C31" i="7"/>
  <c r="C11" i="7"/>
  <c r="C32" i="7"/>
  <c r="C20" i="7"/>
  <c r="C21" i="7"/>
  <c r="C22" i="7"/>
  <c r="C19" i="7"/>
  <c r="C23" i="7"/>
  <c r="C34" i="7"/>
  <c r="C12" i="7"/>
  <c r="C24" i="7"/>
  <c r="C35" i="7"/>
  <c r="C37" i="7"/>
  <c r="C25" i="7"/>
  <c r="C36" i="7"/>
  <c r="C39" i="7"/>
  <c r="C26" i="7"/>
  <c r="C27" i="7"/>
  <c r="C38" i="7"/>
  <c r="C33" i="7"/>
  <c r="C28" i="7"/>
  <c r="AB36" i="7"/>
  <c r="AC36" i="7" s="1"/>
  <c r="AB34" i="7"/>
  <c r="AB35" i="7"/>
  <c r="C14" i="7"/>
  <c r="C13" i="7"/>
  <c r="AC11" i="16"/>
  <c r="AC10" i="16"/>
  <c r="AC9" i="16"/>
  <c r="AC8" i="16"/>
  <c r="AC58" i="16"/>
  <c r="AC57" i="16"/>
  <c r="AC56" i="16"/>
  <c r="AC55" i="16"/>
  <c r="AC54" i="16"/>
  <c r="AC53" i="16"/>
  <c r="AC52" i="16"/>
  <c r="AC51" i="16"/>
  <c r="AC50" i="16"/>
  <c r="AC49" i="16"/>
  <c r="AC48" i="16"/>
  <c r="AC47" i="16"/>
  <c r="AC46" i="16"/>
  <c r="AC45" i="16"/>
  <c r="AC44" i="16"/>
  <c r="AC43" i="16"/>
  <c r="AC42" i="16"/>
  <c r="AK36" i="7" l="1"/>
  <c r="AO36" i="7"/>
  <c r="AS36" i="7"/>
  <c r="AI36" i="7"/>
  <c r="AN36" i="7"/>
  <c r="AJ36" i="7"/>
  <c r="AP36" i="7"/>
  <c r="AL36" i="7"/>
  <c r="AQ36" i="7"/>
  <c r="AR36" i="7"/>
  <c r="AM36" i="7"/>
  <c r="AE36" i="7"/>
  <c r="C17" i="7"/>
  <c r="C15" i="7"/>
  <c r="C16" i="7"/>
  <c r="C18" i="7"/>
  <c r="D17" i="18"/>
  <c r="D9" i="11"/>
  <c r="J8" i="11" s="1"/>
  <c r="J13" i="11" s="1"/>
  <c r="J25" i="11" s="1"/>
  <c r="D16" i="18"/>
  <c r="D23" i="18"/>
  <c r="H8" i="9"/>
  <c r="W9" i="9"/>
  <c r="V9" i="9"/>
  <c r="G8" i="11" l="1"/>
  <c r="G20" i="11" s="1"/>
  <c r="J20" i="11"/>
  <c r="H8" i="11"/>
  <c r="H20" i="11" s="1"/>
  <c r="I8" i="11"/>
  <c r="I20" i="11" s="1"/>
  <c r="F8" i="11"/>
  <c r="F19" i="6"/>
  <c r="D25" i="18"/>
  <c r="G9" i="11" l="1"/>
  <c r="G21" i="11" s="1"/>
  <c r="I9" i="11"/>
  <c r="I21" i="11" s="1"/>
  <c r="F12" i="11"/>
  <c r="F24" i="11" s="1"/>
  <c r="F20" i="11"/>
  <c r="F9" i="11"/>
  <c r="F21" i="11" s="1"/>
  <c r="J10" i="11"/>
  <c r="J22" i="11" s="1"/>
  <c r="J12" i="11"/>
  <c r="J24" i="11" s="1"/>
  <c r="J11" i="11"/>
  <c r="J23" i="11" s="1"/>
  <c r="G12" i="11"/>
  <c r="G24" i="11" s="1"/>
  <c r="G13" i="11"/>
  <c r="G25" i="11" s="1"/>
  <c r="G10" i="11"/>
  <c r="G22" i="11" s="1"/>
  <c r="G11" i="11"/>
  <c r="G23" i="11" s="1"/>
  <c r="H13" i="11"/>
  <c r="H25" i="11" s="1"/>
  <c r="H12" i="11"/>
  <c r="H24" i="11" s="1"/>
  <c r="H11" i="11"/>
  <c r="H23" i="11" s="1"/>
  <c r="H10" i="11"/>
  <c r="H22" i="11" s="1"/>
  <c r="H9" i="11"/>
  <c r="H21" i="11" s="1"/>
  <c r="I13" i="11"/>
  <c r="I25" i="11" s="1"/>
  <c r="I12" i="11"/>
  <c r="I24" i="11" s="1"/>
  <c r="I11" i="11"/>
  <c r="I23" i="11" s="1"/>
  <c r="I10" i="11"/>
  <c r="I22" i="11" s="1"/>
  <c r="J9" i="11"/>
  <c r="J21" i="11" s="1"/>
  <c r="F22" i="17"/>
  <c r="F23" i="17"/>
  <c r="H8" i="14" l="1"/>
  <c r="H7" i="14"/>
  <c r="D45" i="18" l="1"/>
  <c r="D44" i="18"/>
  <c r="D43" i="18"/>
  <c r="D42" i="18"/>
  <c r="D41" i="18"/>
  <c r="D40" i="18"/>
  <c r="B40" i="18"/>
  <c r="D53" i="18"/>
  <c r="D52" i="18"/>
  <c r="D51" i="18"/>
  <c r="D47" i="18"/>
  <c r="D46" i="18"/>
  <c r="B53" i="18"/>
  <c r="B52" i="18"/>
  <c r="B51" i="18"/>
  <c r="B50" i="18"/>
  <c r="B49" i="18"/>
  <c r="B48" i="18"/>
  <c r="B47" i="18"/>
  <c r="B46" i="18"/>
  <c r="B45" i="18"/>
  <c r="B44" i="18"/>
  <c r="B43" i="18"/>
  <c r="B42" i="18"/>
  <c r="B41" i="18"/>
  <c r="D39" i="18"/>
  <c r="B39" i="18"/>
  <c r="D38" i="18"/>
  <c r="B38" i="18"/>
  <c r="D37" i="18"/>
  <c r="B37" i="18"/>
  <c r="D36" i="18"/>
  <c r="B36" i="18"/>
  <c r="D34" i="18" l="1"/>
  <c r="D33" i="18"/>
  <c r="D32" i="18"/>
  <c r="D31" i="18"/>
  <c r="D30" i="18"/>
  <c r="D28" i="18"/>
  <c r="B34" i="18"/>
  <c r="B33" i="18"/>
  <c r="B32" i="18"/>
  <c r="B31" i="18"/>
  <c r="B30" i="18"/>
  <c r="B29" i="18"/>
  <c r="B28" i="18"/>
  <c r="B27" i="18"/>
  <c r="D24" i="18"/>
  <c r="D22" i="18"/>
  <c r="D21" i="18"/>
  <c r="D20" i="18"/>
  <c r="D19" i="18"/>
  <c r="E11" i="16"/>
  <c r="F24" i="17" l="1"/>
  <c r="A9" i="9"/>
  <c r="A11" i="7"/>
  <c r="A12" i="7" l="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940" i="6"/>
  <c r="A941" i="6"/>
  <c r="W23" i="6" l="1"/>
  <c r="I23" i="6"/>
  <c r="A5" i="9"/>
  <c r="W24" i="6" l="1"/>
  <c r="I24" i="6"/>
  <c r="J24" i="6"/>
  <c r="AH36" i="7" l="1"/>
  <c r="W25" i="6"/>
  <c r="I25" i="6"/>
  <c r="J25" i="6"/>
  <c r="N58" i="16"/>
  <c r="AH58" i="16" s="1"/>
  <c r="E26" i="16"/>
  <c r="D50" i="18" s="1"/>
  <c r="T8" i="16"/>
  <c r="E24" i="16"/>
  <c r="E25" i="16" s="1"/>
  <c r="W26" i="6" l="1"/>
  <c r="J26" i="6"/>
  <c r="I26" i="6"/>
  <c r="D48" i="18"/>
  <c r="D49" i="18"/>
  <c r="M47" i="16"/>
  <c r="M51" i="16"/>
  <c r="M55" i="16"/>
  <c r="M52" i="16"/>
  <c r="M56" i="16"/>
  <c r="M50" i="16"/>
  <c r="M54" i="16"/>
  <c r="M58" i="16"/>
  <c r="M49" i="16"/>
  <c r="M53" i="16"/>
  <c r="M57" i="16"/>
  <c r="M16" i="16"/>
  <c r="M32" i="16"/>
  <c r="M48" i="16"/>
  <c r="M20" i="16"/>
  <c r="M36" i="16"/>
  <c r="M24" i="16"/>
  <c r="M40" i="16"/>
  <c r="M8" i="16"/>
  <c r="M28" i="16"/>
  <c r="M44" i="16"/>
  <c r="M12" i="16"/>
  <c r="M13" i="16"/>
  <c r="M17" i="16"/>
  <c r="M21" i="16"/>
  <c r="M25" i="16"/>
  <c r="M29" i="16"/>
  <c r="M33" i="16"/>
  <c r="M37" i="16"/>
  <c r="M41" i="16"/>
  <c r="M45" i="16"/>
  <c r="M10" i="16"/>
  <c r="M14" i="16"/>
  <c r="M18" i="16"/>
  <c r="M22" i="16"/>
  <c r="M26" i="16"/>
  <c r="M30" i="16"/>
  <c r="M34" i="16"/>
  <c r="M38" i="16"/>
  <c r="M42" i="16"/>
  <c r="M46" i="16"/>
  <c r="M9" i="16"/>
  <c r="M15" i="16"/>
  <c r="M19" i="16"/>
  <c r="M23" i="16"/>
  <c r="M27" i="16"/>
  <c r="M31" i="16"/>
  <c r="M35" i="16"/>
  <c r="M39" i="16"/>
  <c r="M43" i="16"/>
  <c r="W27" i="6" l="1"/>
  <c r="I27" i="6"/>
  <c r="J27" i="6"/>
  <c r="J28" i="6" l="1"/>
  <c r="I28" i="6"/>
  <c r="E16" i="17"/>
  <c r="W28" i="6"/>
  <c r="P9" i="9"/>
  <c r="Q9" i="9" s="1"/>
  <c r="I9" i="9"/>
  <c r="W22" i="6" l="1"/>
  <c r="J22" i="6"/>
  <c r="AC14" i="16"/>
  <c r="AC12" i="16"/>
  <c r="AC32" i="16"/>
  <c r="AC22" i="16"/>
  <c r="AC17" i="16"/>
  <c r="AC18" i="16"/>
  <c r="AC25" i="16"/>
  <c r="AC21" i="16"/>
  <c r="AC26" i="16"/>
  <c r="AC29" i="16"/>
  <c r="AC15" i="16"/>
  <c r="AC41" i="16"/>
  <c r="AC19" i="16"/>
  <c r="AC23" i="16"/>
  <c r="AC27" i="16"/>
  <c r="AC31" i="16"/>
  <c r="AC34" i="16"/>
  <c r="AC39" i="16"/>
  <c r="AC35" i="16"/>
  <c r="AC33" i="16"/>
  <c r="AC37" i="16"/>
  <c r="AC16" i="16"/>
  <c r="AC40" i="16"/>
  <c r="AC20" i="16"/>
  <c r="AC36" i="16"/>
  <c r="AC13" i="16"/>
  <c r="AC30" i="16"/>
  <c r="AC24" i="16"/>
  <c r="AC38" i="16"/>
  <c r="AC28" i="16"/>
  <c r="J29" i="6"/>
  <c r="W29" i="6"/>
  <c r="I29" i="6"/>
  <c r="J9" i="9"/>
  <c r="D29" i="12"/>
  <c r="D13" i="12"/>
  <c r="D11" i="12"/>
  <c r="D29" i="18" l="1"/>
  <c r="G13" i="12"/>
  <c r="O13" i="12"/>
  <c r="K13" i="12"/>
  <c r="R13" i="12"/>
  <c r="Q13" i="12"/>
  <c r="I13" i="12"/>
  <c r="H13" i="12"/>
  <c r="J13" i="12"/>
  <c r="M13" i="12"/>
  <c r="N13" i="12"/>
  <c r="P13" i="12"/>
  <c r="L13" i="12"/>
  <c r="D27" i="18"/>
  <c r="L11" i="12"/>
  <c r="G11" i="12"/>
  <c r="G10" i="12" s="1"/>
  <c r="K11" i="12"/>
  <c r="O11" i="12"/>
  <c r="R11" i="12"/>
  <c r="I11" i="12"/>
  <c r="P11" i="12"/>
  <c r="H11" i="12"/>
  <c r="M11" i="12"/>
  <c r="N11" i="12"/>
  <c r="Q11" i="12"/>
  <c r="J11" i="12"/>
  <c r="AC6" i="16"/>
  <c r="L10" i="12" l="1"/>
  <c r="J10" i="12"/>
  <c r="O10" i="12"/>
  <c r="N10" i="12"/>
  <c r="I10" i="12"/>
  <c r="M10" i="12"/>
  <c r="R10" i="12"/>
  <c r="H10" i="12"/>
  <c r="Q10" i="12"/>
  <c r="P10" i="12"/>
  <c r="K10" i="12"/>
  <c r="AI27" i="4"/>
  <c r="AH27" i="4" s="1"/>
  <c r="AF27" i="4" s="1"/>
  <c r="AH26" i="4"/>
  <c r="AF26" i="4" s="1"/>
  <c r="AH25" i="4"/>
  <c r="AF25" i="4" s="1"/>
  <c r="AI24" i="4"/>
  <c r="AH24" i="4" s="1"/>
  <c r="AF24" i="4" s="1"/>
  <c r="AH23" i="4"/>
  <c r="AF23" i="4" s="1"/>
  <c r="AH22" i="4"/>
  <c r="AF22" i="4" s="1"/>
  <c r="AH21" i="4"/>
  <c r="AF21" i="4" s="1"/>
  <c r="AH20" i="4"/>
  <c r="AF20" i="4" s="1"/>
  <c r="AH19" i="4"/>
  <c r="AF19" i="4" s="1"/>
  <c r="AH18" i="4"/>
  <c r="AF18" i="4" s="1"/>
  <c r="AH17" i="4"/>
  <c r="AF17" i="4" s="1"/>
  <c r="AI16" i="4"/>
  <c r="AH16" i="4" s="1"/>
  <c r="AF16" i="4" s="1"/>
  <c r="AI15" i="4"/>
  <c r="AH15" i="4" s="1"/>
  <c r="AF15" i="4" s="1"/>
  <c r="AI14" i="4"/>
  <c r="AH14" i="4" s="1"/>
  <c r="AF14" i="4" s="1"/>
  <c r="AH13" i="4"/>
  <c r="AF13" i="4" s="1"/>
  <c r="AH12" i="4"/>
  <c r="AF12" i="4" s="1"/>
  <c r="AJ11" i="4"/>
  <c r="AH10" i="4"/>
  <c r="AF10" i="4" s="1"/>
  <c r="AI9" i="4"/>
  <c r="AH9" i="4" s="1"/>
  <c r="AF9" i="4" s="1"/>
  <c r="AI7" i="4"/>
  <c r="AH7" i="4" s="1"/>
  <c r="AF7" i="4" s="1"/>
  <c r="AH8" i="4"/>
  <c r="AF8" i="4" s="1"/>
  <c r="R5" i="9" l="1"/>
  <c r="Z6" i="4"/>
  <c r="Z7" i="4"/>
  <c r="AI11" i="4" s="1"/>
  <c r="AH11" i="4" s="1"/>
  <c r="AF11" i="4" s="1"/>
  <c r="F11" i="11" l="1"/>
  <c r="F23" i="11" s="1"/>
  <c r="Z12" i="4"/>
  <c r="AA12" i="4" s="1"/>
  <c r="Z13" i="4"/>
  <c r="AB14" i="4"/>
  <c r="F13" i="11" l="1"/>
  <c r="F25" i="11" s="1"/>
  <c r="F10" i="11"/>
  <c r="F22" i="11" s="1"/>
  <c r="AA13" i="4"/>
  <c r="G10" i="14"/>
  <c r="F15" i="11" l="1"/>
  <c r="F27" i="11" s="1"/>
  <c r="O8" i="16" l="1"/>
  <c r="O9" i="16" s="1"/>
  <c r="O10" i="16" s="1"/>
  <c r="O11" i="16" s="1"/>
  <c r="O12" i="16" s="1"/>
  <c r="O13" i="16" s="1"/>
  <c r="O14" i="16" s="1"/>
  <c r="O15" i="16" s="1"/>
  <c r="O16" i="16" s="1"/>
  <c r="O17" i="16" s="1"/>
  <c r="O18" i="16" s="1"/>
  <c r="O19" i="16" s="1"/>
  <c r="O20" i="16" s="1"/>
  <c r="O21" i="16" s="1"/>
  <c r="O22" i="16" s="1"/>
  <c r="O23" i="16" s="1"/>
  <c r="O24" i="16" s="1"/>
  <c r="O25" i="16" s="1"/>
  <c r="O26" i="16" s="1"/>
  <c r="O27" i="16" s="1"/>
  <c r="O28" i="16" s="1"/>
  <c r="O29" i="16" s="1"/>
  <c r="O30" i="16" s="1"/>
  <c r="O31" i="16" s="1"/>
  <c r="O32" i="16" s="1"/>
  <c r="O33" i="16" s="1"/>
  <c r="O34" i="16" s="1"/>
  <c r="O35" i="16" s="1"/>
  <c r="O36" i="16" s="1"/>
  <c r="O37" i="16" s="1"/>
  <c r="O38" i="16" s="1"/>
  <c r="O39" i="16" s="1"/>
  <c r="O40" i="16" s="1"/>
  <c r="O41" i="16" s="1"/>
  <c r="O42" i="16" s="1"/>
  <c r="O43" i="16" s="1"/>
  <c r="O44" i="16" s="1"/>
  <c r="O45" i="16" s="1"/>
  <c r="O46" i="16" s="1"/>
  <c r="O47" i="16" s="1"/>
  <c r="O48" i="16" s="1"/>
  <c r="O49" i="16" s="1"/>
  <c r="O50" i="16" s="1"/>
  <c r="O51" i="16" s="1"/>
  <c r="O52" i="16" s="1"/>
  <c r="O53" i="16" s="1"/>
  <c r="O54" i="16" s="1"/>
  <c r="O55" i="16" s="1"/>
  <c r="O56" i="16" s="1"/>
  <c r="O57" i="16" s="1"/>
  <c r="O58" i="16" s="1"/>
  <c r="F16" i="11"/>
  <c r="F28" i="11" s="1"/>
  <c r="L52" i="16"/>
  <c r="S9" i="16" l="1"/>
  <c r="E11" i="17"/>
  <c r="L57" i="16"/>
  <c r="L41" i="16"/>
  <c r="N40" i="16" s="1"/>
  <c r="AH40" i="16" s="1"/>
  <c r="L26" i="16"/>
  <c r="N25" i="16" s="1"/>
  <c r="AH25" i="16" s="1"/>
  <c r="L20" i="16"/>
  <c r="L55" i="16"/>
  <c r="N54" i="16" s="1"/>
  <c r="AH54" i="16" s="1"/>
  <c r="L39" i="16"/>
  <c r="N38" i="16" s="1"/>
  <c r="AH38" i="16" s="1"/>
  <c r="L58" i="16"/>
  <c r="N57" i="16" s="1"/>
  <c r="AH57" i="16" s="1"/>
  <c r="L9" i="16"/>
  <c r="N8" i="16" s="1"/>
  <c r="L44" i="16"/>
  <c r="N43" i="16" s="1"/>
  <c r="AH43" i="16" s="1"/>
  <c r="L25" i="16"/>
  <c r="N24" i="16" s="1"/>
  <c r="AH24" i="16" s="1"/>
  <c r="L28" i="16"/>
  <c r="N27" i="16" s="1"/>
  <c r="AH27" i="16" s="1"/>
  <c r="L18" i="16"/>
  <c r="N17" i="16" s="1"/>
  <c r="AH17" i="16" s="1"/>
  <c r="L21" i="16"/>
  <c r="N20" i="16" s="1"/>
  <c r="AH20" i="16" s="1"/>
  <c r="L27" i="16"/>
  <c r="N26" i="16" s="1"/>
  <c r="AH26" i="16" s="1"/>
  <c r="L53" i="16"/>
  <c r="N52" i="16" s="1"/>
  <c r="AH52" i="16" s="1"/>
  <c r="L37" i="16"/>
  <c r="N36" i="16" s="1"/>
  <c r="AH36" i="16" s="1"/>
  <c r="L35" i="16"/>
  <c r="L11" i="16"/>
  <c r="L23" i="16"/>
  <c r="N22" i="16" s="1"/>
  <c r="AH22" i="16" s="1"/>
  <c r="L45" i="16"/>
  <c r="N44" i="16" s="1"/>
  <c r="AH44" i="16" s="1"/>
  <c r="L10" i="16"/>
  <c r="N9" i="16" s="1"/>
  <c r="AH9" i="16" s="1"/>
  <c r="L13" i="16"/>
  <c r="N12" i="16" s="1"/>
  <c r="AH12" i="16" s="1"/>
  <c r="L12" i="16"/>
  <c r="N11" i="16" s="1"/>
  <c r="AH11" i="16" s="1"/>
  <c r="L47" i="16"/>
  <c r="N46" i="16" s="1"/>
  <c r="AH46" i="16" s="1"/>
  <c r="L16" i="16"/>
  <c r="N15" i="16" s="1"/>
  <c r="AH15" i="16" s="1"/>
  <c r="L51" i="16"/>
  <c r="N50" i="16" s="1"/>
  <c r="AH50" i="16" s="1"/>
  <c r="L46" i="16"/>
  <c r="N45" i="16" s="1"/>
  <c r="AH45" i="16" s="1"/>
  <c r="L48" i="16"/>
  <c r="N47" i="16" s="1"/>
  <c r="AH47" i="16" s="1"/>
  <c r="L50" i="16"/>
  <c r="N49" i="16" s="1"/>
  <c r="AH49" i="16" s="1"/>
  <c r="L30" i="16"/>
  <c r="N29" i="16" s="1"/>
  <c r="AH29" i="16" s="1"/>
  <c r="L32" i="16"/>
  <c r="N31" i="16" s="1"/>
  <c r="AH31" i="16" s="1"/>
  <c r="L34" i="16"/>
  <c r="N33" i="16" s="1"/>
  <c r="AH33" i="16" s="1"/>
  <c r="L36" i="16"/>
  <c r="N35" i="16" s="1"/>
  <c r="AH35" i="16" s="1"/>
  <c r="L56" i="16"/>
  <c r="N55" i="16" s="1"/>
  <c r="AH55" i="16" s="1"/>
  <c r="L19" i="16"/>
  <c r="N18" i="16" s="1"/>
  <c r="AH18" i="16" s="1"/>
  <c r="L40" i="16"/>
  <c r="N39" i="16" s="1"/>
  <c r="AH39" i="16" s="1"/>
  <c r="L49" i="16"/>
  <c r="N48" i="16" s="1"/>
  <c r="AH48" i="16" s="1"/>
  <c r="L33" i="16"/>
  <c r="N32" i="16" s="1"/>
  <c r="AH32" i="16" s="1"/>
  <c r="L54" i="16"/>
  <c r="N53" i="16" s="1"/>
  <c r="AH53" i="16" s="1"/>
  <c r="L24" i="16"/>
  <c r="N23" i="16" s="1"/>
  <c r="AH23" i="16" s="1"/>
  <c r="L38" i="16"/>
  <c r="N37" i="16" s="1"/>
  <c r="AH37" i="16" s="1"/>
  <c r="L42" i="16"/>
  <c r="N41" i="16" s="1"/>
  <c r="AH41" i="16" s="1"/>
  <c r="L8" i="16"/>
  <c r="L17" i="16"/>
  <c r="N16" i="16" s="1"/>
  <c r="AH16" i="16" s="1"/>
  <c r="L14" i="16"/>
  <c r="N13" i="16" s="1"/>
  <c r="AH13" i="16" s="1"/>
  <c r="L31" i="16"/>
  <c r="N30" i="16" s="1"/>
  <c r="AH30" i="16" s="1"/>
  <c r="L15" i="16"/>
  <c r="N14" i="16" s="1"/>
  <c r="AH14" i="16" s="1"/>
  <c r="L22" i="16"/>
  <c r="N21" i="16" s="1"/>
  <c r="AH21" i="16" s="1"/>
  <c r="L29" i="16"/>
  <c r="N28" i="16" s="1"/>
  <c r="AH28" i="16" s="1"/>
  <c r="L43" i="16"/>
  <c r="N42" i="16" s="1"/>
  <c r="AH42" i="16" s="1"/>
  <c r="N19" i="16"/>
  <c r="AH19" i="16" s="1"/>
  <c r="N34" i="16"/>
  <c r="AH34" i="16" s="1"/>
  <c r="N51" i="16"/>
  <c r="AH51" i="16" s="1"/>
  <c r="N56" i="16"/>
  <c r="AH56" i="16" s="1"/>
  <c r="G9" i="16"/>
  <c r="S10" i="16"/>
  <c r="A7" i="7"/>
  <c r="M11" i="16" l="1"/>
  <c r="N10" i="16" s="1"/>
  <c r="AH10" i="16" s="1"/>
  <c r="AH8" i="16"/>
  <c r="AK8" i="16" s="1"/>
  <c r="S11" i="16"/>
  <c r="W5" i="9"/>
  <c r="E8" i="14" l="1"/>
  <c r="I8" i="14" s="1"/>
  <c r="D8" i="14"/>
  <c r="AJ9" i="16"/>
  <c r="AI9" i="16"/>
  <c r="T9" i="16" s="1"/>
  <c r="S12" i="16"/>
  <c r="F8" i="14" l="1"/>
  <c r="G8" i="14"/>
  <c r="AK9" i="16"/>
  <c r="S13" i="16"/>
  <c r="AJ10" i="16" l="1"/>
  <c r="AI10" i="16"/>
  <c r="T10" i="16" s="1"/>
  <c r="S14" i="16"/>
  <c r="AK10" i="16" l="1"/>
  <c r="S15" i="16"/>
  <c r="AI11" i="16" l="1"/>
  <c r="T11" i="16" s="1"/>
  <c r="AJ11" i="16"/>
  <c r="S16" i="16"/>
  <c r="Z11" i="7"/>
  <c r="AK11" i="16" l="1"/>
  <c r="AI12" i="16" s="1"/>
  <c r="T12" i="16" s="1"/>
  <c r="S17" i="16"/>
  <c r="AA11" i="7"/>
  <c r="AJ12" i="16" l="1"/>
  <c r="AK12" i="16" s="1"/>
  <c r="AI13" i="16" s="1"/>
  <c r="T13" i="16" s="1"/>
  <c r="S18" i="16"/>
  <c r="AG36" i="7" l="1"/>
  <c r="AJ13" i="16"/>
  <c r="AK13" i="16" s="1"/>
  <c r="S19" i="16"/>
  <c r="I22" i="6" l="1"/>
  <c r="AJ14" i="16"/>
  <c r="AI14" i="16"/>
  <c r="S20" i="16"/>
  <c r="AK14" i="16" l="1"/>
  <c r="T14" i="16"/>
  <c r="S21" i="16"/>
  <c r="AJ15" i="16" l="1"/>
  <c r="AI15" i="16"/>
  <c r="T15" i="16" s="1"/>
  <c r="S22" i="16"/>
  <c r="AK15" i="16" l="1"/>
  <c r="S23" i="16"/>
  <c r="A11" i="6"/>
  <c r="AI16" i="16" l="1"/>
  <c r="AJ16" i="16" s="1"/>
  <c r="S24" i="16"/>
  <c r="AK16" i="16" l="1"/>
  <c r="T16" i="16"/>
  <c r="V5" i="9"/>
  <c r="X5" i="9"/>
  <c r="S25" i="16"/>
  <c r="E9" i="14" l="1"/>
  <c r="I9" i="14" s="1"/>
  <c r="D9" i="14"/>
  <c r="D7" i="14"/>
  <c r="E7" i="14"/>
  <c r="AJ17" i="16"/>
  <c r="AI17" i="16"/>
  <c r="S26" i="16"/>
  <c r="G7" i="14" l="1"/>
  <c r="E5" i="14"/>
  <c r="F9" i="14"/>
  <c r="G9" i="14" s="1"/>
  <c r="I7" i="14"/>
  <c r="AK17" i="16"/>
  <c r="T17" i="16"/>
  <c r="S27" i="16"/>
  <c r="I5" i="14" l="1"/>
  <c r="E24" i="17" s="1"/>
  <c r="G5" i="14"/>
  <c r="E18" i="17"/>
  <c r="E20" i="17" s="1"/>
  <c r="AJ18" i="16"/>
  <c r="AI18" i="16"/>
  <c r="S28" i="16"/>
  <c r="AK18" i="16" l="1"/>
  <c r="T18" i="16"/>
  <c r="S29" i="16"/>
  <c r="AJ19" i="16" l="1"/>
  <c r="AI19" i="16"/>
  <c r="T19" i="16" s="1"/>
  <c r="S30" i="16"/>
  <c r="AK19" i="16" l="1"/>
  <c r="AI20" i="16" s="1"/>
  <c r="T20" i="16" s="1"/>
  <c r="S31" i="16"/>
  <c r="AJ20" i="16" l="1"/>
  <c r="S32" i="16"/>
  <c r="AK20" i="16" l="1"/>
  <c r="AI21" i="16" s="1"/>
  <c r="T21" i="16" s="1"/>
  <c r="S33" i="16"/>
  <c r="AJ21" i="16" l="1"/>
  <c r="AK21" i="16" s="1"/>
  <c r="AJ22" i="16" s="1"/>
  <c r="S34" i="16"/>
  <c r="AI22" i="16" l="1"/>
  <c r="T22" i="16" s="1"/>
  <c r="S35" i="16"/>
  <c r="AK22" i="16" l="1"/>
  <c r="S36" i="16"/>
  <c r="AI23" i="16" l="1"/>
  <c r="T23" i="16" s="1"/>
  <c r="AJ23" i="16"/>
  <c r="S37" i="16"/>
  <c r="AK23" i="16" l="1"/>
  <c r="AI24" i="16" s="1"/>
  <c r="T24" i="16" s="1"/>
  <c r="S38" i="16"/>
  <c r="AJ24" i="16" l="1"/>
  <c r="S39" i="16"/>
  <c r="AK24" i="16" l="1"/>
  <c r="AI25" i="16" s="1"/>
  <c r="T25" i="16" s="1"/>
  <c r="S40" i="16"/>
  <c r="AJ25" i="16" l="1"/>
  <c r="AK25" i="16" s="1"/>
  <c r="AI26" i="16" s="1"/>
  <c r="T26" i="16" s="1"/>
  <c r="S41" i="16"/>
  <c r="AJ26" i="16" l="1"/>
  <c r="AK26" i="16" s="1"/>
  <c r="S42" i="16"/>
  <c r="AI27" i="16" l="1"/>
  <c r="T27" i="16" s="1"/>
  <c r="S43" i="16"/>
  <c r="AJ27" i="16" l="1"/>
  <c r="AK27" i="16" s="1"/>
  <c r="AI28" i="16" s="1"/>
  <c r="T28" i="16" s="1"/>
  <c r="S44" i="16"/>
  <c r="AJ28" i="16" l="1"/>
  <c r="AK28" i="16" s="1"/>
  <c r="AI29" i="16" s="1"/>
  <c r="T29" i="16" s="1"/>
  <c r="S45" i="16"/>
  <c r="AJ29" i="16" l="1"/>
  <c r="AK29" i="16" s="1"/>
  <c r="S46" i="16"/>
  <c r="AI30" i="16" l="1"/>
  <c r="T30" i="16" s="1"/>
  <c r="AJ30" i="16"/>
  <c r="S47" i="16"/>
  <c r="AK30" i="16" l="1"/>
  <c r="S48" i="16"/>
  <c r="AI31" i="16" l="1"/>
  <c r="T31" i="16" s="1"/>
  <c r="AJ31" i="16"/>
  <c r="S49" i="16"/>
  <c r="AK31" i="16" l="1"/>
  <c r="AI32" i="16" s="1"/>
  <c r="T32" i="16" s="1"/>
  <c r="S50" i="16"/>
  <c r="AJ32" i="16" l="1"/>
  <c r="AK32" i="16" s="1"/>
  <c r="AI33" i="16" s="1"/>
  <c r="T33" i="16" s="1"/>
  <c r="S51" i="16"/>
  <c r="AJ33" i="16" l="1"/>
  <c r="AK33" i="16" s="1"/>
  <c r="AI34" i="16" s="1"/>
  <c r="T34" i="16" s="1"/>
  <c r="S52" i="16"/>
  <c r="AJ34" i="16" l="1"/>
  <c r="AK34" i="16" s="1"/>
  <c r="AI35" i="16" s="1"/>
  <c r="T35" i="16" s="1"/>
  <c r="S53" i="16"/>
  <c r="AJ35" i="16" l="1"/>
  <c r="AK35" i="16" s="1"/>
  <c r="AI36" i="16" s="1"/>
  <c r="T36" i="16" s="1"/>
  <c r="S54" i="16"/>
  <c r="AJ36" i="16" l="1"/>
  <c r="AK36" i="16" s="1"/>
  <c r="AI37" i="16" s="1"/>
  <c r="T37" i="16" s="1"/>
  <c r="S55" i="16"/>
  <c r="AJ37" i="16" l="1"/>
  <c r="AK37" i="16" s="1"/>
  <c r="AI38" i="16" s="1"/>
  <c r="T38" i="16" s="1"/>
  <c r="S56" i="16"/>
  <c r="AJ38" i="16" l="1"/>
  <c r="AK38" i="16" s="1"/>
  <c r="S58" i="16"/>
  <c r="S57" i="16"/>
  <c r="AJ39" i="16" l="1"/>
  <c r="AI39" i="16"/>
  <c r="T39" i="16" s="1"/>
  <c r="AK39" i="16" l="1"/>
  <c r="AI40" i="16" l="1"/>
  <c r="T40" i="16" s="1"/>
  <c r="AJ40" i="16"/>
  <c r="AK40" i="16" l="1"/>
  <c r="AI41" i="16" l="1"/>
  <c r="T41" i="16" s="1"/>
  <c r="AJ41" i="16" l="1"/>
  <c r="AK41" i="16" s="1"/>
  <c r="AI42" i="16" s="1"/>
  <c r="T42" i="16" s="1"/>
  <c r="AJ42" i="16" l="1"/>
  <c r="AK42" i="16" s="1"/>
  <c r="AJ43" i="16" s="1"/>
  <c r="AI43" i="16" l="1"/>
  <c r="T43" i="16" s="1"/>
  <c r="AK43" i="16" l="1"/>
  <c r="AI44" i="16" s="1"/>
  <c r="T44" i="16" s="1"/>
  <c r="AJ44" i="16" l="1"/>
  <c r="AK44" i="16" s="1"/>
  <c r="AI45" i="16" s="1"/>
  <c r="T45" i="16" s="1"/>
  <c r="AJ45" i="16" l="1"/>
  <c r="AK45" i="16" s="1"/>
  <c r="AI46" i="16" s="1"/>
  <c r="T46" i="16" s="1"/>
  <c r="AJ46" i="16" l="1"/>
  <c r="AK46" i="16" s="1"/>
  <c r="AJ47" i="16" s="1"/>
  <c r="AI47" i="16" l="1"/>
  <c r="T47" i="16" s="1"/>
  <c r="AK47" i="16" l="1"/>
  <c r="AJ48" i="16" s="1"/>
  <c r="AI48" i="16" l="1"/>
  <c r="T48" i="16" s="1"/>
  <c r="AK48" i="16" l="1"/>
  <c r="AJ49" i="16" s="1"/>
  <c r="AI49" i="16" l="1"/>
  <c r="T49" i="16" s="1"/>
  <c r="AK49" i="16" l="1"/>
  <c r="AI50" i="16" s="1"/>
  <c r="T50" i="16" s="1"/>
  <c r="AJ50" i="16" l="1"/>
  <c r="AK50" i="16" s="1"/>
  <c r="AI51" i="16" s="1"/>
  <c r="T51" i="16" s="1"/>
  <c r="AJ51" i="16" l="1"/>
  <c r="AK51" i="16" s="1"/>
  <c r="AI52" i="16" s="1"/>
  <c r="T52" i="16" s="1"/>
  <c r="AJ52" i="16" l="1"/>
  <c r="AK52" i="16" s="1"/>
  <c r="AI53" i="16" s="1"/>
  <c r="T53" i="16" s="1"/>
  <c r="AJ53" i="16" l="1"/>
  <c r="AK53" i="16" s="1"/>
  <c r="AI54" i="16" s="1"/>
  <c r="T54" i="16" l="1"/>
  <c r="AJ54" i="16"/>
  <c r="AK54" i="16" l="1"/>
  <c r="AI55" i="16" l="1"/>
  <c r="T55" i="16" s="1"/>
  <c r="AJ55" i="16"/>
  <c r="AK55" i="16" l="1"/>
  <c r="AI56" i="16" s="1"/>
  <c r="T56" i="16" s="1"/>
  <c r="AJ56" i="16" l="1"/>
  <c r="AK56" i="16" l="1"/>
  <c r="AI57" i="16" l="1"/>
  <c r="T57" i="16" s="1"/>
  <c r="AJ57" i="16" l="1"/>
  <c r="AK57" i="16" s="1"/>
  <c r="AI58" i="16" s="1"/>
  <c r="T58" i="16" s="1"/>
  <c r="AJ58" i="16" l="1"/>
  <c r="AK58" i="16" s="1"/>
  <c r="AC35" i="7" l="1"/>
  <c r="F20" i="6"/>
  <c r="AJ35" i="7" l="1"/>
  <c r="AN35" i="7"/>
  <c r="AR35" i="7"/>
  <c r="AI35" i="7"/>
  <c r="AO35" i="7"/>
  <c r="AK35" i="7"/>
  <c r="AP35" i="7"/>
  <c r="AL35" i="7"/>
  <c r="AQ35" i="7"/>
  <c r="AM35" i="7"/>
  <c r="AS35" i="7"/>
  <c r="AE35" i="7"/>
  <c r="AH35" i="7"/>
  <c r="AG35" i="7"/>
  <c r="AC34" i="7"/>
  <c r="AI34" i="7" l="1"/>
  <c r="K20" i="6" s="1"/>
  <c r="AM34" i="7"/>
  <c r="O20" i="6" s="1"/>
  <c r="AQ34" i="7"/>
  <c r="S20" i="6" s="1"/>
  <c r="AJ34" i="7"/>
  <c r="L20" i="6" s="1"/>
  <c r="AO34" i="7"/>
  <c r="Q20" i="6" s="1"/>
  <c r="AK34" i="7"/>
  <c r="M20" i="6" s="1"/>
  <c r="AP34" i="7"/>
  <c r="R20" i="6" s="1"/>
  <c r="AL34" i="7"/>
  <c r="N20" i="6" s="1"/>
  <c r="AR34" i="7"/>
  <c r="T20" i="6" s="1"/>
  <c r="AS34" i="7"/>
  <c r="U20" i="6" s="1"/>
  <c r="AN34" i="7"/>
  <c r="P20" i="6" s="1"/>
  <c r="AE34" i="7"/>
  <c r="AH34" i="7"/>
  <c r="J20" i="6" s="1"/>
  <c r="AG34" i="7"/>
  <c r="I20" i="6" s="1"/>
  <c r="F17" i="6" l="1"/>
  <c r="W20" i="6"/>
  <c r="Z20" i="6" s="1"/>
  <c r="AM57" i="5" l="1"/>
  <c r="E23" i="17" l="1"/>
  <c r="E22" i="17" s="1"/>
  <c r="P9" i="16" l="1"/>
  <c r="P36" i="16"/>
  <c r="P21" i="16"/>
  <c r="P29" i="16"/>
  <c r="P23" i="16"/>
  <c r="P30" i="16"/>
  <c r="P24" i="16"/>
  <c r="P45" i="16"/>
  <c r="P34" i="16"/>
  <c r="P43" i="16"/>
  <c r="P13" i="16"/>
  <c r="P28" i="16"/>
  <c r="P55" i="16"/>
  <c r="P22" i="16"/>
  <c r="P46" i="16"/>
  <c r="P48" i="16"/>
  <c r="P33" i="16"/>
  <c r="P56" i="16"/>
  <c r="P58" i="16"/>
  <c r="P38" i="16"/>
  <c r="P57" i="16"/>
  <c r="P31" i="16"/>
  <c r="P18" i="16"/>
  <c r="P19" i="16"/>
  <c r="P14" i="16"/>
  <c r="P35" i="16"/>
  <c r="P41" i="16"/>
  <c r="P49" i="16"/>
  <c r="P11" i="16"/>
  <c r="P44" i="16"/>
  <c r="P47" i="16"/>
  <c r="P52" i="16"/>
  <c r="P12" i="16"/>
  <c r="P40" i="16"/>
  <c r="P10" i="16"/>
  <c r="P25" i="16"/>
  <c r="P32" i="16"/>
  <c r="P8" i="16"/>
  <c r="P27" i="16"/>
  <c r="P50" i="16"/>
  <c r="P16" i="16"/>
  <c r="P39" i="16"/>
  <c r="P26" i="16"/>
  <c r="P42" i="16"/>
  <c r="P17" i="16"/>
  <c r="P54" i="16"/>
  <c r="P51" i="16"/>
  <c r="P37" i="16"/>
  <c r="P53" i="16"/>
  <c r="P15" i="16"/>
  <c r="P20" i="16"/>
  <c r="Q18" i="16"/>
  <c r="Q22" i="16"/>
  <c r="Q48" i="16"/>
  <c r="Q35" i="16"/>
  <c r="Q9" i="16"/>
  <c r="R9" i="16" s="1"/>
  <c r="Q26" i="16"/>
  <c r="Q37" i="16"/>
  <c r="Q36" i="16"/>
  <c r="Q50" i="16"/>
  <c r="Q56" i="16"/>
  <c r="Q21" i="16"/>
  <c r="Q41" i="16"/>
  <c r="Q47" i="16"/>
  <c r="Q57" i="16"/>
  <c r="Q53" i="16"/>
  <c r="Q34" i="16"/>
  <c r="R34" i="16" s="1"/>
  <c r="U34" i="16" s="1"/>
  <c r="V34" i="16" s="1"/>
  <c r="W34" i="16" s="1"/>
  <c r="Q40" i="16"/>
  <c r="Q14" i="16"/>
  <c r="Q38" i="16"/>
  <c r="Q29" i="16"/>
  <c r="Q51" i="16"/>
  <c r="Q44" i="16"/>
  <c r="Q25" i="16"/>
  <c r="Q13" i="16"/>
  <c r="Q58" i="16"/>
  <c r="Q12" i="16"/>
  <c r="Q20" i="16"/>
  <c r="Q45" i="16"/>
  <c r="Q31" i="16"/>
  <c r="Q11" i="16"/>
  <c r="Q32" i="16"/>
  <c r="Q8" i="16"/>
  <c r="Q55" i="16"/>
  <c r="R55" i="16" s="1"/>
  <c r="Q23" i="16"/>
  <c r="R23" i="16" s="1"/>
  <c r="U23" i="16" s="1"/>
  <c r="V23" i="16" s="1"/>
  <c r="W23" i="16" s="1"/>
  <c r="X23" i="16" s="1"/>
  <c r="Q42" i="16"/>
  <c r="Q52" i="16"/>
  <c r="Q15" i="16"/>
  <c r="Q24" i="16"/>
  <c r="Q43" i="16"/>
  <c r="R43" i="16" s="1"/>
  <c r="Q17" i="16"/>
  <c r="Q39" i="16"/>
  <c r="Q46" i="16"/>
  <c r="Q54" i="16"/>
  <c r="R54" i="16" s="1"/>
  <c r="Q27" i="16"/>
  <c r="R27" i="16" s="1"/>
  <c r="U27" i="16" s="1"/>
  <c r="V27" i="16" s="1"/>
  <c r="W27" i="16" s="1"/>
  <c r="Q33" i="16"/>
  <c r="R33" i="16" s="1"/>
  <c r="Q19" i="16"/>
  <c r="E27" i="17"/>
  <c r="Q49" i="16"/>
  <c r="Q30" i="16"/>
  <c r="Q10" i="16"/>
  <c r="Q28" i="16"/>
  <c r="Q16" i="16"/>
  <c r="R16" i="16" s="1"/>
  <c r="U16" i="16" s="1"/>
  <c r="V16" i="16" s="1"/>
  <c r="W16" i="16" s="1"/>
  <c r="X16" i="16" s="1"/>
  <c r="Y16" i="16" s="1"/>
  <c r="AE16" i="16" s="1"/>
  <c r="R47" i="16" l="1"/>
  <c r="R46" i="16"/>
  <c r="U46" i="16" s="1"/>
  <c r="V46" i="16" s="1"/>
  <c r="W46" i="16" s="1"/>
  <c r="X46" i="16" s="1"/>
  <c r="Y46" i="16" s="1"/>
  <c r="AE46" i="16" s="1"/>
  <c r="R24" i="16"/>
  <c r="U24" i="16" s="1"/>
  <c r="V24" i="16" s="1"/>
  <c r="W24" i="16" s="1"/>
  <c r="X24" i="16" s="1"/>
  <c r="Y24" i="16" s="1"/>
  <c r="AE24" i="16" s="1"/>
  <c r="R40" i="16"/>
  <c r="U40" i="16" s="1"/>
  <c r="V40" i="16" s="1"/>
  <c r="R39" i="16"/>
  <c r="R36" i="16"/>
  <c r="U36" i="16" s="1"/>
  <c r="V36" i="16" s="1"/>
  <c r="W36" i="16" s="1"/>
  <c r="X36" i="16" s="1"/>
  <c r="Y36" i="16" s="1"/>
  <c r="AE36" i="16" s="1"/>
  <c r="R58" i="16"/>
  <c r="U58" i="16" s="1"/>
  <c r="V58" i="16" s="1"/>
  <c r="W58" i="16" s="1"/>
  <c r="R41" i="16"/>
  <c r="U41" i="16" s="1"/>
  <c r="V41" i="16" s="1"/>
  <c r="W41" i="16" s="1"/>
  <c r="X41" i="16" s="1"/>
  <c r="Y41" i="16" s="1"/>
  <c r="AE41" i="16" s="1"/>
  <c r="R20" i="16"/>
  <c r="U20" i="16" s="1"/>
  <c r="V20" i="16" s="1"/>
  <c r="W20" i="16" s="1"/>
  <c r="X20" i="16" s="1"/>
  <c r="Y20" i="16" s="1"/>
  <c r="AE20" i="16" s="1"/>
  <c r="R21" i="16"/>
  <c r="R12" i="16"/>
  <c r="U12" i="16" s="1"/>
  <c r="V12" i="16" s="1"/>
  <c r="W12" i="16" s="1"/>
  <c r="X12" i="16" s="1"/>
  <c r="Y12" i="16" s="1"/>
  <c r="AE12" i="16" s="1"/>
  <c r="R53" i="16"/>
  <c r="U53" i="16" s="1"/>
  <c r="V53" i="16" s="1"/>
  <c r="R14" i="16"/>
  <c r="U14" i="16" s="1"/>
  <c r="V14" i="16" s="1"/>
  <c r="W14" i="16" s="1"/>
  <c r="X14" i="16" s="1"/>
  <c r="Y14" i="16" s="1"/>
  <c r="AE14" i="16" s="1"/>
  <c r="R30" i="16"/>
  <c r="U30" i="16" s="1"/>
  <c r="V30" i="16" s="1"/>
  <c r="W30" i="16" s="1"/>
  <c r="X30" i="16" s="1"/>
  <c r="Y30" i="16" s="1"/>
  <c r="Z30" i="16" s="1"/>
  <c r="AA30" i="16" s="1"/>
  <c r="R17" i="16"/>
  <c r="U17" i="16" s="1"/>
  <c r="V17" i="16" s="1"/>
  <c r="W17" i="16" s="1"/>
  <c r="X17" i="16" s="1"/>
  <c r="Y17" i="16" s="1"/>
  <c r="AE17" i="16" s="1"/>
  <c r="R8" i="16"/>
  <c r="V8" i="16" s="1"/>
  <c r="W8" i="16" s="1"/>
  <c r="X8" i="16" s="1"/>
  <c r="Y8" i="16" s="1"/>
  <c r="AN8" i="16" s="1"/>
  <c r="R32" i="16"/>
  <c r="U32" i="16" s="1"/>
  <c r="V32" i="16" s="1"/>
  <c r="W32" i="16" s="1"/>
  <c r="R11" i="16"/>
  <c r="R57" i="16"/>
  <c r="U57" i="16" s="1"/>
  <c r="V57" i="16" s="1"/>
  <c r="R31" i="16"/>
  <c r="U31" i="16" s="1"/>
  <c r="V31" i="16" s="1"/>
  <c r="W31" i="16" s="1"/>
  <c r="X31" i="16" s="1"/>
  <c r="Y31" i="16" s="1"/>
  <c r="Z31" i="16" s="1"/>
  <c r="AA31" i="16" s="1"/>
  <c r="R50" i="16"/>
  <c r="U50" i="16" s="1"/>
  <c r="V50" i="16" s="1"/>
  <c r="W50" i="16" s="1"/>
  <c r="X50" i="16" s="1"/>
  <c r="Y50" i="16" s="1"/>
  <c r="Z50" i="16" s="1"/>
  <c r="AA50" i="16" s="1"/>
  <c r="R45" i="16"/>
  <c r="U45" i="16" s="1"/>
  <c r="V45" i="16" s="1"/>
  <c r="R29" i="16"/>
  <c r="U29" i="16" s="1"/>
  <c r="V29" i="16" s="1"/>
  <c r="W29" i="16" s="1"/>
  <c r="R49" i="16"/>
  <c r="U49" i="16" s="1"/>
  <c r="V49" i="16" s="1"/>
  <c r="W49" i="16" s="1"/>
  <c r="R42" i="16"/>
  <c r="R38" i="16"/>
  <c r="U38" i="16" s="1"/>
  <c r="V38" i="16" s="1"/>
  <c r="R48" i="16"/>
  <c r="U48" i="16" s="1"/>
  <c r="V48" i="16" s="1"/>
  <c r="W48" i="16" s="1"/>
  <c r="X48" i="16" s="1"/>
  <c r="R51" i="16"/>
  <c r="U51" i="16" s="1"/>
  <c r="V51" i="16" s="1"/>
  <c r="W51" i="16" s="1"/>
  <c r="X51" i="16" s="1"/>
  <c r="Y51" i="16" s="1"/>
  <c r="AE51" i="16" s="1"/>
  <c r="R26" i="16"/>
  <c r="U26" i="16" s="1"/>
  <c r="V26" i="16" s="1"/>
  <c r="W26" i="16" s="1"/>
  <c r="X26" i="16" s="1"/>
  <c r="Y26" i="16" s="1"/>
  <c r="AE26" i="16" s="1"/>
  <c r="U54" i="16"/>
  <c r="V54" i="16" s="1"/>
  <c r="W54" i="16" s="1"/>
  <c r="X54" i="16" s="1"/>
  <c r="Y54" i="16" s="1"/>
  <c r="AE54" i="16" s="1"/>
  <c r="R37" i="16"/>
  <c r="U37" i="16" s="1"/>
  <c r="V37" i="16" s="1"/>
  <c r="W37" i="16" s="1"/>
  <c r="X37" i="16" s="1"/>
  <c r="Y37" i="16" s="1"/>
  <c r="Z37" i="16" s="1"/>
  <c r="AA37" i="16" s="1"/>
  <c r="U39" i="16"/>
  <c r="V39" i="16" s="1"/>
  <c r="AL9" i="16"/>
  <c r="U9" i="16"/>
  <c r="V9" i="16" s="1"/>
  <c r="W9" i="16" s="1"/>
  <c r="X9" i="16" s="1"/>
  <c r="Y9" i="16" s="1"/>
  <c r="R35" i="16"/>
  <c r="U43" i="16"/>
  <c r="V43" i="16" s="1"/>
  <c r="U33" i="16"/>
  <c r="V33" i="16" s="1"/>
  <c r="X27" i="16"/>
  <c r="Y27" i="16" s="1"/>
  <c r="AE27" i="16" s="1"/>
  <c r="R22" i="16"/>
  <c r="U22" i="16" s="1"/>
  <c r="V22" i="16" s="1"/>
  <c r="W22" i="16" s="1"/>
  <c r="X22" i="16" s="1"/>
  <c r="Y22" i="16" s="1"/>
  <c r="AE22" i="16" s="1"/>
  <c r="R10" i="16"/>
  <c r="R15" i="16"/>
  <c r="U15" i="16" s="1"/>
  <c r="V15" i="16" s="1"/>
  <c r="U47" i="16"/>
  <c r="V47" i="16" s="1"/>
  <c r="W47" i="16" s="1"/>
  <c r="X47" i="16" s="1"/>
  <c r="Y47" i="16" s="1"/>
  <c r="Z47" i="16" s="1"/>
  <c r="AA47" i="16" s="1"/>
  <c r="R18" i="16"/>
  <c r="U55" i="16"/>
  <c r="V55" i="16" s="1"/>
  <c r="R28" i="16"/>
  <c r="U28" i="16" s="1"/>
  <c r="V28" i="16" s="1"/>
  <c r="W28" i="16" s="1"/>
  <c r="X28" i="16" s="1"/>
  <c r="Y28" i="16" s="1"/>
  <c r="Z28" i="16" s="1"/>
  <c r="AA28" i="16" s="1"/>
  <c r="R52" i="16"/>
  <c r="R13" i="16"/>
  <c r="R25" i="16"/>
  <c r="U25" i="16" s="1"/>
  <c r="V25" i="16" s="1"/>
  <c r="W25" i="16" s="1"/>
  <c r="X25" i="16" s="1"/>
  <c r="Y25" i="16" s="1"/>
  <c r="Z25" i="16" s="1"/>
  <c r="AA25" i="16" s="1"/>
  <c r="U21" i="16"/>
  <c r="V21" i="16" s="1"/>
  <c r="X34" i="16"/>
  <c r="Y34" i="16" s="1"/>
  <c r="AE34" i="16" s="1"/>
  <c r="R19" i="16"/>
  <c r="U19" i="16" s="1"/>
  <c r="V19" i="16" s="1"/>
  <c r="R44" i="16"/>
  <c r="R56" i="16"/>
  <c r="Z16" i="16"/>
  <c r="AA16" i="16" s="1"/>
  <c r="Z24" i="16"/>
  <c r="AA24" i="16" s="1"/>
  <c r="Y23" i="16"/>
  <c r="AE23" i="16" s="1"/>
  <c r="Z36" i="16" l="1"/>
  <c r="AA36" i="16" s="1"/>
  <c r="Z41" i="16"/>
  <c r="AA41" i="16" s="1"/>
  <c r="Z20" i="16"/>
  <c r="AA20" i="16" s="1"/>
  <c r="Z12" i="16"/>
  <c r="AA12" i="16" s="1"/>
  <c r="Z14" i="16"/>
  <c r="AA14" i="16" s="1"/>
  <c r="AN9" i="16"/>
  <c r="AE30" i="16"/>
  <c r="Z17" i="16"/>
  <c r="AA17" i="16" s="1"/>
  <c r="X29" i="16"/>
  <c r="Y29" i="16" s="1"/>
  <c r="AE29" i="16" s="1"/>
  <c r="Z8" i="16"/>
  <c r="AA8" i="16" s="1"/>
  <c r="AE31" i="16"/>
  <c r="AE8" i="16"/>
  <c r="U42" i="16"/>
  <c r="V42" i="16" s="1"/>
  <c r="W42" i="16" s="1"/>
  <c r="X42" i="16" s="1"/>
  <c r="Y42" i="16" s="1"/>
  <c r="AE42" i="16" s="1"/>
  <c r="Z26" i="16"/>
  <c r="AA26" i="16" s="1"/>
  <c r="X49" i="16"/>
  <c r="Y49" i="16" s="1"/>
  <c r="Z49" i="16" s="1"/>
  <c r="AA49" i="16" s="1"/>
  <c r="AE50" i="16"/>
  <c r="Z22" i="16"/>
  <c r="AA22" i="16" s="1"/>
  <c r="W38" i="16"/>
  <c r="X38" i="16" s="1"/>
  <c r="AE25" i="16"/>
  <c r="AE47" i="16"/>
  <c r="Y48" i="16"/>
  <c r="AE48" i="16" s="1"/>
  <c r="X32" i="16"/>
  <c r="Y32" i="16" s="1"/>
  <c r="Z32" i="16" s="1"/>
  <c r="AA32" i="16" s="1"/>
  <c r="X58" i="16"/>
  <c r="Y58" i="16" s="1"/>
  <c r="Z58" i="16" s="1"/>
  <c r="AA58" i="16" s="1"/>
  <c r="W43" i="16"/>
  <c r="X43" i="16" s="1"/>
  <c r="W55" i="16"/>
  <c r="X55" i="16" s="1"/>
  <c r="W57" i="16"/>
  <c r="X57" i="16" s="1"/>
  <c r="Y57" i="16" s="1"/>
  <c r="AE57" i="16" s="1"/>
  <c r="U35" i="16"/>
  <c r="V35" i="16" s="1"/>
  <c r="W35" i="16" s="1"/>
  <c r="X35" i="16" s="1"/>
  <c r="Z9" i="16"/>
  <c r="AA9" i="16" s="1"/>
  <c r="W19" i="16"/>
  <c r="X19" i="16" s="1"/>
  <c r="Z51" i="16"/>
  <c r="AA51" i="16" s="1"/>
  <c r="W40" i="16"/>
  <c r="X40" i="16" s="1"/>
  <c r="W33" i="16"/>
  <c r="X33" i="16" s="1"/>
  <c r="AE37" i="16"/>
  <c r="W45" i="16"/>
  <c r="X45" i="16" s="1"/>
  <c r="Z54" i="16"/>
  <c r="AA54" i="16" s="1"/>
  <c r="U13" i="16"/>
  <c r="V13" i="16" s="1"/>
  <c r="W13" i="16" s="1"/>
  <c r="X13" i="16" s="1"/>
  <c r="W39" i="16"/>
  <c r="X39" i="16" s="1"/>
  <c r="AE28" i="16"/>
  <c r="AE9" i="16"/>
  <c r="U52" i="16"/>
  <c r="V52" i="16" s="1"/>
  <c r="W52" i="16" s="1"/>
  <c r="X52" i="16" s="1"/>
  <c r="W53" i="16"/>
  <c r="X53" i="16" s="1"/>
  <c r="W21" i="16"/>
  <c r="X21" i="16" s="1"/>
  <c r="U18" i="16"/>
  <c r="V18" i="16" s="1"/>
  <c r="Z46" i="16"/>
  <c r="AA46" i="16" s="1"/>
  <c r="U56" i="16"/>
  <c r="V56" i="16" s="1"/>
  <c r="W56" i="16" s="1"/>
  <c r="W15" i="16"/>
  <c r="X15" i="16" s="1"/>
  <c r="Y15" i="16" s="1"/>
  <c r="AE15" i="16" s="1"/>
  <c r="U44" i="16"/>
  <c r="V44" i="16" s="1"/>
  <c r="W44" i="16" s="1"/>
  <c r="U10" i="16"/>
  <c r="V10" i="16" s="1"/>
  <c r="W10" i="16" s="1"/>
  <c r="X10" i="16" s="1"/>
  <c r="AL10" i="16"/>
  <c r="Z34" i="16"/>
  <c r="AA34" i="16" s="1"/>
  <c r="Z27" i="16"/>
  <c r="AA27" i="16" s="1"/>
  <c r="Z23" i="16"/>
  <c r="AA23" i="16" s="1"/>
  <c r="Z29" i="16" l="1"/>
  <c r="AA29" i="16" s="1"/>
  <c r="AL11" i="16"/>
  <c r="AL12" i="16" s="1"/>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U11" i="16"/>
  <c r="V11" i="16" s="1"/>
  <c r="W11" i="16" s="1"/>
  <c r="X11" i="16" s="1"/>
  <c r="Y11" i="16" s="1"/>
  <c r="AE11" i="16" s="1"/>
  <c r="Z42" i="16"/>
  <c r="AA42" i="16" s="1"/>
  <c r="AE49" i="16"/>
  <c r="Y38" i="16"/>
  <c r="AE38" i="16" s="1"/>
  <c r="AE58" i="16"/>
  <c r="Z48" i="16"/>
  <c r="AA48" i="16" s="1"/>
  <c r="AE32" i="16"/>
  <c r="Y19" i="16"/>
  <c r="AE19" i="16" s="1"/>
  <c r="Y39" i="16"/>
  <c r="AE39" i="16" s="1"/>
  <c r="Y55" i="16"/>
  <c r="AE55" i="16" s="1"/>
  <c r="Y33" i="16"/>
  <c r="AE33" i="16" s="1"/>
  <c r="Y43" i="16"/>
  <c r="AE43" i="16" s="1"/>
  <c r="Y53" i="16"/>
  <c r="AE53" i="16" s="1"/>
  <c r="Y13" i="16"/>
  <c r="AE13" i="16" s="1"/>
  <c r="Y21" i="16"/>
  <c r="AE21" i="16" s="1"/>
  <c r="Y10" i="16"/>
  <c r="Z10" i="16" s="1"/>
  <c r="AA10" i="16" s="1"/>
  <c r="Y52" i="16"/>
  <c r="AE52" i="16" s="1"/>
  <c r="W18" i="16"/>
  <c r="X18" i="16" s="1"/>
  <c r="Y45" i="16"/>
  <c r="Z45" i="16" s="1"/>
  <c r="AA45" i="16" s="1"/>
  <c r="X44" i="16"/>
  <c r="Y44" i="16" s="1"/>
  <c r="Z44" i="16" s="1"/>
  <c r="AA44" i="16" s="1"/>
  <c r="Z57" i="16"/>
  <c r="AA57" i="16" s="1"/>
  <c r="Y40" i="16"/>
  <c r="AE40" i="16" s="1"/>
  <c r="Y35" i="16"/>
  <c r="AE35" i="16" s="1"/>
  <c r="Z15" i="16"/>
  <c r="AA15" i="16" s="1"/>
  <c r="X56" i="16"/>
  <c r="Y56" i="16" s="1"/>
  <c r="Z56" i="16" s="1"/>
  <c r="AA56" i="16" s="1"/>
  <c r="Z11" i="16" l="1"/>
  <c r="AA11" i="16" s="1"/>
  <c r="Z38" i="16"/>
  <c r="AA38" i="16" s="1"/>
  <c r="Z13" i="16"/>
  <c r="AA13" i="16" s="1"/>
  <c r="Z40" i="16"/>
  <c r="AA40" i="16" s="1"/>
  <c r="AE44" i="16"/>
  <c r="Z52" i="16"/>
  <c r="AA52" i="16" s="1"/>
  <c r="Z21" i="16"/>
  <c r="AA21" i="16" s="1"/>
  <c r="Z53" i="16"/>
  <c r="AA53" i="16" s="1"/>
  <c r="Z55" i="16"/>
  <c r="AA55" i="16" s="1"/>
  <c r="Z19" i="16"/>
  <c r="AA19" i="16" s="1"/>
  <c r="Z35" i="16"/>
  <c r="AA35" i="16" s="1"/>
  <c r="Z33" i="16"/>
  <c r="AA33" i="16" s="1"/>
  <c r="Z39" i="16"/>
  <c r="AA39" i="16" s="1"/>
  <c r="Y18" i="16"/>
  <c r="AE18" i="16" s="1"/>
  <c r="AE45" i="16"/>
  <c r="Z43" i="16"/>
  <c r="AA43" i="16" s="1"/>
  <c r="AE10" i="16"/>
  <c r="AN10" i="16"/>
  <c r="AN11" i="16" s="1"/>
  <c r="AN12" i="16" s="1"/>
  <c r="AN13" i="16" s="1"/>
  <c r="AN14" i="16" s="1"/>
  <c r="AN15" i="16" s="1"/>
  <c r="AN16" i="16" s="1"/>
  <c r="AN17" i="16" s="1"/>
  <c r="AE56" i="16"/>
  <c r="AN18" i="16" l="1"/>
  <c r="AN19" i="16" s="1"/>
  <c r="AN20" i="16" s="1"/>
  <c r="AN21" i="16" s="1"/>
  <c r="AN22" i="16" s="1"/>
  <c r="AN23" i="16" s="1"/>
  <c r="AN24" i="16" s="1"/>
  <c r="AN25" i="16" s="1"/>
  <c r="AN26" i="16" s="1"/>
  <c r="AN27" i="16" s="1"/>
  <c r="AN28" i="16" s="1"/>
  <c r="AN29" i="16" s="1"/>
  <c r="AN30" i="16" s="1"/>
  <c r="AN31" i="16" s="1"/>
  <c r="AN32" i="16" s="1"/>
  <c r="AN33" i="16" s="1"/>
  <c r="AN34" i="16" s="1"/>
  <c r="AN35" i="16" s="1"/>
  <c r="AN36" i="16" s="1"/>
  <c r="AN37" i="16" s="1"/>
  <c r="AN38" i="16" s="1"/>
  <c r="AN39" i="16" s="1"/>
  <c r="AN40" i="16" s="1"/>
  <c r="AN41" i="16" s="1"/>
  <c r="AN42" i="16" s="1"/>
  <c r="AN43" i="16" s="1"/>
  <c r="AN44" i="16" s="1"/>
  <c r="AN45" i="16" s="1"/>
  <c r="AN46" i="16" s="1"/>
  <c r="AN47" i="16" s="1"/>
  <c r="AN48" i="16" s="1"/>
  <c r="AN49" i="16" s="1"/>
  <c r="AN50" i="16" s="1"/>
  <c r="AN51" i="16" s="1"/>
  <c r="AN52" i="16" s="1"/>
  <c r="AN53" i="16" s="1"/>
  <c r="AN54" i="16" s="1"/>
  <c r="AN55" i="16" s="1"/>
  <c r="AN56" i="16" s="1"/>
  <c r="AN57" i="16" s="1"/>
  <c r="AN58" i="16" s="1"/>
  <c r="Z18" i="16"/>
  <c r="AA18" i="16" s="1"/>
  <c r="AA6" i="16" s="1"/>
  <c r="E8" i="17" s="1"/>
  <c r="AN5" i="16" l="1"/>
  <c r="E30" i="16" s="1"/>
  <c r="E31" i="16" s="1"/>
  <c r="AF45" i="16" s="1"/>
  <c r="AF52" i="16" l="1"/>
  <c r="AD48" i="16"/>
  <c r="AF48" i="16"/>
  <c r="AD35" i="16"/>
  <c r="AD56" i="16"/>
  <c r="AD54" i="16"/>
  <c r="AF43" i="16"/>
  <c r="AD32" i="16"/>
  <c r="AF20" i="16"/>
  <c r="AD57" i="16"/>
  <c r="AD11" i="16"/>
  <c r="AD34" i="16"/>
  <c r="AD45" i="16"/>
  <c r="AF28" i="16"/>
  <c r="AF14" i="16"/>
  <c r="AF55" i="16"/>
  <c r="AD37" i="16"/>
  <c r="AF25" i="16"/>
  <c r="AD15" i="16"/>
  <c r="AF17" i="16"/>
  <c r="AF10" i="16"/>
  <c r="AD42" i="16"/>
  <c r="AF32" i="16"/>
  <c r="AD17" i="16"/>
  <c r="AD25" i="16"/>
  <c r="AF38" i="16"/>
  <c r="AD18" i="16"/>
  <c r="AD39" i="16"/>
  <c r="AF12" i="16"/>
  <c r="AD53" i="16"/>
  <c r="AD46" i="16"/>
  <c r="AD58" i="16"/>
  <c r="AF19" i="16"/>
  <c r="AD41" i="16"/>
  <c r="AF40" i="16"/>
  <c r="AD20" i="16"/>
  <c r="AF39" i="16"/>
  <c r="AF22" i="16"/>
  <c r="AF16" i="16"/>
  <c r="AD31" i="16"/>
  <c r="AF41" i="16"/>
  <c r="AD33" i="16"/>
  <c r="AF31" i="16"/>
  <c r="AD49" i="16"/>
  <c r="AF30" i="16"/>
  <c r="AD13" i="16"/>
  <c r="AD22" i="16"/>
  <c r="AF24" i="16"/>
  <c r="AF57" i="16"/>
  <c r="AD50" i="16"/>
  <c r="AD16" i="16"/>
  <c r="AD9" i="16"/>
  <c r="AF21" i="16"/>
  <c r="AF42" i="16"/>
  <c r="AF50" i="16"/>
  <c r="AD55" i="16"/>
  <c r="AF36" i="16"/>
  <c r="AF46" i="16"/>
  <c r="AF37" i="16"/>
  <c r="AF11" i="16"/>
  <c r="AD10" i="16"/>
  <c r="AD23" i="16"/>
  <c r="AF35" i="16"/>
  <c r="AF53" i="16"/>
  <c r="AD51" i="16"/>
  <c r="AF47" i="16"/>
  <c r="AF23" i="16"/>
  <c r="AD40" i="16"/>
  <c r="AF56" i="16"/>
  <c r="AF34" i="16"/>
  <c r="AD44" i="16"/>
  <c r="AF9" i="16"/>
  <c r="AF54" i="16"/>
  <c r="AD52" i="16"/>
  <c r="AD26" i="16"/>
  <c r="AF18" i="16"/>
  <c r="AD14" i="16"/>
  <c r="AD8" i="16"/>
  <c r="AD30" i="16"/>
  <c r="AF26" i="16"/>
  <c r="AF51" i="16"/>
  <c r="AF44" i="16"/>
  <c r="AD43" i="16"/>
  <c r="AF58" i="16"/>
  <c r="AF49" i="16"/>
  <c r="AD19" i="16"/>
  <c r="AF13" i="16"/>
  <c r="AD21" i="16"/>
  <c r="AD29" i="16"/>
  <c r="AD27" i="16"/>
  <c r="AF8" i="16"/>
  <c r="AD47" i="16"/>
  <c r="AF27" i="16"/>
  <c r="AD24" i="16"/>
  <c r="AF29" i="16"/>
  <c r="AD38" i="16"/>
  <c r="AD12" i="16"/>
  <c r="AF15" i="16"/>
  <c r="AD28" i="16"/>
  <c r="AF33" i="16"/>
  <c r="AD36" i="16"/>
  <c r="AD6" i="16" l="1"/>
  <c r="E28" i="17"/>
  <c r="AF6" i="16"/>
  <c r="E29" i="17" l="1"/>
  <c r="C66" i="25" l="1"/>
  <c r="C67" i="25" l="1"/>
  <c r="C68" i="25" l="1"/>
  <c r="C69" i="25" l="1"/>
  <c r="C70" i="25" l="1"/>
  <c r="C71" i="25" l="1"/>
  <c r="C72" i="25" l="1"/>
  <c r="C73" i="25" l="1"/>
  <c r="C74" i="25" l="1"/>
  <c r="C75" i="25" l="1"/>
  <c r="C76" i="25" l="1"/>
  <c r="C77" i="25" l="1"/>
  <c r="C78" i="25" l="1"/>
  <c r="R12" i="24" l="1"/>
  <c r="R11" i="24" s="1"/>
  <c r="T10" i="24" l="1"/>
  <c r="D72" i="24" s="1"/>
  <c r="F61" i="5"/>
  <c r="E38" i="7"/>
  <c r="T11" i="24"/>
  <c r="E37" i="7"/>
  <c r="T12" i="24"/>
  <c r="D70" i="24" s="1"/>
  <c r="F60" i="5"/>
  <c r="R14" i="24"/>
  <c r="R13" i="24"/>
  <c r="F18" i="6" l="1"/>
  <c r="D69" i="24"/>
  <c r="T13" i="24"/>
  <c r="D84" i="24" l="1" a="1"/>
  <c r="A71" i="24"/>
  <c r="D79" i="24"/>
  <c r="G84" i="24" l="1"/>
  <c r="D85" i="24"/>
  <c r="D87" i="24"/>
  <c r="G86" i="24"/>
  <c r="D84" i="24"/>
  <c r="E85" i="24"/>
  <c r="E87" i="24"/>
  <c r="D86" i="24"/>
  <c r="E84" i="24"/>
  <c r="F85" i="24"/>
  <c r="F87" i="24"/>
  <c r="E86" i="24"/>
  <c r="G85" i="24"/>
  <c r="F86" i="24"/>
  <c r="F84" i="24"/>
  <c r="G87" i="24"/>
  <c r="K86" i="24" l="1"/>
  <c r="AV35" i="24" s="1"/>
  <c r="AL35" i="24" s="1"/>
  <c r="K87" i="24"/>
  <c r="AV36" i="24" s="1"/>
  <c r="K85" i="24"/>
  <c r="AV34" i="24" s="1"/>
  <c r="K84" i="24"/>
  <c r="AV33" i="24" s="1"/>
  <c r="AV46" i="24" l="1"/>
  <c r="AM36" i="24"/>
  <c r="AN36" i="24"/>
  <c r="AO36" i="24"/>
  <c r="AP36" i="24"/>
  <c r="AI36" i="24"/>
  <c r="AJ36" i="24"/>
  <c r="AL36" i="24"/>
  <c r="AY36" i="24"/>
  <c r="BG36" i="24"/>
  <c r="BH36" i="24"/>
  <c r="BE36" i="24"/>
  <c r="BI36" i="24"/>
  <c r="BF36" i="24"/>
  <c r="AM34" i="24"/>
  <c r="AN34" i="24"/>
  <c r="AO34" i="24"/>
  <c r="AP34" i="24"/>
  <c r="Q34" i="24"/>
  <c r="Q45" i="24" s="1"/>
  <c r="E18" i="6" s="1"/>
  <c r="AV45" i="24"/>
  <c r="AL34" i="24"/>
  <c r="AR33" i="24"/>
  <c r="AT33" i="24"/>
  <c r="AK33" i="24"/>
  <c r="AL33" i="24"/>
  <c r="AN33" i="24"/>
  <c r="AS33" i="24"/>
  <c r="AU33" i="24"/>
  <c r="Q33" i="24"/>
  <c r="AQ33" i="24"/>
  <c r="AJ33" i="24"/>
  <c r="AI33" i="24"/>
  <c r="AV44" i="24"/>
  <c r="AL46" i="24"/>
  <c r="AZ35" i="24"/>
  <c r="BJ35" i="24" s="1"/>
  <c r="D33" i="24" l="1"/>
  <c r="AW33" i="24"/>
  <c r="AI39" i="24"/>
  <c r="AI44" i="24"/>
  <c r="AB40" i="7"/>
  <c r="AC40" i="7" s="1"/>
  <c r="AB41" i="7"/>
  <c r="AC41" i="7" s="1"/>
  <c r="AB37" i="7"/>
  <c r="AC37" i="7" s="1"/>
  <c r="AB39" i="7"/>
  <c r="AC39" i="7" s="1"/>
  <c r="AB38" i="7"/>
  <c r="AC38" i="7" s="1"/>
  <c r="H18" i="6"/>
  <c r="AM37" i="24"/>
  <c r="AM39" i="24" s="1"/>
  <c r="AM45" i="24"/>
  <c r="H34" i="24"/>
  <c r="BA34" i="24"/>
  <c r="J36" i="24"/>
  <c r="BC36" i="24"/>
  <c r="AU37" i="24"/>
  <c r="AU44" i="24"/>
  <c r="P33" i="24"/>
  <c r="BI33" i="24"/>
  <c r="AU39" i="24"/>
  <c r="K36" i="24"/>
  <c r="BD36" i="24"/>
  <c r="AL56" i="24"/>
  <c r="AZ46" i="24"/>
  <c r="BJ46" i="24" s="1"/>
  <c r="E33" i="24"/>
  <c r="AJ44" i="24"/>
  <c r="AJ39" i="24"/>
  <c r="AX33" i="24"/>
  <c r="AS37" i="24"/>
  <c r="AS44" i="24"/>
  <c r="BG33" i="24"/>
  <c r="N33" i="24"/>
  <c r="AS39" i="24"/>
  <c r="AT37" i="24"/>
  <c r="AT39" i="24" s="1"/>
  <c r="AT44" i="24"/>
  <c r="BH33" i="24"/>
  <c r="O33" i="24"/>
  <c r="AR37" i="24"/>
  <c r="M33" i="24"/>
  <c r="AR39" i="24"/>
  <c r="AR44" i="24"/>
  <c r="BF33" i="24"/>
  <c r="AP37" i="24"/>
  <c r="AP45" i="24"/>
  <c r="K34" i="24"/>
  <c r="BD34" i="24"/>
  <c r="E36" i="24"/>
  <c r="AJ47" i="24"/>
  <c r="AX36" i="24"/>
  <c r="I36" i="24"/>
  <c r="BB36" i="24"/>
  <c r="AK37" i="24"/>
  <c r="F33" i="24"/>
  <c r="AK44" i="24"/>
  <c r="AY33" i="24"/>
  <c r="AK39" i="24"/>
  <c r="BB34" i="24"/>
  <c r="I34" i="24"/>
  <c r="W34" i="24" s="1"/>
  <c r="AN45" i="24"/>
  <c r="AZ36" i="24"/>
  <c r="AQ37" i="24"/>
  <c r="L33" i="24"/>
  <c r="AQ44" i="24"/>
  <c r="BE33" i="24"/>
  <c r="AQ39" i="24"/>
  <c r="AN37" i="24"/>
  <c r="AN47" i="24" s="1"/>
  <c r="AN44" i="24"/>
  <c r="AN39" i="24"/>
  <c r="BB33" i="24"/>
  <c r="I33" i="24"/>
  <c r="Q44" i="24"/>
  <c r="AL37" i="24"/>
  <c r="G33" i="24"/>
  <c r="AL44" i="24"/>
  <c r="AZ33" i="24"/>
  <c r="AL39" i="24"/>
  <c r="G34" i="24"/>
  <c r="U34" i="24" s="1"/>
  <c r="AL45" i="24"/>
  <c r="AZ34" i="24"/>
  <c r="AO37" i="24"/>
  <c r="AO45" i="24"/>
  <c r="BC34" i="24"/>
  <c r="J34" i="24"/>
  <c r="AI47" i="24"/>
  <c r="D36" i="24"/>
  <c r="AW36" i="24"/>
  <c r="H36" i="24"/>
  <c r="BA36" i="24"/>
  <c r="AM47" i="24" l="1"/>
  <c r="U33" i="24"/>
  <c r="AN54" i="24"/>
  <c r="I44" i="24"/>
  <c r="W44" i="24" s="1"/>
  <c r="BB44" i="24"/>
  <c r="T33" i="24"/>
  <c r="AN57" i="24"/>
  <c r="I47" i="24"/>
  <c r="K37" i="24"/>
  <c r="AA33" i="24"/>
  <c r="AB33" i="24"/>
  <c r="AP47" i="24"/>
  <c r="AU54" i="24"/>
  <c r="BI44" i="24"/>
  <c r="P44" i="24"/>
  <c r="AD44" i="24" s="1"/>
  <c r="H45" i="24"/>
  <c r="V45" i="24" s="1"/>
  <c r="AM55" i="24"/>
  <c r="BA45" i="24"/>
  <c r="AE39" i="7"/>
  <c r="E27" i="31"/>
  <c r="AL39" i="7"/>
  <c r="AI39" i="7"/>
  <c r="AP39" i="7"/>
  <c r="AH39" i="7"/>
  <c r="AR39" i="7"/>
  <c r="AN39" i="7"/>
  <c r="AQ39" i="7"/>
  <c r="D14" i="25"/>
  <c r="AG39" i="7"/>
  <c r="P21" i="12"/>
  <c r="AS39" i="7"/>
  <c r="H21" i="12"/>
  <c r="J21" i="12"/>
  <c r="M21" i="12"/>
  <c r="AK39" i="7"/>
  <c r="AO39" i="7"/>
  <c r="N21" i="12"/>
  <c r="Q21" i="12"/>
  <c r="L21" i="12"/>
  <c r="AM39" i="7"/>
  <c r="AJ39" i="7"/>
  <c r="K21" i="12"/>
  <c r="R21" i="12"/>
  <c r="I21" i="12"/>
  <c r="O21" i="12"/>
  <c r="G21" i="12"/>
  <c r="AI54" i="24"/>
  <c r="D44" i="24"/>
  <c r="R44" i="24" s="1"/>
  <c r="AW44" i="24"/>
  <c r="BC45" i="24"/>
  <c r="AO55" i="24"/>
  <c r="J45" i="24"/>
  <c r="X45" i="24" s="1"/>
  <c r="AM57" i="24"/>
  <c r="H47" i="24"/>
  <c r="X34" i="24"/>
  <c r="J37" i="24"/>
  <c r="G37" i="24"/>
  <c r="W33" i="24"/>
  <c r="I37" i="24"/>
  <c r="I39" i="24" s="1"/>
  <c r="Z33" i="24"/>
  <c r="AL47" i="24"/>
  <c r="F37" i="24"/>
  <c r="F39" i="24" s="1"/>
  <c r="AV37" i="24"/>
  <c r="BD37" i="24" s="1"/>
  <c r="AK47" i="24"/>
  <c r="K39" i="24"/>
  <c r="Y34" i="24"/>
  <c r="AR47" i="24"/>
  <c r="M37" i="24"/>
  <c r="AT54" i="24"/>
  <c r="O44" i="24"/>
  <c r="AC44" i="24" s="1"/>
  <c r="BH44" i="24"/>
  <c r="AV56" i="24"/>
  <c r="G56" i="24"/>
  <c r="AU47" i="24"/>
  <c r="P37" i="24"/>
  <c r="H37" i="24"/>
  <c r="H39" i="24" s="1"/>
  <c r="E31" i="31"/>
  <c r="D18" i="25"/>
  <c r="AE37" i="7"/>
  <c r="AR37" i="7"/>
  <c r="AK37" i="7"/>
  <c r="AM37" i="7"/>
  <c r="AL37" i="7"/>
  <c r="AI37" i="7"/>
  <c r="D19" i="25"/>
  <c r="AH37" i="7"/>
  <c r="AS37" i="7"/>
  <c r="AG37" i="7"/>
  <c r="AJ37" i="7"/>
  <c r="AO37" i="7"/>
  <c r="AP37" i="7"/>
  <c r="AQ37" i="7"/>
  <c r="P25" i="12"/>
  <c r="H25" i="12"/>
  <c r="J25" i="12"/>
  <c r="M25" i="12"/>
  <c r="N25" i="12"/>
  <c r="Q25" i="12"/>
  <c r="L25" i="12"/>
  <c r="AN37" i="7"/>
  <c r="K25" i="12"/>
  <c r="R25" i="12"/>
  <c r="I25" i="12"/>
  <c r="O25" i="12"/>
  <c r="G25" i="12"/>
  <c r="AI57" i="24"/>
  <c r="D47" i="24"/>
  <c r="AQ54" i="24"/>
  <c r="BE44" i="24"/>
  <c r="L44" i="24"/>
  <c r="Z44" i="24" s="1"/>
  <c r="BJ36" i="24"/>
  <c r="AO39" i="24"/>
  <c r="BJ34" i="24"/>
  <c r="AQ47" i="24"/>
  <c r="L37" i="24"/>
  <c r="BE37" i="24"/>
  <c r="BB45" i="24"/>
  <c r="I45" i="24"/>
  <c r="W45" i="24" s="1"/>
  <c r="AN55" i="24"/>
  <c r="E47" i="24"/>
  <c r="AJ57" i="24"/>
  <c r="BD45" i="24"/>
  <c r="K45" i="24"/>
  <c r="Y45" i="24" s="1"/>
  <c r="AP55" i="24"/>
  <c r="AR54" i="24"/>
  <c r="BF44" i="24"/>
  <c r="M44" i="24"/>
  <c r="AA44" i="24" s="1"/>
  <c r="AC33" i="24"/>
  <c r="O37" i="24"/>
  <c r="AT47" i="24"/>
  <c r="BH37" i="24"/>
  <c r="N44" i="24"/>
  <c r="AB44" i="24" s="1"/>
  <c r="BG44" i="24"/>
  <c r="AS54" i="24"/>
  <c r="E44" i="24"/>
  <c r="S44" i="24" s="1"/>
  <c r="AJ54" i="24"/>
  <c r="AX44" i="24"/>
  <c r="V34" i="24"/>
  <c r="AE34" i="24" s="1"/>
  <c r="E30" i="31"/>
  <c r="D17" i="25"/>
  <c r="AE41" i="7"/>
  <c r="AR41" i="7"/>
  <c r="AK41" i="7"/>
  <c r="AM41" i="7"/>
  <c r="AL41" i="7"/>
  <c r="AI41" i="7"/>
  <c r="AG41" i="7"/>
  <c r="AS41" i="7"/>
  <c r="AJ41" i="7"/>
  <c r="AO41" i="7"/>
  <c r="H24" i="12"/>
  <c r="J24" i="12"/>
  <c r="M24" i="12"/>
  <c r="AN41" i="7"/>
  <c r="N24" i="12"/>
  <c r="Q24" i="12"/>
  <c r="L24" i="12"/>
  <c r="AP41" i="7"/>
  <c r="AQ41" i="7"/>
  <c r="K24" i="12"/>
  <c r="R24" i="12"/>
  <c r="I24" i="12"/>
  <c r="O24" i="12"/>
  <c r="G24" i="12"/>
  <c r="AH41" i="7"/>
  <c r="P24" i="12"/>
  <c r="BJ33" i="24"/>
  <c r="AZ45" i="24"/>
  <c r="G45" i="24"/>
  <c r="U45" i="24" s="1"/>
  <c r="AL55" i="24"/>
  <c r="AZ44" i="24"/>
  <c r="AL54" i="24"/>
  <c r="G44" i="24"/>
  <c r="U44" i="24" s="1"/>
  <c r="E17" i="6"/>
  <c r="AK54" i="24"/>
  <c r="AY44" i="24"/>
  <c r="F44" i="24"/>
  <c r="T44" i="24" s="1"/>
  <c r="AP39" i="24"/>
  <c r="AS47" i="24"/>
  <c r="N37" i="24"/>
  <c r="N39" i="24" s="1"/>
  <c r="BG37" i="24"/>
  <c r="E39" i="24"/>
  <c r="S33" i="24"/>
  <c r="AD33" i="24"/>
  <c r="P39" i="24"/>
  <c r="AO47" i="24"/>
  <c r="AP38" i="7"/>
  <c r="D16" i="25"/>
  <c r="AR38" i="7"/>
  <c r="AG38" i="7"/>
  <c r="AK38" i="7"/>
  <c r="E29" i="31"/>
  <c r="AE38" i="7"/>
  <c r="AQ38" i="7"/>
  <c r="AH38" i="7"/>
  <c r="AS38" i="7"/>
  <c r="AL38" i="7"/>
  <c r="AM38" i="7"/>
  <c r="AJ38" i="7"/>
  <c r="AI38" i="7"/>
  <c r="AN38" i="7"/>
  <c r="N23" i="12"/>
  <c r="Q23" i="12"/>
  <c r="L23" i="12"/>
  <c r="AO38" i="7"/>
  <c r="K23" i="12"/>
  <c r="R23" i="12"/>
  <c r="I23" i="12"/>
  <c r="O23" i="12"/>
  <c r="G23" i="12"/>
  <c r="P23" i="12"/>
  <c r="H23" i="12"/>
  <c r="J23" i="12"/>
  <c r="M23" i="12"/>
  <c r="AE40" i="7"/>
  <c r="D15" i="25"/>
  <c r="E28" i="31"/>
  <c r="AK40" i="7"/>
  <c r="AL40" i="7"/>
  <c r="AI40" i="7"/>
  <c r="AP40" i="7"/>
  <c r="AM40" i="7"/>
  <c r="AJ40" i="7"/>
  <c r="AO40" i="7"/>
  <c r="AN40" i="7"/>
  <c r="AH40" i="7"/>
  <c r="AR40" i="7"/>
  <c r="K22" i="12"/>
  <c r="R22" i="12"/>
  <c r="I22" i="12"/>
  <c r="O22" i="12"/>
  <c r="G22" i="12"/>
  <c r="AG40" i="7"/>
  <c r="AQ40" i="7"/>
  <c r="P22" i="12"/>
  <c r="AS40" i="7"/>
  <c r="H22" i="12"/>
  <c r="J22" i="12"/>
  <c r="M22" i="12"/>
  <c r="N22" i="12"/>
  <c r="Q22" i="12"/>
  <c r="L22" i="12"/>
  <c r="D39" i="24"/>
  <c r="R33" i="24"/>
  <c r="BI37" i="24" l="1"/>
  <c r="AE33" i="24"/>
  <c r="AE45" i="24"/>
  <c r="BJ45" i="24"/>
  <c r="J47" i="24"/>
  <c r="AO57" i="24"/>
  <c r="N47" i="24"/>
  <c r="AS57" i="24"/>
  <c r="AB12" i="7"/>
  <c r="AC12" i="7" s="1"/>
  <c r="AB16" i="7"/>
  <c r="AC16" i="7" s="1"/>
  <c r="Z17" i="6"/>
  <c r="AB15" i="7"/>
  <c r="AC15" i="7" s="1"/>
  <c r="AB19" i="7"/>
  <c r="AC19" i="7" s="1"/>
  <c r="AB11" i="7"/>
  <c r="AB14" i="7"/>
  <c r="AC14" i="7" s="1"/>
  <c r="AB18" i="7"/>
  <c r="AC18" i="7" s="1"/>
  <c r="AB17" i="7"/>
  <c r="AC17" i="7" s="1"/>
  <c r="AB13" i="7"/>
  <c r="AC13" i="7" s="1"/>
  <c r="H17" i="6"/>
  <c r="AV55" i="24"/>
  <c r="AZ55" i="24"/>
  <c r="G55" i="24"/>
  <c r="P18" i="6"/>
  <c r="S18" i="6"/>
  <c r="I18" i="6"/>
  <c r="K18" i="6"/>
  <c r="T18" i="6"/>
  <c r="BA37" i="24"/>
  <c r="AU57" i="24"/>
  <c r="P47" i="24"/>
  <c r="AY37" i="24"/>
  <c r="AL57" i="24"/>
  <c r="H57" i="24"/>
  <c r="D54" i="24"/>
  <c r="AV54" i="24"/>
  <c r="AX54" i="24" s="1"/>
  <c r="K47" i="24"/>
  <c r="AP57" i="24"/>
  <c r="I54" i="24"/>
  <c r="E54" i="24"/>
  <c r="M54" i="24"/>
  <c r="L54" i="24"/>
  <c r="D57" i="24"/>
  <c r="R18" i="6"/>
  <c r="U18" i="6"/>
  <c r="N18" i="6"/>
  <c r="W18" i="6"/>
  <c r="Z18" i="6" s="1"/>
  <c r="U56" i="24"/>
  <c r="Q56" i="24"/>
  <c r="AR57" i="24"/>
  <c r="M47" i="24"/>
  <c r="AK57" i="24"/>
  <c r="F47" i="24"/>
  <c r="BC37" i="24"/>
  <c r="F54" i="24"/>
  <c r="G54" i="24"/>
  <c r="O39" i="24"/>
  <c r="BD55" i="24"/>
  <c r="K55" i="24"/>
  <c r="Y55" i="24" s="1"/>
  <c r="BB55" i="24"/>
  <c r="I55" i="24"/>
  <c r="W55" i="24" s="1"/>
  <c r="Q18" i="6"/>
  <c r="J18" i="6"/>
  <c r="O18" i="6"/>
  <c r="T56" i="24"/>
  <c r="W56" i="24"/>
  <c r="X56" i="24"/>
  <c r="AW56" i="24"/>
  <c r="BA56" i="24"/>
  <c r="R56" i="24"/>
  <c r="Y56" i="24"/>
  <c r="AX56" i="24"/>
  <c r="BB56" i="24"/>
  <c r="V56" i="24"/>
  <c r="BD56" i="24"/>
  <c r="BC56" i="24"/>
  <c r="AY56" i="24"/>
  <c r="S56" i="24"/>
  <c r="O54" i="24"/>
  <c r="AX37" i="24"/>
  <c r="AW37" i="24"/>
  <c r="AV39" i="24"/>
  <c r="AV47" i="24"/>
  <c r="BI47" i="24" s="1"/>
  <c r="L39" i="24"/>
  <c r="BJ44" i="24"/>
  <c r="H55" i="24"/>
  <c r="V55" i="24" s="1"/>
  <c r="BA55" i="24"/>
  <c r="I57" i="24"/>
  <c r="N54" i="24"/>
  <c r="O47" i="24"/>
  <c r="AT57" i="24"/>
  <c r="E57" i="24"/>
  <c r="AQ57" i="24"/>
  <c r="L47" i="24"/>
  <c r="L18" i="6"/>
  <c r="M18" i="6"/>
  <c r="AZ56" i="24"/>
  <c r="BF37" i="24"/>
  <c r="Q37" i="24"/>
  <c r="AC37" i="24" s="1"/>
  <c r="BB37" i="24"/>
  <c r="AZ37" i="24"/>
  <c r="J39" i="24"/>
  <c r="J55" i="24"/>
  <c r="X55" i="24" s="1"/>
  <c r="BC55" i="24"/>
  <c r="AE44" i="24"/>
  <c r="P54" i="24"/>
  <c r="M39" i="24"/>
  <c r="BH54" i="24" l="1"/>
  <c r="AC54" i="24"/>
  <c r="AZ54" i="24"/>
  <c r="BG54" i="24"/>
  <c r="AD13" i="24"/>
  <c r="AB13" i="24" s="1"/>
  <c r="AY54" i="24"/>
  <c r="AB54" i="24"/>
  <c r="Z54" i="24"/>
  <c r="BE54" i="24"/>
  <c r="BF54" i="24"/>
  <c r="BI54" i="24"/>
  <c r="AA54" i="24"/>
  <c r="AD54" i="24"/>
  <c r="S54" i="24"/>
  <c r="W54" i="24"/>
  <c r="Z37" i="24"/>
  <c r="AY47" i="24"/>
  <c r="AA47" i="24"/>
  <c r="AD14" i="24"/>
  <c r="AB12" i="24" s="1"/>
  <c r="BD47" i="24"/>
  <c r="AD9" i="24"/>
  <c r="AB10" i="24" s="1"/>
  <c r="AZ47" i="24"/>
  <c r="AE13" i="7"/>
  <c r="AK13" i="7"/>
  <c r="AL13" i="7"/>
  <c r="AI13" i="7"/>
  <c r="AP13" i="7"/>
  <c r="AH13" i="7"/>
  <c r="AJ13" i="7"/>
  <c r="AO13" i="7"/>
  <c r="AR13" i="7"/>
  <c r="AG13" i="7"/>
  <c r="AN13" i="7"/>
  <c r="AM13" i="7"/>
  <c r="AQ13" i="7"/>
  <c r="AS13" i="7"/>
  <c r="E26" i="31"/>
  <c r="E25" i="31" s="1"/>
  <c r="AC11" i="7"/>
  <c r="D13" i="25"/>
  <c r="D20" i="25" s="1"/>
  <c r="H20" i="12"/>
  <c r="H19" i="12" s="1"/>
  <c r="J20" i="12"/>
  <c r="J19" i="12" s="1"/>
  <c r="M20" i="12"/>
  <c r="M19" i="12" s="1"/>
  <c r="N20" i="12"/>
  <c r="N19" i="12" s="1"/>
  <c r="Q20" i="12"/>
  <c r="Q19" i="12" s="1"/>
  <c r="L20" i="12"/>
  <c r="L19" i="12" s="1"/>
  <c r="K20" i="12"/>
  <c r="K19" i="12" s="1"/>
  <c r="R20" i="12"/>
  <c r="R19" i="12" s="1"/>
  <c r="I20" i="12"/>
  <c r="I19" i="12" s="1"/>
  <c r="O20" i="12"/>
  <c r="O19" i="12" s="1"/>
  <c r="G20" i="12"/>
  <c r="G19" i="12" s="1"/>
  <c r="P20" i="12"/>
  <c r="P19" i="12" s="1"/>
  <c r="AE16" i="7"/>
  <c r="AL16" i="7"/>
  <c r="AI16" i="7"/>
  <c r="AP16" i="7"/>
  <c r="AH16" i="7"/>
  <c r="AR16" i="7"/>
  <c r="AM16" i="7"/>
  <c r="AN16" i="7"/>
  <c r="AQ16" i="7"/>
  <c r="AK16" i="7"/>
  <c r="AO16" i="7"/>
  <c r="AG16" i="7"/>
  <c r="AJ16" i="7"/>
  <c r="AS16" i="7"/>
  <c r="N57" i="24"/>
  <c r="J57" i="24"/>
  <c r="AM60" i="5"/>
  <c r="AV49" i="24"/>
  <c r="AD5" i="24"/>
  <c r="BA47" i="24"/>
  <c r="AD11" i="24"/>
  <c r="AB8" i="24" s="1"/>
  <c r="AX47" i="24"/>
  <c r="BB47" i="24"/>
  <c r="AD7" i="24"/>
  <c r="AB6" i="24" s="1"/>
  <c r="AD12" i="24"/>
  <c r="AB9" i="24" s="1"/>
  <c r="AW47" i="24"/>
  <c r="BJ56" i="24"/>
  <c r="T37" i="24"/>
  <c r="AD37" i="24"/>
  <c r="Z47" i="24"/>
  <c r="AC47" i="24"/>
  <c r="Y37" i="24"/>
  <c r="V47" i="24"/>
  <c r="F57" i="24"/>
  <c r="BF47" i="24"/>
  <c r="K57" i="24"/>
  <c r="X54" i="24"/>
  <c r="BA54" i="24"/>
  <c r="BC54" i="24"/>
  <c r="Y54" i="24"/>
  <c r="BD54" i="24"/>
  <c r="V54" i="24"/>
  <c r="G57" i="24"/>
  <c r="AA37" i="24"/>
  <c r="P57" i="24"/>
  <c r="S47" i="24"/>
  <c r="S55" i="24"/>
  <c r="T55" i="24"/>
  <c r="AW55" i="24"/>
  <c r="AX55" i="24"/>
  <c r="AY55" i="24"/>
  <c r="R55" i="24"/>
  <c r="AE17" i="7"/>
  <c r="AK17" i="7"/>
  <c r="AL17" i="7"/>
  <c r="AI17" i="7"/>
  <c r="AP17" i="7"/>
  <c r="AH17" i="7"/>
  <c r="AG17" i="7"/>
  <c r="AJ17" i="7"/>
  <c r="AO17" i="7"/>
  <c r="AM17" i="7"/>
  <c r="AN17" i="7"/>
  <c r="AR17" i="7"/>
  <c r="AS17" i="7"/>
  <c r="AQ17" i="7"/>
  <c r="AP19" i="7"/>
  <c r="AH19" i="7"/>
  <c r="AR19" i="7"/>
  <c r="AG19" i="7"/>
  <c r="AE19" i="7"/>
  <c r="AK19" i="7"/>
  <c r="AQ19" i="7"/>
  <c r="AS19" i="7"/>
  <c r="AL19" i="7"/>
  <c r="AM19" i="7"/>
  <c r="AJ19" i="7"/>
  <c r="AN19" i="7"/>
  <c r="AO19" i="7"/>
  <c r="AI19" i="7"/>
  <c r="AE12" i="7"/>
  <c r="AL12" i="7"/>
  <c r="AI12" i="7"/>
  <c r="AP12" i="7"/>
  <c r="AH12" i="7"/>
  <c r="AR12" i="7"/>
  <c r="AG12" i="7"/>
  <c r="AN12" i="7"/>
  <c r="AK12" i="7"/>
  <c r="AM12" i="7"/>
  <c r="AQ12" i="7"/>
  <c r="AJ12" i="7"/>
  <c r="AS12" i="7"/>
  <c r="AO12" i="7"/>
  <c r="AB47" i="24"/>
  <c r="X47" i="24"/>
  <c r="BE47" i="24"/>
  <c r="AB37" i="24"/>
  <c r="X37" i="24"/>
  <c r="BJ37" i="24"/>
  <c r="AE56" i="24"/>
  <c r="M57" i="24"/>
  <c r="AV57" i="24"/>
  <c r="R57" i="24" s="1"/>
  <c r="BB54" i="24"/>
  <c r="AW54" i="24"/>
  <c r="U37" i="24"/>
  <c r="AD16" i="24"/>
  <c r="AB14" i="24" s="1"/>
  <c r="AE18" i="7"/>
  <c r="AR18" i="7"/>
  <c r="AK18" i="7"/>
  <c r="AM18" i="7"/>
  <c r="AL18" i="7"/>
  <c r="AI18" i="7"/>
  <c r="AS18" i="7"/>
  <c r="AG18" i="7"/>
  <c r="AJ18" i="7"/>
  <c r="AO18" i="7"/>
  <c r="AP18" i="7"/>
  <c r="AQ18" i="7"/>
  <c r="AH18" i="7"/>
  <c r="AN18" i="7"/>
  <c r="AP15" i="7"/>
  <c r="AH15" i="7"/>
  <c r="AR15" i="7"/>
  <c r="AG15" i="7"/>
  <c r="AK15" i="7"/>
  <c r="AQ15" i="7"/>
  <c r="AE15" i="7"/>
  <c r="AL15" i="7"/>
  <c r="AS15" i="7"/>
  <c r="AI15" i="7"/>
  <c r="AJ15" i="7"/>
  <c r="AN15" i="7"/>
  <c r="AM15" i="7"/>
  <c r="AO15" i="7"/>
  <c r="AD17" i="24"/>
  <c r="AB16" i="24" s="1"/>
  <c r="BH57" i="24"/>
  <c r="O57" i="24"/>
  <c r="AC57" i="24" s="1"/>
  <c r="R37" i="24"/>
  <c r="S37" i="24"/>
  <c r="BE57" i="24"/>
  <c r="L57" i="24"/>
  <c r="Z57" i="24" s="1"/>
  <c r="BH47" i="24"/>
  <c r="AD15" i="24"/>
  <c r="AB15" i="24" s="1"/>
  <c r="W57" i="24"/>
  <c r="R47" i="24"/>
  <c r="T47" i="24"/>
  <c r="AD10" i="24"/>
  <c r="AB17" i="24" s="1"/>
  <c r="V37" i="24"/>
  <c r="W47" i="24"/>
  <c r="Y47" i="24"/>
  <c r="R54" i="24"/>
  <c r="Q54" i="24"/>
  <c r="T54" i="24" s="1"/>
  <c r="W37" i="24"/>
  <c r="AD8" i="24"/>
  <c r="AD47" i="24"/>
  <c r="Q55" i="24"/>
  <c r="U55" i="24"/>
  <c r="AE14" i="7"/>
  <c r="AR14" i="7"/>
  <c r="AK14" i="7"/>
  <c r="AM14" i="7"/>
  <c r="AL14" i="7"/>
  <c r="AI14" i="7"/>
  <c r="AS14" i="7"/>
  <c r="AP14" i="7"/>
  <c r="AJ14" i="7"/>
  <c r="AO14" i="7"/>
  <c r="AH14" i="7"/>
  <c r="AG14" i="7"/>
  <c r="AN14" i="7"/>
  <c r="AQ14" i="7"/>
  <c r="BG47" i="24"/>
  <c r="BC47" i="24"/>
  <c r="AD6" i="24"/>
  <c r="BJ54" i="24" l="1"/>
  <c r="AM62" i="5"/>
  <c r="AM61" i="5"/>
  <c r="BF57" i="24"/>
  <c r="AE55" i="24"/>
  <c r="BI57" i="24"/>
  <c r="AB57" i="24"/>
  <c r="P26" i="12"/>
  <c r="P18" i="12"/>
  <c r="P29" i="12" s="1"/>
  <c r="P30" i="12" s="1"/>
  <c r="R26" i="12"/>
  <c r="R18" i="12" s="1"/>
  <c r="R29" i="12" s="1"/>
  <c r="R30" i="12" s="1"/>
  <c r="N26" i="12"/>
  <c r="N18" i="12" s="1"/>
  <c r="N29" i="12" s="1"/>
  <c r="N30" i="12" s="1"/>
  <c r="C37" i="25"/>
  <c r="D30" i="25"/>
  <c r="H24" i="25" s="1"/>
  <c r="U54" i="24"/>
  <c r="AE37" i="24"/>
  <c r="AM63" i="5"/>
  <c r="T57" i="24"/>
  <c r="AM58" i="5"/>
  <c r="BG57" i="24"/>
  <c r="G26" i="12"/>
  <c r="G18" i="12" s="1"/>
  <c r="G29" i="12" s="1"/>
  <c r="G30" i="12" s="1"/>
  <c r="K26" i="12"/>
  <c r="K18" i="12" s="1"/>
  <c r="K29" i="12" s="1"/>
  <c r="K30" i="12" s="1"/>
  <c r="M26" i="12"/>
  <c r="M18" i="12" s="1"/>
  <c r="M29" i="12" s="1"/>
  <c r="M30" i="12" s="1"/>
  <c r="AE11" i="7"/>
  <c r="W17" i="6" s="1"/>
  <c r="AP11" i="7"/>
  <c r="R17" i="6" s="1"/>
  <c r="AH11" i="7"/>
  <c r="J17" i="6" s="1"/>
  <c r="AR11" i="7"/>
  <c r="T17" i="6" s="1"/>
  <c r="AG11" i="7"/>
  <c r="I17" i="6" s="1"/>
  <c r="AK11" i="7"/>
  <c r="M17" i="6" s="1"/>
  <c r="AL11" i="7"/>
  <c r="N17" i="6" s="1"/>
  <c r="AM11" i="7"/>
  <c r="O17" i="6" s="1"/>
  <c r="AQ11" i="7"/>
  <c r="S17" i="6" s="1"/>
  <c r="AI11" i="7"/>
  <c r="K17" i="6" s="1"/>
  <c r="AS11" i="7"/>
  <c r="U17" i="6" s="1"/>
  <c r="AJ11" i="7"/>
  <c r="L17" i="6" s="1"/>
  <c r="AN11" i="7"/>
  <c r="P17" i="6" s="1"/>
  <c r="AO11" i="7"/>
  <c r="Q17" i="6" s="1"/>
  <c r="AE54" i="24"/>
  <c r="BB57" i="24"/>
  <c r="AX57" i="24"/>
  <c r="BA57" i="24"/>
  <c r="AW57" i="24"/>
  <c r="U57" i="24"/>
  <c r="Y57" i="24"/>
  <c r="AY57" i="24"/>
  <c r="S57" i="24"/>
  <c r="AM56" i="5"/>
  <c r="AD18" i="24"/>
  <c r="X57" i="24"/>
  <c r="O26" i="12"/>
  <c r="O18" i="12" s="1"/>
  <c r="O29" i="12" s="1"/>
  <c r="O30" i="12" s="1"/>
  <c r="L26" i="12"/>
  <c r="L18" i="12"/>
  <c r="L29" i="12" s="1"/>
  <c r="L30" i="12" s="1"/>
  <c r="J26" i="12"/>
  <c r="J18" i="12" s="1"/>
  <c r="J29" i="12" s="1"/>
  <c r="J30" i="12" s="1"/>
  <c r="E32" i="31"/>
  <c r="E24" i="31" s="1"/>
  <c r="E34" i="31" s="1"/>
  <c r="I10" i="31" s="1" a="1"/>
  <c r="I10" i="31" s="1"/>
  <c r="V57" i="24"/>
  <c r="Q57" i="24"/>
  <c r="AM64" i="5"/>
  <c r="AA57" i="24"/>
  <c r="BJ55" i="24"/>
  <c r="AD57" i="24"/>
  <c r="AZ57" i="24"/>
  <c r="BD57" i="24"/>
  <c r="BJ47" i="24"/>
  <c r="AE24" i="24"/>
  <c r="AM54" i="5"/>
  <c r="BC57" i="24"/>
  <c r="I26" i="12"/>
  <c r="I18" i="12"/>
  <c r="I29" i="12" s="1"/>
  <c r="I30" i="12" s="1"/>
  <c r="Q26" i="12"/>
  <c r="Q18" i="12" s="1"/>
  <c r="Q29" i="12" s="1"/>
  <c r="Q30" i="12" s="1"/>
  <c r="H26" i="12"/>
  <c r="H18" i="12" s="1"/>
  <c r="H29" i="12" s="1"/>
  <c r="H30" i="12" s="1"/>
  <c r="AE25" i="24"/>
  <c r="AM65" i="5"/>
  <c r="AM59" i="5"/>
  <c r="AE57" i="24" l="1"/>
  <c r="AE26" i="24"/>
  <c r="AB5" i="24" s="1"/>
  <c r="E35" i="31"/>
  <c r="AE27" i="24"/>
  <c r="AE28" i="24" s="1"/>
  <c r="AB7" i="24" s="1"/>
  <c r="AM53" i="5"/>
  <c r="I8" i="31"/>
  <c r="D31" i="25"/>
  <c r="D32" i="25" s="1"/>
  <c r="C41" i="25"/>
  <c r="H10" i="31" s="1"/>
  <c r="E46" i="12"/>
  <c r="BJ57" i="24"/>
  <c r="H8" i="31"/>
  <c r="C42" i="25" l="1"/>
  <c r="AE21" i="24"/>
  <c r="AE22" i="24" s="1"/>
  <c r="AM55" i="5"/>
  <c r="E65" i="31"/>
  <c r="I12" i="31"/>
  <c r="AB18" i="24" l="1"/>
  <c r="AE23" i="24"/>
  <c r="E66" i="31"/>
  <c r="F65" i="31"/>
  <c r="G65" i="31" s="1"/>
  <c r="E61" i="25"/>
  <c r="H12" i="31"/>
  <c r="G36" i="24" l="1"/>
  <c r="Y19" i="24"/>
  <c r="Y24" i="24"/>
  <c r="Y22" i="24"/>
  <c r="Y18" i="24"/>
  <c r="Y26" i="24"/>
  <c r="Y28" i="24"/>
  <c r="Y25" i="24"/>
  <c r="Y16" i="24"/>
  <c r="Y21" i="24"/>
  <c r="Y27" i="24"/>
  <c r="Y23" i="24"/>
  <c r="Y20" i="24"/>
  <c r="Y17" i="24"/>
  <c r="E67" i="31"/>
  <c r="F66" i="31"/>
  <c r="G66" i="31" s="1"/>
  <c r="F61" i="25"/>
  <c r="G61" i="25" s="1"/>
  <c r="E62" i="25"/>
  <c r="R21" i="24"/>
  <c r="AM66" i="5"/>
  <c r="AB19" i="24"/>
  <c r="F67" i="31" l="1"/>
  <c r="G67" i="31" s="1"/>
  <c r="E68" i="31"/>
  <c r="E63" i="25"/>
  <c r="F62" i="25"/>
  <c r="G62" i="25" s="1"/>
  <c r="E19" i="6"/>
  <c r="Q35" i="24"/>
  <c r="W24" i="24"/>
  <c r="E28" i="7" s="1"/>
  <c r="W25" i="24"/>
  <c r="E29" i="7" s="1"/>
  <c r="W20" i="24"/>
  <c r="E26" i="7" s="1"/>
  <c r="W19" i="24"/>
  <c r="E24" i="7" s="1"/>
  <c r="W27" i="24"/>
  <c r="E31" i="7" s="1"/>
  <c r="W21" i="24"/>
  <c r="E25" i="7" s="1"/>
  <c r="W26" i="24"/>
  <c r="E30" i="7" s="1"/>
  <c r="W28" i="24"/>
  <c r="E33" i="7" s="1"/>
  <c r="W17" i="24"/>
  <c r="E22" i="7" s="1"/>
  <c r="W23" i="24"/>
  <c r="E27" i="7" s="1"/>
  <c r="W16" i="24"/>
  <c r="W18" i="24"/>
  <c r="E23" i="7" s="1"/>
  <c r="Y29" i="24"/>
  <c r="G47" i="24"/>
  <c r="U47" i="24" s="1"/>
  <c r="AE47" i="24" s="1"/>
  <c r="Q36" i="24"/>
  <c r="E64" i="25" l="1"/>
  <c r="F63" i="25"/>
  <c r="G63" i="25" s="1"/>
  <c r="G35" i="24"/>
  <c r="Q46" i="24"/>
  <c r="Q39" i="24"/>
  <c r="F68" i="31"/>
  <c r="G68" i="31" s="1"/>
  <c r="E69" i="31"/>
  <c r="Q47" i="24"/>
  <c r="E21" i="6" s="1"/>
  <c r="AA36" i="24"/>
  <c r="T36" i="24"/>
  <c r="AB36" i="24"/>
  <c r="AD36" i="24"/>
  <c r="Z36" i="24"/>
  <c r="AC36" i="24"/>
  <c r="R36" i="24"/>
  <c r="W36" i="24"/>
  <c r="Y36" i="24"/>
  <c r="S36" i="24"/>
  <c r="V36" i="24"/>
  <c r="X36" i="24"/>
  <c r="U36" i="24"/>
  <c r="E21" i="7"/>
  <c r="W29" i="24"/>
  <c r="AB20" i="7"/>
  <c r="AC20" i="7" s="1"/>
  <c r="H19" i="6"/>
  <c r="AL20" i="7" l="1"/>
  <c r="N19" i="6" s="1"/>
  <c r="AI20" i="7"/>
  <c r="K19" i="6" s="1"/>
  <c r="AP20" i="7"/>
  <c r="R19" i="6" s="1"/>
  <c r="AH20" i="7"/>
  <c r="J19" i="6" s="1"/>
  <c r="AR20" i="7"/>
  <c r="T19" i="6" s="1"/>
  <c r="AN20" i="7"/>
  <c r="P19" i="6" s="1"/>
  <c r="AE20" i="7"/>
  <c r="W19" i="6" s="1"/>
  <c r="AQ20" i="7"/>
  <c r="S19" i="6" s="1"/>
  <c r="AG20" i="7"/>
  <c r="I19" i="6" s="1"/>
  <c r="AM20" i="7"/>
  <c r="O19" i="6" s="1"/>
  <c r="AK20" i="7"/>
  <c r="M19" i="6" s="1"/>
  <c r="AS20" i="7"/>
  <c r="U19" i="6" s="1"/>
  <c r="AO20" i="7"/>
  <c r="Q19" i="6" s="1"/>
  <c r="AJ20" i="7"/>
  <c r="L19" i="6" s="1"/>
  <c r="AB23" i="7"/>
  <c r="AC23" i="7" s="1"/>
  <c r="AB21" i="7"/>
  <c r="AB22" i="7"/>
  <c r="AC22" i="7" s="1"/>
  <c r="AB26" i="7"/>
  <c r="AC26" i="7" s="1"/>
  <c r="AB30" i="7"/>
  <c r="AC30" i="7" s="1"/>
  <c r="AB32" i="7"/>
  <c r="AC32" i="7" s="1"/>
  <c r="AB27" i="7"/>
  <c r="AC27" i="7" s="1"/>
  <c r="AB31" i="7"/>
  <c r="AC31" i="7" s="1"/>
  <c r="AB33" i="7"/>
  <c r="AC33" i="7" s="1"/>
  <c r="AB24" i="7"/>
  <c r="AC24" i="7" s="1"/>
  <c r="AB28" i="7"/>
  <c r="AC28" i="7" s="1"/>
  <c r="AB25" i="7"/>
  <c r="AC25" i="7" s="1"/>
  <c r="AB29" i="7"/>
  <c r="AC29" i="7" s="1"/>
  <c r="H21" i="6"/>
  <c r="H11" i="6" s="1"/>
  <c r="H6" i="6" s="1"/>
  <c r="Q49" i="24"/>
  <c r="AE36" i="24"/>
  <c r="E65" i="25"/>
  <c r="F64" i="25"/>
  <c r="G64" i="25" s="1"/>
  <c r="F21" i="6"/>
  <c r="AC21" i="7"/>
  <c r="E70" i="31"/>
  <c r="F69" i="31"/>
  <c r="G69" i="31" s="1"/>
  <c r="G46" i="24"/>
  <c r="U46" i="24" s="1"/>
  <c r="AE46" i="24" s="1"/>
  <c r="U35" i="24"/>
  <c r="AE35" i="24" s="1"/>
  <c r="G39" i="24"/>
  <c r="F11" i="6" l="1"/>
  <c r="E7" i="7"/>
  <c r="AP27" i="7"/>
  <c r="AH27" i="7"/>
  <c r="AR27" i="7"/>
  <c r="AG27" i="7"/>
  <c r="AK27" i="7"/>
  <c r="AL27" i="7"/>
  <c r="AM27" i="7"/>
  <c r="AQ27" i="7"/>
  <c r="AE27" i="7"/>
  <c r="AI27" i="7"/>
  <c r="AS27" i="7"/>
  <c r="AJ27" i="7"/>
  <c r="AN27" i="7"/>
  <c r="AO27" i="7"/>
  <c r="AL32" i="7"/>
  <c r="AI32" i="7"/>
  <c r="AP32" i="7"/>
  <c r="AH32" i="7"/>
  <c r="AE32" i="7"/>
  <c r="AR32" i="7"/>
  <c r="AM32" i="7"/>
  <c r="AN32" i="7"/>
  <c r="AQ32" i="7"/>
  <c r="AK32" i="7"/>
  <c r="AG32" i="7"/>
  <c r="AO32" i="7"/>
  <c r="AJ32" i="7"/>
  <c r="AS32" i="7"/>
  <c r="E71" i="31"/>
  <c r="F70" i="31"/>
  <c r="G70" i="31" s="1"/>
  <c r="F65" i="25"/>
  <c r="G65" i="25" s="1"/>
  <c r="E66" i="25"/>
  <c r="AK29" i="7"/>
  <c r="AE29" i="7"/>
  <c r="AL29" i="7"/>
  <c r="AI29" i="7"/>
  <c r="AP29" i="7"/>
  <c r="AH29" i="7"/>
  <c r="AJ29" i="7"/>
  <c r="AO29" i="7"/>
  <c r="AR29" i="7"/>
  <c r="AG29" i="7"/>
  <c r="AN29" i="7"/>
  <c r="AM29" i="7"/>
  <c r="AQ29" i="7"/>
  <c r="AS29" i="7"/>
  <c r="AK33" i="7"/>
  <c r="AL33" i="7"/>
  <c r="AI33" i="7"/>
  <c r="AP33" i="7"/>
  <c r="AH33" i="7"/>
  <c r="AE33" i="7"/>
  <c r="AG33" i="7"/>
  <c r="AJ33" i="7"/>
  <c r="AO33" i="7"/>
  <c r="AM33" i="7"/>
  <c r="AN33" i="7"/>
  <c r="AR33" i="7"/>
  <c r="AS33" i="7"/>
  <c r="AQ33" i="7"/>
  <c r="AR30" i="7"/>
  <c r="AK30" i="7"/>
  <c r="AM30" i="7"/>
  <c r="AE30" i="7"/>
  <c r="AL30" i="7"/>
  <c r="AI30" i="7"/>
  <c r="AS30" i="7"/>
  <c r="AP30" i="7"/>
  <c r="AJ30" i="7"/>
  <c r="AO30" i="7"/>
  <c r="AH30" i="7"/>
  <c r="AG30" i="7"/>
  <c r="AN30" i="7"/>
  <c r="AQ30" i="7"/>
  <c r="AP23" i="7"/>
  <c r="AH23" i="7"/>
  <c r="AR23" i="7"/>
  <c r="AG23" i="7"/>
  <c r="AK23" i="7"/>
  <c r="AE23" i="7"/>
  <c r="AI23" i="7"/>
  <c r="AQ23" i="7"/>
  <c r="AM23" i="7"/>
  <c r="AS23" i="7"/>
  <c r="AJ23" i="7"/>
  <c r="AN23" i="7"/>
  <c r="AL23" i="7"/>
  <c r="AO23" i="7"/>
  <c r="Z19" i="6"/>
  <c r="AE21" i="7"/>
  <c r="AK21" i="7"/>
  <c r="AL21" i="7"/>
  <c r="AI21" i="7"/>
  <c r="AP21" i="7"/>
  <c r="AH21" i="7"/>
  <c r="AM21" i="7"/>
  <c r="AJ21" i="7"/>
  <c r="AO21" i="7"/>
  <c r="AN21" i="7"/>
  <c r="AQ21" i="7"/>
  <c r="AG21" i="7"/>
  <c r="AS21" i="7"/>
  <c r="AR21" i="7"/>
  <c r="AK25" i="7"/>
  <c r="AE25" i="7"/>
  <c r="AL25" i="7"/>
  <c r="AI25" i="7"/>
  <c r="AP25" i="7"/>
  <c r="AH25" i="7"/>
  <c r="AR25" i="7"/>
  <c r="AJ25" i="7"/>
  <c r="AO25" i="7"/>
  <c r="AN25" i="7"/>
  <c r="AG25" i="7"/>
  <c r="AS25" i="7"/>
  <c r="AM25" i="7"/>
  <c r="AQ25" i="7"/>
  <c r="AP31" i="7"/>
  <c r="AR31" i="7"/>
  <c r="AG31" i="7"/>
  <c r="AK31" i="7"/>
  <c r="AQ31" i="7"/>
  <c r="AL31" i="7"/>
  <c r="AS31" i="7"/>
  <c r="AE31" i="7"/>
  <c r="AI31" i="7"/>
  <c r="AJ31" i="7"/>
  <c r="AH31" i="7"/>
  <c r="AM31" i="7"/>
  <c r="AN31" i="7"/>
  <c r="AO31" i="7"/>
  <c r="AR26" i="7"/>
  <c r="AK26" i="7"/>
  <c r="AM26" i="7"/>
  <c r="AE26" i="7"/>
  <c r="AL26" i="7"/>
  <c r="AI26" i="7"/>
  <c r="AP26" i="7"/>
  <c r="AS26" i="7"/>
  <c r="AH26" i="7"/>
  <c r="AJ26" i="7"/>
  <c r="AO26" i="7"/>
  <c r="AQ26" i="7"/>
  <c r="AG26" i="7"/>
  <c r="AN26" i="7"/>
  <c r="AE28" i="7"/>
  <c r="AL28" i="7"/>
  <c r="AI28" i="7"/>
  <c r="AP28" i="7"/>
  <c r="AH28" i="7"/>
  <c r="AR28" i="7"/>
  <c r="AG28" i="7"/>
  <c r="AN28" i="7"/>
  <c r="AK28" i="7"/>
  <c r="AM28" i="7"/>
  <c r="AQ28" i="7"/>
  <c r="AJ28" i="7"/>
  <c r="AS28" i="7"/>
  <c r="AO28" i="7"/>
  <c r="AE22" i="7"/>
  <c r="AR22" i="7"/>
  <c r="AK22" i="7"/>
  <c r="AM22" i="7"/>
  <c r="AL22" i="7"/>
  <c r="AI22" i="7"/>
  <c r="AH22" i="7"/>
  <c r="AG22" i="7"/>
  <c r="AS22" i="7"/>
  <c r="AJ22" i="7"/>
  <c r="AO22" i="7"/>
  <c r="AP22" i="7"/>
  <c r="AN22" i="7"/>
  <c r="AQ22" i="7"/>
  <c r="AE24" i="7"/>
  <c r="AL24" i="7"/>
  <c r="AI24" i="7"/>
  <c r="AP24" i="7"/>
  <c r="AH24" i="7"/>
  <c r="AR24" i="7"/>
  <c r="AK24" i="7"/>
  <c r="AN24" i="7"/>
  <c r="AG24" i="7"/>
  <c r="AQ24" i="7"/>
  <c r="AM24" i="7"/>
  <c r="AJ24" i="7"/>
  <c r="AO24" i="7"/>
  <c r="AS24" i="7"/>
  <c r="T21" i="6" l="1"/>
  <c r="T11" i="6" s="1"/>
  <c r="P21" i="6"/>
  <c r="P11" i="6" s="1"/>
  <c r="J21" i="6"/>
  <c r="J11" i="6" s="1"/>
  <c r="M21" i="6"/>
  <c r="M11" i="6" s="1"/>
  <c r="Z11" i="6"/>
  <c r="U21" i="6"/>
  <c r="U11" i="6" s="1"/>
  <c r="Q21" i="6"/>
  <c r="Q11" i="6" s="1"/>
  <c r="R21" i="6"/>
  <c r="R11" i="6" s="1"/>
  <c r="W21" i="6"/>
  <c r="F71" i="31"/>
  <c r="G71" i="31" s="1"/>
  <c r="E72" i="31"/>
  <c r="I21" i="6"/>
  <c r="I11" i="6" s="1"/>
  <c r="L21" i="6"/>
  <c r="L11" i="6" s="1"/>
  <c r="K21" i="6"/>
  <c r="K11" i="6" s="1"/>
  <c r="E67" i="25"/>
  <c r="F66" i="25"/>
  <c r="G66" i="25" s="1"/>
  <c r="S21" i="6"/>
  <c r="S11" i="6" s="1"/>
  <c r="O21" i="6"/>
  <c r="O11" i="6" s="1"/>
  <c r="N21" i="6"/>
  <c r="N11" i="6" s="1"/>
  <c r="E6" i="7"/>
  <c r="W6" i="6"/>
  <c r="Z21" i="6" l="1"/>
  <c r="W5" i="6"/>
  <c r="E68" i="25"/>
  <c r="F67" i="25"/>
  <c r="G67" i="25" s="1"/>
  <c r="F72" i="31"/>
  <c r="G72" i="31" s="1"/>
  <c r="E73" i="31"/>
  <c r="E69" i="25" l="1"/>
  <c r="F68" i="25"/>
  <c r="G68" i="25" s="1"/>
  <c r="E74" i="31"/>
  <c r="F73" i="31"/>
  <c r="G73" i="31" s="1"/>
  <c r="X11" i="6"/>
  <c r="Y11" i="6"/>
  <c r="E75" i="31" l="1"/>
  <c r="F74" i="31"/>
  <c r="G74" i="31" s="1"/>
  <c r="F69" i="25"/>
  <c r="G69" i="25" s="1"/>
  <c r="E70" i="25"/>
  <c r="E71" i="25" l="1"/>
  <c r="F70" i="25"/>
  <c r="G70" i="25" s="1"/>
  <c r="F75" i="31"/>
  <c r="G75" i="31" s="1"/>
  <c r="E76" i="31"/>
  <c r="E77" i="31" l="1"/>
  <c r="F76" i="31"/>
  <c r="G76" i="31" s="1"/>
  <c r="E72" i="25"/>
  <c r="F71" i="25"/>
  <c r="G71" i="25" s="1"/>
  <c r="E73" i="25" l="1"/>
  <c r="F72" i="25"/>
  <c r="G72" i="25" s="1"/>
  <c r="E78" i="31"/>
  <c r="F77" i="31"/>
  <c r="G77" i="31" s="1"/>
  <c r="E79" i="31" l="1"/>
  <c r="F78" i="31"/>
  <c r="G78" i="31" s="1"/>
  <c r="F73" i="25"/>
  <c r="G73" i="25" s="1"/>
  <c r="E74" i="25"/>
  <c r="E75" i="25" l="1"/>
  <c r="F74" i="25"/>
  <c r="G74" i="25" s="1"/>
  <c r="F79" i="31"/>
  <c r="G79" i="31" s="1"/>
  <c r="E80" i="31"/>
  <c r="E81" i="31" l="1"/>
  <c r="F80" i="31"/>
  <c r="G80" i="31" s="1"/>
  <c r="E76" i="25"/>
  <c r="F75" i="25"/>
  <c r="G75" i="25" s="1"/>
  <c r="E77" i="25" l="1"/>
  <c r="F76" i="25"/>
  <c r="G76" i="25" s="1"/>
  <c r="E82" i="31"/>
  <c r="F82" i="31" s="1"/>
  <c r="F81" i="31"/>
  <c r="G81" i="31" s="1"/>
  <c r="G82" i="31" l="1"/>
  <c r="F77" i="25"/>
  <c r="G77" i="25" s="1"/>
  <c r="E78" i="25"/>
  <c r="F78" i="25" s="1"/>
  <c r="G78"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Matuszak</author>
  </authors>
  <commentList>
    <comment ref="B4" authorId="0" shapeId="0" xr:uid="{00000000-0006-0000-0700-000001000000}">
      <text>
        <r>
          <rPr>
            <sz val="9"/>
            <color indexed="81"/>
            <rFont val="Tahoma"/>
            <family val="2"/>
          </rPr>
          <t xml:space="preserve">Auxiliary equipment may be entered on the "Equipment" sheet, in lieu of accepting the default scaling relationship.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Matuszak</author>
  </authors>
  <commentList>
    <comment ref="C9" authorId="0" shapeId="0" xr:uid="{00000000-0006-0000-0800-000001000000}">
      <text>
        <r>
          <rPr>
            <sz val="9"/>
            <color indexed="81"/>
            <rFont val="Tahoma"/>
            <family val="2"/>
          </rPr>
          <t xml:space="preserve">Auxiliary equipment may be entered on the "Equipment" sheet, in lieu of accepting the default scaling relationship.
</t>
        </r>
      </text>
    </comment>
    <comment ref="C21" authorId="0" shapeId="0" xr:uid="{00000000-0006-0000-0800-000002000000}">
      <text>
        <r>
          <rPr>
            <sz val="9"/>
            <color indexed="81"/>
            <rFont val="Tahoma"/>
            <family val="2"/>
          </rPr>
          <t xml:space="preserve">Auxiliary equipment may be entered on the "Equipment" sheet, in lieu of accepting the default scaling relationship.
</t>
        </r>
      </text>
    </comment>
    <comment ref="C36" authorId="0" shapeId="0" xr:uid="{00000000-0006-0000-0800-000003000000}">
      <text>
        <r>
          <rPr>
            <sz val="9"/>
            <color indexed="81"/>
            <rFont val="Tahoma"/>
            <family val="2"/>
          </rPr>
          <t xml:space="preserve">Auxiliary equipment may be entered on the "Equipment" sheet, in lieu of accepting the default scaling relationship.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Matuszak</author>
  </authors>
  <commentList>
    <comment ref="R7" authorId="0" shapeId="0" xr:uid="{00000000-0006-0000-0C00-000001000000}">
      <text>
        <r>
          <rPr>
            <b/>
            <sz val="9"/>
            <color indexed="81"/>
            <rFont val="Tahoma"/>
            <family val="2"/>
          </rPr>
          <t>Daniel Matuszak:</t>
        </r>
        <r>
          <rPr>
            <sz val="9"/>
            <color indexed="81"/>
            <rFont val="Tahoma"/>
            <family val="2"/>
          </rPr>
          <t xml:space="preserve">
Includes Material Costs (M), Erection and Setting (L), Freight, Taxes, insurance, Engineering, Field expense, Contingencies, Contractors fees</t>
        </r>
      </text>
    </comment>
    <comment ref="K8" authorId="0" shapeId="0" xr:uid="{00000000-0006-0000-0C00-000002000000}">
      <text>
        <r>
          <rPr>
            <sz val="9"/>
            <color indexed="81"/>
            <rFont val="Tahoma"/>
            <family val="2"/>
          </rPr>
          <t>Report 'size' in the same units as those entered in Column 'F' on this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<sst xmlns="http://schemas.openxmlformats.org/spreadsheetml/2006/main" count="1833" uniqueCount="938">
  <si>
    <t>GUIDELINES FOR USING THIS WORKBOOK</t>
  </si>
  <si>
    <t>Name:</t>
  </si>
  <si>
    <t>Entity:</t>
  </si>
  <si>
    <t>PURPOSE</t>
  </si>
  <si>
    <t>SUCCESS CHECKLIST (before starting, make sure to have the following)</t>
  </si>
  <si>
    <t>Process Flow Diagram</t>
  </si>
  <si>
    <t>Mass &amp; Energy Balances</t>
  </si>
  <si>
    <t>Stream Tables</t>
  </si>
  <si>
    <t>Equipment List (including equipment sizes)</t>
  </si>
  <si>
    <t>Utility requirements for equipment</t>
  </si>
  <si>
    <t>FEEDBACK.  You will see the following fields herein</t>
  </si>
  <si>
    <t>INPUT REQ'D</t>
  </si>
  <si>
    <t>These fields require a value from your process.</t>
  </si>
  <si>
    <t>SUGGESTED</t>
  </si>
  <si>
    <t>These fields contain parameter values that are suggested (e.g., pricing).</t>
  </si>
  <si>
    <t>OUTPUT</t>
  </si>
  <si>
    <t>These fields output information to other sheets.</t>
  </si>
  <si>
    <t>FLAG</t>
  </si>
  <si>
    <t>These fields call your attention if needed.</t>
  </si>
  <si>
    <t>ERROR</t>
  </si>
  <si>
    <t>These fields require corrections to be made.</t>
  </si>
  <si>
    <t>VALID RESULT</t>
  </si>
  <si>
    <t>These fields signal acceptable outcomes.</t>
  </si>
  <si>
    <t>WORKSHEETS</t>
  </si>
  <si>
    <t>GUIDES</t>
  </si>
  <si>
    <t>PRODUCTION SCALE, CAPACITY FACTOR</t>
  </si>
  <si>
    <t>EQUIPMENT LIST, SIZES, COSTS</t>
  </si>
  <si>
    <t>UTILITIES</t>
  </si>
  <si>
    <t>STAGES FOR USING THIS SPEADSHEET</t>
  </si>
  <si>
    <t>PROCESS FLOW DIAGRAM</t>
  </si>
  <si>
    <t>Overall inputs and outputs must be at 25C and 1bar.  Include compressor for pressurized gas feeds.  Include compressors in 'Equipment' sheet.</t>
  </si>
  <si>
    <t>If a feed stream is multiphase at STP, then separate it into two distinct feed streams.</t>
  </si>
  <si>
    <t>Silica Raw Materials</t>
  </si>
  <si>
    <t xml:space="preserve">SiO2 </t>
  </si>
  <si>
    <t>Al2O3</t>
  </si>
  <si>
    <t>B2O3</t>
  </si>
  <si>
    <t>Fe2O3</t>
  </si>
  <si>
    <t>CaO</t>
  </si>
  <si>
    <t>P2O5</t>
  </si>
  <si>
    <t>TiO2</t>
  </si>
  <si>
    <t>Vented O2</t>
  </si>
  <si>
    <t>Na2O</t>
  </si>
  <si>
    <t>O2</t>
  </si>
  <si>
    <t>ZrO2</t>
  </si>
  <si>
    <t>Silicon Product</t>
  </si>
  <si>
    <t>Si</t>
  </si>
  <si>
    <t>Al</t>
  </si>
  <si>
    <t>B</t>
  </si>
  <si>
    <t>Bath Out</t>
  </si>
  <si>
    <t>CaF2</t>
  </si>
  <si>
    <t>MgF2</t>
  </si>
  <si>
    <t>Molten Salt Bath-In</t>
  </si>
  <si>
    <t>SiO2</t>
  </si>
  <si>
    <t>Y2O3</t>
  </si>
  <si>
    <t>YF3</t>
  </si>
  <si>
    <t>PROCESS STREAMS</t>
  </si>
  <si>
    <t>Enter process streams only on this sheet.  (Do not not enter utilities such as cooling water, compressed gas, etc.)</t>
  </si>
  <si>
    <t>Inputs and outputs must be at 25C and 1bar.  Include compressors on the 'Equipment' sheet if gas feeds must be pressurized.</t>
  </si>
  <si>
    <t>Guide</t>
  </si>
  <si>
    <t>Silicon</t>
  </si>
  <si>
    <t>Primary product</t>
  </si>
  <si>
    <t>Primary product Stream #</t>
  </si>
  <si>
    <t>[kg/hr] Rate of production (@ full capacity)</t>
  </si>
  <si>
    <t>ERROR CHECKING: MASS BALANCES</t>
  </si>
  <si>
    <t>ECONOMIC VALUE OF STREAMS</t>
  </si>
  <si>
    <t>[kg/hr] Targeted Production (@ full capacity)</t>
  </si>
  <si>
    <t>O</t>
  </si>
  <si>
    <t>Mg</t>
  </si>
  <si>
    <t>F</t>
  </si>
  <si>
    <t>Ca</t>
  </si>
  <si>
    <t>Y</t>
  </si>
  <si>
    <t>Fe</t>
  </si>
  <si>
    <t>Zr</t>
  </si>
  <si>
    <t>Na</t>
  </si>
  <si>
    <t>Ti</t>
  </si>
  <si>
    <t>P</t>
  </si>
  <si>
    <t>[kg/hr] Departure from Target</t>
  </si>
  <si>
    <t>Mass Balance</t>
  </si>
  <si>
    <t>Element Bal.</t>
  </si>
  <si>
    <t>Raw Materials</t>
  </si>
  <si>
    <t>Revenues</t>
  </si>
  <si>
    <t>Net Value</t>
  </si>
  <si>
    <t>[kg/hr]</t>
  </si>
  <si>
    <t>[$/h]</t>
  </si>
  <si>
    <t>Stream Summary at 100% Plant Capacity</t>
  </si>
  <si>
    <t>Sum of stream's mass fractions</t>
  </si>
  <si>
    <t>Suggested Value</t>
  </si>
  <si>
    <t>Manually entered value</t>
  </si>
  <si>
    <t>Value flow</t>
  </si>
  <si>
    <t>Stream #</t>
  </si>
  <si>
    <t>Description</t>
  </si>
  <si>
    <t>Phase</t>
  </si>
  <si>
    <t>Input/Output</t>
  </si>
  <si>
    <t>Mass Flow</t>
  </si>
  <si>
    <t>[select]</t>
  </si>
  <si>
    <t>[$/kg]</t>
  </si>
  <si>
    <t>[Select]</t>
  </si>
  <si>
    <t>Justification, sources</t>
  </si>
  <si>
    <t>Silica Raw Material</t>
  </si>
  <si>
    <t>solid</t>
  </si>
  <si>
    <t>in</t>
  </si>
  <si>
    <t>bypass</t>
  </si>
  <si>
    <t>silica paper by Vatalis</t>
  </si>
  <si>
    <t>Bath In</t>
  </si>
  <si>
    <t>liquid</t>
  </si>
  <si>
    <t>accept</t>
  </si>
  <si>
    <t>Vented Oxygen</t>
  </si>
  <si>
    <t>gas</t>
  </si>
  <si>
    <t>out</t>
  </si>
  <si>
    <t>COMPOSITION OF PROCESS STREAMS</t>
  </si>
  <si>
    <t>Describe the composition of the process streams that appear on the 'Streams' sheet.  This area is not for the input of utilities such as cooling water and compressed gas.</t>
  </si>
  <si>
    <t>Specific value</t>
  </si>
  <si>
    <t>Species value flow (absolute)</t>
  </si>
  <si>
    <t>Stream</t>
  </si>
  <si>
    <t>Species</t>
  </si>
  <si>
    <t>Element</t>
  </si>
  <si>
    <t>COMPOSITION OF EACH PROCESS STREAM</t>
  </si>
  <si>
    <t>Mass Percent</t>
  </si>
  <si>
    <t>ENTER Molecular Formula (one species per line)</t>
  </si>
  <si>
    <t>Flow</t>
  </si>
  <si>
    <t>line#</t>
  </si>
  <si>
    <t>Species Name</t>
  </si>
  <si>
    <t>[wt/wt]</t>
  </si>
  <si>
    <t>Formula</t>
  </si>
  <si>
    <t>MW</t>
  </si>
  <si>
    <t>Silica</t>
  </si>
  <si>
    <t xml:space="preserve">Aluminum Oxide </t>
  </si>
  <si>
    <t xml:space="preserve">Iron Oxide </t>
  </si>
  <si>
    <t xml:space="preserve">Calcium Oxide </t>
  </si>
  <si>
    <t>Phosphorus Pentaoxide</t>
  </si>
  <si>
    <t xml:space="preserve">Titanium Dioxide </t>
  </si>
  <si>
    <t xml:space="preserve">Sodium Oxide </t>
  </si>
  <si>
    <t xml:space="preserve">Zirconium Dioxide </t>
  </si>
  <si>
    <t xml:space="preserve">Boron Oxide </t>
  </si>
  <si>
    <t>Dioxygen</t>
  </si>
  <si>
    <t>Calcium Fluoride</t>
  </si>
  <si>
    <t>Magnesium Fluoride</t>
  </si>
  <si>
    <t>Silicon Dioxide</t>
  </si>
  <si>
    <t>Yttrium Fluoride</t>
  </si>
  <si>
    <t>Yttrium Oxide</t>
  </si>
  <si>
    <t xml:space="preserve">Silicon  </t>
  </si>
  <si>
    <t xml:space="preserve">Aluminum  </t>
  </si>
  <si>
    <t xml:space="preserve">Boron  </t>
  </si>
  <si>
    <t>MATERIAL BALANCE</t>
  </si>
  <si>
    <t>Stream 1: Raw Material</t>
  </si>
  <si>
    <t>Stream 9a.</t>
  </si>
  <si>
    <t>Total Stream 9 (Temporary)</t>
  </si>
  <si>
    <t>Molar Mass</t>
  </si>
  <si>
    <t>Compound</t>
  </si>
  <si>
    <t>Mass</t>
  </si>
  <si>
    <t>Mass fraction of 1st Element</t>
  </si>
  <si>
    <t>of 2nd Element</t>
  </si>
  <si>
    <t>TOTAL</t>
  </si>
  <si>
    <t>Composition</t>
  </si>
  <si>
    <t>% Breakdown</t>
  </si>
  <si>
    <t xml:space="preserve"> Elements</t>
  </si>
  <si>
    <t>Mass Fraction</t>
  </si>
  <si>
    <t>Bath-In Select:</t>
  </si>
  <si>
    <t>user selects from drop-down menu</t>
  </si>
  <si>
    <t>Stream 5: Bath-In</t>
  </si>
  <si>
    <t>Yttria-In</t>
  </si>
  <si>
    <t>Total Stream 9 (Final Bath-Out)</t>
  </si>
  <si>
    <t xml:space="preserve">Stream 8: Product </t>
  </si>
  <si>
    <t>Stream 6</t>
  </si>
  <si>
    <t>%Breakdown</t>
  </si>
  <si>
    <t>Kg/hr</t>
  </si>
  <si>
    <t>Amount of O goes to the oxides in stream 9 (mass fraction)</t>
  </si>
  <si>
    <t>Remaining O in stream 9 (mass fraction)</t>
  </si>
  <si>
    <t xml:space="preserve">B </t>
  </si>
  <si>
    <t>Remaining O in stream 9 (Kg/hr)</t>
  </si>
  <si>
    <t>The portion of F goes to MgF2 in Stream 9 (mass fraction)</t>
  </si>
  <si>
    <t>The portion of F goes to YF3 in Stream 9 (mass fraction)</t>
  </si>
  <si>
    <t>The remaining F in stream 9 (mass fraction)</t>
  </si>
  <si>
    <t>The portion of Ca goes to CaF2 in Stream 9 (mass fraction)</t>
  </si>
  <si>
    <t>The remaining Ca in stream 9 (mass fraction)</t>
  </si>
  <si>
    <t>FINAL</t>
  </si>
  <si>
    <t>Kg/Hr</t>
  </si>
  <si>
    <t>Total</t>
  </si>
  <si>
    <t>TEMPORARY</t>
  </si>
  <si>
    <t>Streams + Substreams</t>
  </si>
  <si>
    <t>1: Raw Silica In</t>
  </si>
  <si>
    <t>5. Bath In</t>
  </si>
  <si>
    <t>6: Vented O2</t>
  </si>
  <si>
    <t>9a. Bath Out (a)</t>
  </si>
  <si>
    <t>9b. Bath Out (b)</t>
  </si>
  <si>
    <t>8. Silicon Product</t>
  </si>
  <si>
    <t>Check Bal:</t>
  </si>
  <si>
    <t>Combined Streams</t>
  </si>
  <si>
    <t>1. Raw Silica In</t>
  </si>
  <si>
    <t>5. Bath-In</t>
  </si>
  <si>
    <t>6. Vented O2</t>
  </si>
  <si>
    <t>9. Bath Out</t>
  </si>
  <si>
    <t>Kmol/Hr</t>
  </si>
  <si>
    <t>Mole Fraction</t>
  </si>
  <si>
    <t>9: Bath Out</t>
  </si>
  <si>
    <t>Linear System Solution</t>
  </si>
  <si>
    <t>1. Raw Silica</t>
  </si>
  <si>
    <t>Streams</t>
  </si>
  <si>
    <t>*</t>
  </si>
  <si>
    <t>Stream 1</t>
  </si>
  <si>
    <t>=</t>
  </si>
  <si>
    <t>Stream 5</t>
  </si>
  <si>
    <t>Stream 9a</t>
  </si>
  <si>
    <t>Matrix Determinant</t>
  </si>
  <si>
    <t>Inverse Matrix</t>
  </si>
  <si>
    <t>Given Si Production Rate (kg/hr)</t>
  </si>
  <si>
    <t>Energy Balance</t>
  </si>
  <si>
    <t>Constant</t>
  </si>
  <si>
    <t>Free Energy [Voltage]</t>
  </si>
  <si>
    <t>Faraday</t>
  </si>
  <si>
    <t>C/mol</t>
  </si>
  <si>
    <t>Atm T</t>
  </si>
  <si>
    <t>K</t>
  </si>
  <si>
    <t>Wiedmann Franz</t>
  </si>
  <si>
    <t>V2/K2</t>
  </si>
  <si>
    <t>Si MW</t>
  </si>
  <si>
    <t>g/mol</t>
  </si>
  <si>
    <t>SiO2 MW</t>
  </si>
  <si>
    <t xml:space="preserve">O2- Mass Transport </t>
  </si>
  <si>
    <t>Total Cell Voltage</t>
  </si>
  <si>
    <t>Cell Enthalpy [kJ/mol Si]</t>
  </si>
  <si>
    <t>Cell Enthalpy [kWh/kg Si]</t>
  </si>
  <si>
    <t>Yield</t>
  </si>
  <si>
    <t>Total Cell Enthalpy [kWh / kgSi]</t>
  </si>
  <si>
    <t>Heat Enthalpy [kWh / kg Si]</t>
  </si>
  <si>
    <t>Side Wall Heat Loss [kWh/kg Si]</t>
  </si>
  <si>
    <t>Temperature [C]</t>
  </si>
  <si>
    <t>Temperature [K]</t>
  </si>
  <si>
    <t>Enthalpy, Entropy, and Gibbs Free Energy Data</t>
  </si>
  <si>
    <t>To remove the white space, set the X-axis option to On Tick Mark</t>
  </si>
  <si>
    <t>Enthalpy of Formation SiO2 [J/kmol]</t>
  </si>
  <si>
    <t>Enthalpy of Formation SiO2 [kJ/mol]</t>
  </si>
  <si>
    <t>Entropy SiO2 [J/(kmol-K)]</t>
  </si>
  <si>
    <t>Entropy SiO2 [kJ/(mol-K)]</t>
  </si>
  <si>
    <t>Gibbs Free Energy SiO2 [J/kmol]</t>
  </si>
  <si>
    <t>Gibbs Free Energy SiO2 [kJ/mol]</t>
  </si>
  <si>
    <t>Cp [J/kgK]</t>
  </si>
  <si>
    <t>Cp [J/gK]</t>
  </si>
  <si>
    <t>H-H298 [kJ/mol]</t>
  </si>
  <si>
    <t>Enthalpy of Formation Si [J/kmol]</t>
  </si>
  <si>
    <t>Enthalpy of Formation Si [kJ/mol]</t>
  </si>
  <si>
    <t>Entropy Si [J/(kmol-K)]</t>
  </si>
  <si>
    <t>Entropy Si [kJ/(mol-K)]</t>
  </si>
  <si>
    <t>Gibbs Free Energy Si [J/kmol]</t>
  </si>
  <si>
    <t>Gibbs Free Energy Si [kJ/mol]</t>
  </si>
  <si>
    <t>Silicon Conductivity Interpolation</t>
  </si>
  <si>
    <t>Remark: From SI-Conductivity Wouters 1976 Paper</t>
  </si>
  <si>
    <t>Silicon Conductivity [S/cm]</t>
  </si>
  <si>
    <t>Enthalpy of Formation O2 [J/kmol]</t>
  </si>
  <si>
    <t>Enthalpy of Formation O2 [kJ/mol]</t>
  </si>
  <si>
    <t>Entropy O2 [J/(kmol-K)]</t>
  </si>
  <si>
    <t>Entropy O2 [kJ/(mol-K)]</t>
  </si>
  <si>
    <t>Gibbs Free Energy O2 [J/kmol]</t>
  </si>
  <si>
    <t>Gibbs Free Energy O2 [kJ/mol]</t>
  </si>
  <si>
    <t>Reaction Data</t>
  </si>
  <si>
    <t>Enthalpy of Reaction [kJ/mol]</t>
  </si>
  <si>
    <t>Entropy of Reaction [kJ/mol]</t>
  </si>
  <si>
    <t>Gibbs Free Energy of Reaction [kJ/mol]</t>
  </si>
  <si>
    <t>Dissociation Potential and Heat Losses</t>
  </si>
  <si>
    <t>SiO2 Dissociation Potential [V]</t>
  </si>
  <si>
    <t>SiO2 Dissociation Enthalpy [kWh/kg Si]</t>
  </si>
  <si>
    <t>Anode/Cathode IR and Heat Losses</t>
  </si>
  <si>
    <t>Theoretical Potential Losses (P) [V]</t>
  </si>
  <si>
    <t>Theoretical Heat Losses (Q) [V]</t>
  </si>
  <si>
    <t>Total P Losses Anode [V]</t>
  </si>
  <si>
    <t>Total P Losses Cathode [V]</t>
  </si>
  <si>
    <t>Total Theoretical Anode Heat Losses [kJ/mol Si]</t>
  </si>
  <si>
    <t>Total Theoretical Anode Heat Losses [kWh/kg Si]</t>
  </si>
  <si>
    <t>Total Theoretical Cathode Heat Losses [kJ/mol Si]</t>
  </si>
  <si>
    <t>Total Theoretical Cathode Heat Losses [kWh/kg Si]</t>
  </si>
  <si>
    <t>Heat of Raw Material</t>
  </si>
  <si>
    <t>Specific Heat Silicon Oxide [kWh/kg Si]</t>
  </si>
  <si>
    <t>Specific Heat Silicon Oxide [V]</t>
  </si>
  <si>
    <t>Specific Heat Silicon [kWh/kg Si]</t>
  </si>
  <si>
    <t>Specific Heat Silicon [V]</t>
  </si>
  <si>
    <t>Electrolyte Overpotential</t>
  </si>
  <si>
    <t>(0.2-1)</t>
  </si>
  <si>
    <t>Current Density [A/cm2]</t>
  </si>
  <si>
    <t>Growth Rate [cm/hr]</t>
  </si>
  <si>
    <t>Membrane Thickness [mm]</t>
  </si>
  <si>
    <t>Zirconia Conductivity Slope and Intercept</t>
  </si>
  <si>
    <t>Slope</t>
  </si>
  <si>
    <t>Intercept</t>
  </si>
  <si>
    <t>Remark: From Conductivities4 Spreadsheet</t>
  </si>
  <si>
    <t>1 / Temperature [K-1]</t>
  </si>
  <si>
    <t>Zirconia Conductivity [S/cm]</t>
  </si>
  <si>
    <t>YSZ Electrolyte Membrane IR [V]</t>
  </si>
  <si>
    <t>Molten Salt Potential</t>
  </si>
  <si>
    <t>Electrolyte Conductivity Slope and Intercept</t>
  </si>
  <si>
    <t>Remark: Villalon Thesis</t>
  </si>
  <si>
    <t>Electrolyte Conductivity [S/cm]</t>
  </si>
  <si>
    <t>(2-10)</t>
  </si>
  <si>
    <t>Anode-Cathode Distance [cm]</t>
  </si>
  <si>
    <t>Molten Salt IR [V]</t>
  </si>
  <si>
    <t>0.2 A/cm2 = 0.2 col/(scm2) * 28 g / mol / (96485 col/mol e-) * (4 mol e / mol) * 2 g/cm^3)</t>
  </si>
  <si>
    <t>Higher in ellingham diagram = stays with silicon, anything lower in the diagram will get flushed out with the bath</t>
  </si>
  <si>
    <t>Anode Thickness (mm)</t>
  </si>
  <si>
    <t>Remarks:</t>
  </si>
  <si>
    <t>Si vs. Al Production:</t>
  </si>
  <si>
    <t>(fraction)</t>
  </si>
  <si>
    <t>Production Capacity (mt per year)</t>
  </si>
  <si>
    <t>Century Al Production Capacity:</t>
  </si>
  <si>
    <t>(mt per year)</t>
  </si>
  <si>
    <t>$6790/mt: Alex's Document Now, $2000/mt: Powell's Idea https://docs.google.com/document/d/1W2wXey41fkjgnRZ_kkE2eOBC_h_I8rUh4cmZ_W974mg/edit</t>
  </si>
  <si>
    <t>Cost Breakdown</t>
  </si>
  <si>
    <t>FCI Total/tonne for Al production</t>
  </si>
  <si>
    <t>Fixed Capital Investment</t>
  </si>
  <si>
    <t>USD/tonne of Si</t>
  </si>
  <si>
    <t>Land Cost</t>
  </si>
  <si>
    <t>Interpolated from Century Aluminum production capacity and land or from CAPEX sheet (2.5% of Equipment cost)</t>
  </si>
  <si>
    <t>Equipment and Construction Cost</t>
  </si>
  <si>
    <t>Interpolating from interview and using inflation</t>
  </si>
  <si>
    <t>FCI Total</t>
  </si>
  <si>
    <t>Total Capital Investment (TCI)</t>
  </si>
  <si>
    <t>Operating Cost</t>
  </si>
  <si>
    <t>Raw Material Cost</t>
  </si>
  <si>
    <t>Raw Silica In</t>
  </si>
  <si>
    <t>Raw Silica Price:</t>
  </si>
  <si>
    <t>(per mt)</t>
  </si>
  <si>
    <t>https://docs.google.com/document/d/1W2wXey41fkjgnRZ_kkE2eOBC_h_I8rUh4cmZ_W974mg/edit</t>
  </si>
  <si>
    <t>Bath in (MgF2)</t>
  </si>
  <si>
    <t>MgF2 Price:</t>
  </si>
  <si>
    <t>https://ditaichem.en.made-in-china.com/product/VKkxgABCrMWv/China-White-Crystalline-Powder-98-Magnesium-Fluoride-for-Industrial-CAS-7783-40-6-.html</t>
  </si>
  <si>
    <t>Bath in (CaF2)</t>
  </si>
  <si>
    <t>CaF2 Price:</t>
  </si>
  <si>
    <t>https://nxbaiyun2013.en.made-in-china.com/product/aNOnyimllCkZ/China-Best-Price-for-Calcium-Fluoride-CAS-7789-75-5.html</t>
  </si>
  <si>
    <t>Bath (YF3)</t>
  </si>
  <si>
    <t>YF3 Price:</t>
  </si>
  <si>
    <t>https://wanfengtech.en.made-in-china.com/product/WjKQbdAlfCVx/China-Yttrium-Fluoride-Yf3.html</t>
  </si>
  <si>
    <t>Bath (CaO)</t>
  </si>
  <si>
    <t>CaO Price:</t>
  </si>
  <si>
    <t>https://ritawang8.en.made-in-china.com/product/EyqxjOIckwWL/China-High-Purity-98-Calcium-Oxide-at-Competitive-Price.html</t>
  </si>
  <si>
    <t>Bath In (Y2O3)</t>
  </si>
  <si>
    <t>Y2O3 Price:</t>
  </si>
  <si>
    <t>Transportation</t>
  </si>
  <si>
    <t>Transportation:</t>
  </si>
  <si>
    <t>Annual Raw Material</t>
  </si>
  <si>
    <t>Current Efficiency:</t>
  </si>
  <si>
    <t>Energy Cost</t>
  </si>
  <si>
    <t>MWh per year</t>
  </si>
  <si>
    <t>MWh needed to produce 1 ton of Si at 1100C</t>
  </si>
  <si>
    <t>MWh</t>
  </si>
  <si>
    <t>Alternative steel cost $20-30 / MWh</t>
  </si>
  <si>
    <t>$ per year</t>
  </si>
  <si>
    <t>Energy Price:</t>
  </si>
  <si>
    <t>(per MWh)</t>
  </si>
  <si>
    <t>$6.28 cents/kWh: https://www.eia.gov/state/print.php?sid=SC</t>
  </si>
  <si>
    <t>Labor</t>
  </si>
  <si>
    <t>Utility (other than Electricity) per Tonne (Annually)</t>
  </si>
  <si>
    <t>Technical Employment</t>
  </si>
  <si>
    <t>Overheads and Misc per Tonne (Annually)</t>
  </si>
  <si>
    <t>Technical Salary</t>
  </si>
  <si>
    <t>Labor per Tonne (Annually)</t>
  </si>
  <si>
    <t>Additional Employment</t>
  </si>
  <si>
    <t>Additional Salary</t>
  </si>
  <si>
    <t>Total Annual Salary</t>
  </si>
  <si>
    <t>From Interview</t>
  </si>
  <si>
    <t>Utilities (other than Electricity)</t>
  </si>
  <si>
    <t>From http://centuryaluminum.com/plants-products/mt-holly/index.html</t>
  </si>
  <si>
    <t>Overheads and Misc</t>
  </si>
  <si>
    <t>Approximate for HR and Cell building crews</t>
  </si>
  <si>
    <t>Operating Cost Annual</t>
  </si>
  <si>
    <t>From https://www.glassdoor.com/Salaries/human-resources-salary-SRCH_KO0,15.htm and add 10%</t>
  </si>
  <si>
    <t>Annual Operating Cost after 20 years considering 6% interest rate</t>
  </si>
  <si>
    <t>Annual Operating Cost Breakdown</t>
  </si>
  <si>
    <t>Overheads</t>
  </si>
  <si>
    <t>Sum</t>
  </si>
  <si>
    <t>"Average rose by 3.3% every year"</t>
  </si>
  <si>
    <t>https://www.metalbulletin.com/Article/3912360/2020-PREVIEW-Another-year-of-slowing-finished-steel-demand-falling-prices-before-next-years-revival.html</t>
  </si>
  <si>
    <t>Break Even</t>
  </si>
  <si>
    <t>Silicon metal market 5.2% per year</t>
  </si>
  <si>
    <t>https://www.marketwatch.com/press-release/silicon-metal-market-2019-global-industry-analysis-by-size-trend-share-company-overview-growth-and-forecast-by-2021-latest-research-report-by-360researchreportscom-2019-09-20</t>
  </si>
  <si>
    <t>Silicon cost / mt</t>
  </si>
  <si>
    <t>Yearly Market Increase</t>
  </si>
  <si>
    <t>Yearly OP Cost Increase</t>
  </si>
  <si>
    <t>Year</t>
  </si>
  <si>
    <t>Net Revenue</t>
  </si>
  <si>
    <t>TCI</t>
  </si>
  <si>
    <t>Net Spend</t>
  </si>
  <si>
    <t>Cumulative Cash</t>
  </si>
  <si>
    <t>&lt;--- Choose a Capacity</t>
  </si>
  <si>
    <t>Installed Costs (ISBL+) per capacity</t>
  </si>
  <si>
    <t>Auxiliaries</t>
  </si>
  <si>
    <t>of ISBL+</t>
  </si>
  <si>
    <t>Buildings</t>
  </si>
  <si>
    <t>Site development</t>
  </si>
  <si>
    <t>*for production capacity of 160,000 mt/yr</t>
  </si>
  <si>
    <t>Land</t>
  </si>
  <si>
    <t>Operating Cost Breakdown:</t>
  </si>
  <si>
    <t>Interview</t>
  </si>
  <si>
    <t>Cost Model</t>
  </si>
  <si>
    <t>Spare parts</t>
  </si>
  <si>
    <t>//Raw Material + Miscellaneous Materials</t>
  </si>
  <si>
    <t>Fixed Capital Investment (FCI) per capacity</t>
  </si>
  <si>
    <t>//Operating Labor + Laboratory Cost + Supervision</t>
  </si>
  <si>
    <t>Working Capital</t>
  </si>
  <si>
    <t>of FCI</t>
  </si>
  <si>
    <t>//Maintenance + Indirect + Plant Overhead + Insurance + Royalties</t>
  </si>
  <si>
    <t>Start-up Costs</t>
  </si>
  <si>
    <t>Utilities + Energy</t>
  </si>
  <si>
    <t>//Utilities</t>
  </si>
  <si>
    <t>Total Capital Investment (TCI) per capacity</t>
  </si>
  <si>
    <t xml:space="preserve">Total: </t>
  </si>
  <si>
    <t>Capacity (tonne/year)</t>
  </si>
  <si>
    <t>FCI based on the yearly capacity</t>
  </si>
  <si>
    <t>Fixed Costs</t>
  </si>
  <si>
    <t>Maintenance</t>
  </si>
  <si>
    <t>Operating Labor (OL)</t>
  </si>
  <si>
    <t>Laboratory Costs</t>
  </si>
  <si>
    <t>of OL</t>
  </si>
  <si>
    <t>Supervision</t>
  </si>
  <si>
    <t>Plant Overheads</t>
  </si>
  <si>
    <t>Insurance</t>
  </si>
  <si>
    <t>Royalties</t>
  </si>
  <si>
    <t>Variable Costs</t>
  </si>
  <si>
    <t>Raw Materials (RM):</t>
  </si>
  <si>
    <t>Miscellaneous Materials</t>
  </si>
  <si>
    <t>of RM</t>
  </si>
  <si>
    <t>Utilities (everything)</t>
  </si>
  <si>
    <t>Indirect Costs</t>
  </si>
  <si>
    <t>of Costs</t>
  </si>
  <si>
    <t>Annual Operating Costs</t>
  </si>
  <si>
    <t>CAPITAL INVESTMENT SUMMARY</t>
  </si>
  <si>
    <t>References: A2, A3</t>
  </si>
  <si>
    <t xml:space="preserve">For Al </t>
  </si>
  <si>
    <t>1 line Rectifier (given)</t>
  </si>
  <si>
    <t>2 line Rectifier (given)</t>
  </si>
  <si>
    <t>1 line Rectifier (calculated)</t>
  </si>
  <si>
    <t>2 line Rectifier (calculated)</t>
  </si>
  <si>
    <t>from Century Aluminum interview</t>
  </si>
  <si>
    <t>Installed Costs (ISBL+) per tonne</t>
  </si>
  <si>
    <t>Fixed Capital Investment (FCI) per tonne</t>
  </si>
  <si>
    <t>Total Capital Investment (TCI) per tonne</t>
  </si>
  <si>
    <t>Annual Production Capacity (tonne)</t>
  </si>
  <si>
    <t>from interview</t>
  </si>
  <si>
    <t>from cost model</t>
  </si>
  <si>
    <t>Production Capacity (tonne/year)</t>
  </si>
  <si>
    <t>For Si</t>
  </si>
  <si>
    <t>This cost analysis does NOT include operating expenses such as:</t>
  </si>
  <si>
    <t>electricity, labor, chemical, feedstocks, water, or maintenance;</t>
  </si>
  <si>
    <t>Also it is NOT included the amortization of the capital cost to determine:</t>
  </si>
  <si>
    <t>a yearly payback, depreciation, or capital contribution to the overall product cost.</t>
  </si>
  <si>
    <t>(Per Plant)</t>
  </si>
  <si>
    <t>USD/tonne</t>
  </si>
  <si>
    <t># of cells</t>
  </si>
  <si>
    <t>Cell current (KA)</t>
  </si>
  <si>
    <t>Installed Power Capacity per Cell (MW)</t>
  </si>
  <si>
    <t>C (Total Direct Capital Cost-2018 US dollars):</t>
  </si>
  <si>
    <t>Error bar: Class 5 (50-100%) and Class 4 (30-50%)</t>
  </si>
  <si>
    <t>off-site costs are excluded</t>
  </si>
  <si>
    <t>Symbol List:</t>
  </si>
  <si>
    <t>Values:</t>
  </si>
  <si>
    <t>&lt;--- values for aluminum</t>
  </si>
  <si>
    <r>
      <rPr>
        <i/>
        <sz val="11"/>
        <color theme="0"/>
        <rFont val="Calibri"/>
        <family val="2"/>
        <scheme val="minor"/>
      </rPr>
      <t>A</t>
    </r>
    <r>
      <rPr>
        <sz val="11"/>
        <color theme="0"/>
        <rFont val="Calibri"/>
        <family val="2"/>
        <scheme val="minor"/>
      </rPr>
      <t xml:space="preserve"> (Electrode (for metals, cathode) area, m2)</t>
    </r>
  </si>
  <si>
    <r>
      <rPr>
        <sz val="11"/>
        <color theme="0"/>
        <rFont val="Calibri"/>
        <family val="2"/>
      </rPr>
      <t>ɛ</t>
    </r>
    <r>
      <rPr>
        <sz val="11"/>
        <color theme="0"/>
        <rFont val="Calibri"/>
        <family val="2"/>
        <scheme val="minor"/>
      </rPr>
      <t xml:space="preserve"> (current efficiency)</t>
    </r>
  </si>
  <si>
    <t>F (Magnitude of electric charge per mole of electrons)</t>
  </si>
  <si>
    <t>j (Current density, A/m2)</t>
  </si>
  <si>
    <t>M (Electrolysis product molar mass, kg/mol)</t>
  </si>
  <si>
    <t>N (Number of rectifier lines)</t>
  </si>
  <si>
    <t>P (Installed yearly production capacity, metric tonnes)</t>
  </si>
  <si>
    <t>p (Total installed production rate, kg/s)</t>
  </si>
  <si>
    <t>Q (Installed power capacity, MW)</t>
  </si>
  <si>
    <t>T (Electrolysis temperature °C)</t>
  </si>
  <si>
    <t>V (Cell operating voltage, V)</t>
  </si>
  <si>
    <t>z (Moles of electrons reacting to produce a mole of product)</t>
  </si>
  <si>
    <t>Production Capacity (Tonne per year)</t>
  </si>
  <si>
    <t>C Per Plant (calculated from equation)</t>
  </si>
  <si>
    <t># of Rectifiers (N)</t>
  </si>
  <si>
    <t>C Per Plant (2018 Investment given)</t>
  </si>
  <si>
    <t>Ratio</t>
  </si>
  <si>
    <t>Table A.1 Reported total capital costs (2018 USD, using CEI).</t>
  </si>
  <si>
    <t>Capacity (kta)</t>
  </si>
  <si>
    <t>Production Capacity per Cell</t>
  </si>
  <si>
    <t>2018 Investment</t>
  </si>
  <si>
    <t>2018 Investment per Cell</t>
  </si>
  <si>
    <t>2018 Investment per Tonne Capacity</t>
  </si>
  <si>
    <t>Total Direct Capital Cost (C)</t>
  </si>
  <si>
    <t>USD/tonne (given)</t>
  </si>
  <si>
    <t>USD/tonne (calculated from equation)</t>
  </si>
  <si>
    <t>Cell Count</t>
  </si>
  <si>
    <t># of Rectifier lines</t>
  </si>
  <si>
    <t>AVG for 1 line Rectifiers:</t>
  </si>
  <si>
    <t>AVG for 2 line Rectifiers:</t>
  </si>
  <si>
    <t>&lt;--- values for silicon</t>
  </si>
  <si>
    <t>Si production per cell per hour (kg)</t>
  </si>
  <si>
    <t>Production Capacity (kt per year)</t>
  </si>
  <si>
    <t>USD/Cell</t>
  </si>
  <si>
    <t>Q (Installed power capacity per Rectifier line, MW)</t>
  </si>
  <si>
    <t>OPERATING EXPENSE / INCOME SUMMARY</t>
  </si>
  <si>
    <t>FTEs</t>
  </si>
  <si>
    <t>The total hours that all of the employees have worked in a year/The total working hours in one year=FTE</t>
  </si>
  <si>
    <t>References: A4</t>
  </si>
  <si>
    <t>Man-Hour per tonne (Annually)</t>
  </si>
  <si>
    <t>Cost per Man-Hour</t>
  </si>
  <si>
    <t>EQUIPMENT LIST AND UTILITY USE</t>
  </si>
  <si>
    <t>First, focus on describing all the process equipment in direct contact with the process streams.</t>
  </si>
  <si>
    <t>Cost-year Dollars</t>
  </si>
  <si>
    <t>util-1</t>
  </si>
  <si>
    <t>util-2</t>
  </si>
  <si>
    <t>util-3</t>
  </si>
  <si>
    <t>util-4</t>
  </si>
  <si>
    <t>Auxiliary equipment/operations are included below:</t>
  </si>
  <si>
    <t>no</t>
  </si>
  <si>
    <t>Module Factor Method [Ref A5]</t>
  </si>
  <si>
    <t>Individual Factor Method [Ref A1, A3]</t>
  </si>
  <si>
    <t>Utility requirements at full capacity</t>
  </si>
  <si>
    <t>Single-item sizing</t>
  </si>
  <si>
    <t>Single-item equipment costs</t>
  </si>
  <si>
    <t>Multi-item</t>
  </si>
  <si>
    <t>Single-item duties and efficiencies</t>
  </si>
  <si>
    <t>ID</t>
  </si>
  <si>
    <t>Qu.</t>
  </si>
  <si>
    <t>Equipment</t>
  </si>
  <si>
    <t>Operation</t>
  </si>
  <si>
    <t>Size</t>
  </si>
  <si>
    <t>units</t>
  </si>
  <si>
    <t>[Selection of Capital Costing Approach]</t>
  </si>
  <si>
    <t>Bare Module Cost</t>
  </si>
  <si>
    <t>Contingency and Fees</t>
  </si>
  <si>
    <t>Module-i Cost</t>
  </si>
  <si>
    <t>Cost Basis</t>
  </si>
  <si>
    <t>Scaling Factor</t>
  </si>
  <si>
    <t>Installation Factor</t>
  </si>
  <si>
    <t xml:space="preserve">Current Cost </t>
  </si>
  <si>
    <t>Installed Cost (each)</t>
  </si>
  <si>
    <t>Installed Costs (ISBL)</t>
  </si>
  <si>
    <t>Duty</t>
  </si>
  <si>
    <t>Type</t>
  </si>
  <si>
    <t>Efficiency</t>
  </si>
  <si>
    <t>Electricity</t>
  </si>
  <si>
    <t>Natural Gas</t>
  </si>
  <si>
    <t>Cooling Water</t>
  </si>
  <si>
    <t>Refrigerant</t>
  </si>
  <si>
    <t>Cost</t>
  </si>
  <si>
    <t>[kW]</t>
  </si>
  <si>
    <t>FINANCIAL MODEL</t>
  </si>
  <si>
    <t>Project structure adapted from A7 and other sources.</t>
  </si>
  <si>
    <t>Project considered to be a corporation-funded subsidiary.</t>
  </si>
  <si>
    <t>Changes to default parameters are not required on the first pass through this workbook.</t>
  </si>
  <si>
    <t>INPUT IS NOT REQUIRED HEREAFTER &gt;&gt;&gt;</t>
  </si>
  <si>
    <t>Debt Calculator</t>
  </si>
  <si>
    <t>Carried Losses</t>
  </si>
  <si>
    <t>Returns</t>
  </si>
  <si>
    <t>Parameters</t>
  </si>
  <si>
    <t>year</t>
  </si>
  <si>
    <t>fixed capital costs</t>
  </si>
  <si>
    <t>pre-operation</t>
  </si>
  <si>
    <t>financing</t>
  </si>
  <si>
    <t>deprec. basis</t>
  </si>
  <si>
    <t>revenues</t>
  </si>
  <si>
    <t>opex</t>
  </si>
  <si>
    <t>EBITDA</t>
  </si>
  <si>
    <t>depreciation</t>
  </si>
  <si>
    <t>interest expense</t>
  </si>
  <si>
    <t>adjustments</t>
  </si>
  <si>
    <t>taxable earnings</t>
  </si>
  <si>
    <t>taxes</t>
  </si>
  <si>
    <t>net income (N)</t>
  </si>
  <si>
    <t>dividends (Div)</t>
  </si>
  <si>
    <t>cash flow (CF)</t>
  </si>
  <si>
    <t>PV (CF)</t>
  </si>
  <si>
    <t>Production [kg]</t>
  </si>
  <si>
    <t>PV (Production)</t>
  </si>
  <si>
    <t>I+Costs</t>
  </si>
  <si>
    <t>PV(I+Costs)</t>
  </si>
  <si>
    <t>debt flow</t>
  </si>
  <si>
    <t>debt interest</t>
  </si>
  <si>
    <t>debt repayment</t>
  </si>
  <si>
    <t>cumul. Debt</t>
  </si>
  <si>
    <t>Cumulative NOLs</t>
  </si>
  <si>
    <t>Cumul (Div)</t>
  </si>
  <si>
    <t>FCI</t>
  </si>
  <si>
    <t>Debt</t>
  </si>
  <si>
    <t>Equity</t>
  </si>
  <si>
    <t>Interest on debt</t>
  </si>
  <si>
    <t>Profit sharing by equity investors</t>
  </si>
  <si>
    <t>Repayment term of debt</t>
  </si>
  <si>
    <t>years</t>
  </si>
  <si>
    <t>Capital Expenditure Period</t>
  </si>
  <si>
    <t>completion in year</t>
  </si>
  <si>
    <t>Operation begins at year</t>
  </si>
  <si>
    <t>Operational Period</t>
  </si>
  <si>
    <t>Escalation of O&amp;M, fuel, revs</t>
  </si>
  <si>
    <t>Discount rate</t>
  </si>
  <si>
    <t>Capital Cost Escalation prior to operation</t>
  </si>
  <si>
    <t>Capital Depreciation period</t>
  </si>
  <si>
    <t>Depreciation X-declining balance</t>
  </si>
  <si>
    <t>Corporate Tax Rate (fed+state)</t>
  </si>
  <si>
    <t>Effective Annual Rate of Equity</t>
  </si>
  <si>
    <t>Cost of Capital</t>
  </si>
  <si>
    <t>Cost-Year Dollars</t>
  </si>
  <si>
    <t>COST AND PERFORMANCE SUMMARY</t>
  </si>
  <si>
    <t>Annual Basis</t>
  </si>
  <si>
    <t>COST</t>
  </si>
  <si>
    <t>NPV</t>
  </si>
  <si>
    <t>IRR</t>
  </si>
  <si>
    <t>PERFORMANCE</t>
  </si>
  <si>
    <t>Production of primary product</t>
  </si>
  <si>
    <t>kg</t>
  </si>
  <si>
    <t>Utility Demand</t>
  </si>
  <si>
    <t>kWh</t>
  </si>
  <si>
    <t>Processing Energy</t>
  </si>
  <si>
    <t>kWh/kg</t>
  </si>
  <si>
    <t>Emissions</t>
  </si>
  <si>
    <t>CO2</t>
  </si>
  <si>
    <t>, Direct</t>
  </si>
  <si>
    <t>, Indirect</t>
  </si>
  <si>
    <t>Cost $/ton</t>
  </si>
  <si>
    <t>OPEX/ton</t>
  </si>
  <si>
    <t>$/kg</t>
  </si>
  <si>
    <t>First year cost of primary product</t>
  </si>
  <si>
    <t>Levelized cost of primary product</t>
  </si>
  <si>
    <t>INPUT IS NOT REQUIRED ON THIS SHEET</t>
  </si>
  <si>
    <t>Cost-year Dollars:</t>
  </si>
  <si>
    <t>REFERENCE INFORMATION</t>
  </si>
  <si>
    <t>PERIODIC TABLE</t>
  </si>
  <si>
    <t>HHV</t>
  </si>
  <si>
    <t>PLANT COST INDEX (CEPCI)</t>
  </si>
  <si>
    <t>PPI Commodities (BLS)</t>
  </si>
  <si>
    <t>Treasury Yields</t>
  </si>
  <si>
    <t>Fuel Costs (Industry, Source: EIA)</t>
  </si>
  <si>
    <t>PRICES (Source: ICIS 28-Aug-2006)</t>
  </si>
  <si>
    <t>ANNUAL PRODUCTION TARGETS (at full capacity)</t>
  </si>
  <si>
    <t>SiO2 %</t>
  </si>
  <si>
    <t>Price per mt</t>
  </si>
  <si>
    <t>*more prices can be added in the future and the cost anaylsis will update</t>
  </si>
  <si>
    <t>Symbol</t>
  </si>
  <si>
    <t>MJ/kg</t>
  </si>
  <si>
    <t>CHE.com</t>
  </si>
  <si>
    <t>http://www.bls.gov/ppi/</t>
  </si>
  <si>
    <t>http://www.treasury.gov/resource-center/data-chart-center/interest-rates/Pages/TextView.aspx?data=yieldYear&amp;year=2012</t>
  </si>
  <si>
    <t>http://www.eia.gov/electricity/monthly/</t>
  </si>
  <si>
    <t>http://www.icis.com/chemicals/channel-info-chemicals-a-z/</t>
  </si>
  <si>
    <t>Titanium</t>
  </si>
  <si>
    <t>Citation: Market of High Purity Quartz Innovative Applications by Vatalis</t>
  </si>
  <si>
    <t>blank</t>
  </si>
  <si>
    <t>NG</t>
  </si>
  <si>
    <t>Index</t>
  </si>
  <si>
    <t>Chemicals and Allied Products</t>
  </si>
  <si>
    <t>Years</t>
  </si>
  <si>
    <t>Rate</t>
  </si>
  <si>
    <t>Fuel</t>
  </si>
  <si>
    <t>Reference Data</t>
  </si>
  <si>
    <t>Aluminum</t>
  </si>
  <si>
    <t>Actinium</t>
  </si>
  <si>
    <t>Ac</t>
  </si>
  <si>
    <t>H2</t>
  </si>
  <si>
    <t>$/GJ</t>
  </si>
  <si>
    <t>Units</t>
  </si>
  <si>
    <t>Cost,r</t>
  </si>
  <si>
    <t>Year,r</t>
  </si>
  <si>
    <t>Magnesium</t>
  </si>
  <si>
    <t>Silver</t>
  </si>
  <si>
    <t>Ag</t>
  </si>
  <si>
    <t>Bituminous Coal</t>
  </si>
  <si>
    <t>Coal</t>
  </si>
  <si>
    <t>Rutile</t>
  </si>
  <si>
    <t>$/lb</t>
  </si>
  <si>
    <t>AlMg Alloy</t>
  </si>
  <si>
    <t>PetCoke</t>
  </si>
  <si>
    <t>HCl</t>
  </si>
  <si>
    <t>$/ton</t>
  </si>
  <si>
    <t>Americium</t>
  </si>
  <si>
    <t>Am</t>
  </si>
  <si>
    <t>Gasoline</t>
  </si>
  <si>
    <t>Cl2</t>
  </si>
  <si>
    <t>Argon</t>
  </si>
  <si>
    <t>Ar</t>
  </si>
  <si>
    <t>Propane</t>
  </si>
  <si>
    <t>Utility Costs, greenfield plant</t>
  </si>
  <si>
    <t>Carbon black</t>
  </si>
  <si>
    <t>Arsenic</t>
  </si>
  <si>
    <t>As</t>
  </si>
  <si>
    <t>Butane</t>
  </si>
  <si>
    <t>Utility</t>
  </si>
  <si>
    <t>$/kWh</t>
  </si>
  <si>
    <t>$/SCF</t>
  </si>
  <si>
    <t>Astatine</t>
  </si>
  <si>
    <t>At</t>
  </si>
  <si>
    <t>Electricity, onsite</t>
  </si>
  <si>
    <t>Gold</t>
  </si>
  <si>
    <t>Au</t>
  </si>
  <si>
    <t>Electricity, offsite</t>
  </si>
  <si>
    <t>http://www.metalprices.com</t>
  </si>
  <si>
    <t>Boron</t>
  </si>
  <si>
    <t>H2, onsite</t>
  </si>
  <si>
    <t>Barium</t>
  </si>
  <si>
    <t>Ba</t>
  </si>
  <si>
    <t>FeO</t>
  </si>
  <si>
    <t>Beryllium</t>
  </si>
  <si>
    <t>Be</t>
  </si>
  <si>
    <t>assumed</t>
  </si>
  <si>
    <t>Bohrium</t>
  </si>
  <si>
    <t>Bh</t>
  </si>
  <si>
    <t>Bismuth</t>
  </si>
  <si>
    <t>Bi</t>
  </si>
  <si>
    <t>MnO</t>
  </si>
  <si>
    <t>educated guess</t>
  </si>
  <si>
    <t>Berkelium</t>
  </si>
  <si>
    <t>Bk</t>
  </si>
  <si>
    <t>Mn2O3</t>
  </si>
  <si>
    <t>Bromine</t>
  </si>
  <si>
    <t>Br</t>
  </si>
  <si>
    <t>V2O3</t>
  </si>
  <si>
    <t>Carbon</t>
  </si>
  <si>
    <t>C</t>
  </si>
  <si>
    <t>V2O5</t>
  </si>
  <si>
    <t>http://www.metalprices.com/metal/vanadium/vanadium-pentoxide-v2o5-fob-reuters</t>
  </si>
  <si>
    <t>Calcium</t>
  </si>
  <si>
    <t>Cadmium</t>
  </si>
  <si>
    <t>Cd</t>
  </si>
  <si>
    <t>Cerium</t>
  </si>
  <si>
    <t>Ce</t>
  </si>
  <si>
    <t>AlCl3</t>
  </si>
  <si>
    <t>Californium</t>
  </si>
  <si>
    <t>Cf</t>
  </si>
  <si>
    <t>VCl3</t>
  </si>
  <si>
    <t>Sources within http://www.chemicool.com/elements/vanadium.html</t>
  </si>
  <si>
    <t>Chlorine</t>
  </si>
  <si>
    <t>Cl</t>
  </si>
  <si>
    <t>Unit</t>
  </si>
  <si>
    <t>FeCl3</t>
  </si>
  <si>
    <t>http://www.icis.com/Articles/2005/12/02/516155/chemical-profile-ferric-chloride.html</t>
  </si>
  <si>
    <t>Curium</t>
  </si>
  <si>
    <t>Cm</t>
  </si>
  <si>
    <t>Vatalis paper on Zotero $150/T</t>
  </si>
  <si>
    <t>MnCl2</t>
  </si>
  <si>
    <t>Cobalt</t>
  </si>
  <si>
    <t>Co</t>
  </si>
  <si>
    <t>given by Professor Powell in email: $1000/T</t>
  </si>
  <si>
    <t>Chromium</t>
  </si>
  <si>
    <t>Cr</t>
  </si>
  <si>
    <t>given by Professor Powell in email: $400/T</t>
  </si>
  <si>
    <t>Cesium</t>
  </si>
  <si>
    <t>Cs</t>
  </si>
  <si>
    <t>Copper</t>
  </si>
  <si>
    <t>Cu</t>
  </si>
  <si>
    <t>Dubnium</t>
  </si>
  <si>
    <t>Db</t>
  </si>
  <si>
    <t>Dysprosium</t>
  </si>
  <si>
    <t>Dy</t>
  </si>
  <si>
    <t>Erbium</t>
  </si>
  <si>
    <t>Er</t>
  </si>
  <si>
    <t>Einsteinium</t>
  </si>
  <si>
    <t>Es</t>
  </si>
  <si>
    <t>Europium</t>
  </si>
  <si>
    <t>Eu</t>
  </si>
  <si>
    <t>Fluorine</t>
  </si>
  <si>
    <t>Iron</t>
  </si>
  <si>
    <t>Fermium</t>
  </si>
  <si>
    <t>Fm</t>
  </si>
  <si>
    <t>Francium</t>
  </si>
  <si>
    <t>Fr</t>
  </si>
  <si>
    <t>Gallium</t>
  </si>
  <si>
    <t>Ga</t>
  </si>
  <si>
    <t>Gadolinium</t>
  </si>
  <si>
    <t>Gd</t>
  </si>
  <si>
    <t>Germanium</t>
  </si>
  <si>
    <t>Ge</t>
  </si>
  <si>
    <t>Hydrogen</t>
  </si>
  <si>
    <t>H</t>
  </si>
  <si>
    <t>Helium</t>
  </si>
  <si>
    <t>He</t>
  </si>
  <si>
    <t>Hafnium</t>
  </si>
  <si>
    <t>Hf</t>
  </si>
  <si>
    <t>Mercury</t>
  </si>
  <si>
    <t>Hg</t>
  </si>
  <si>
    <t>Holmium</t>
  </si>
  <si>
    <t>Ho</t>
  </si>
  <si>
    <t>Hassium</t>
  </si>
  <si>
    <t>Hs</t>
  </si>
  <si>
    <t>Iodine</t>
  </si>
  <si>
    <t>I</t>
  </si>
  <si>
    <t>Indium</t>
  </si>
  <si>
    <t>In</t>
  </si>
  <si>
    <t>Iridium</t>
  </si>
  <si>
    <t>Ir</t>
  </si>
  <si>
    <t>Potassium</t>
  </si>
  <si>
    <t>Krypton</t>
  </si>
  <si>
    <t>Kr</t>
  </si>
  <si>
    <t>Lanthanum</t>
  </si>
  <si>
    <t>La</t>
  </si>
  <si>
    <t>Lithium</t>
  </si>
  <si>
    <t>Li</t>
  </si>
  <si>
    <t>Lawrencium</t>
  </si>
  <si>
    <t>Lr</t>
  </si>
  <si>
    <t>Lutetium</t>
  </si>
  <si>
    <t>Lu</t>
  </si>
  <si>
    <t>Mendelevium</t>
  </si>
  <si>
    <t>Md</t>
  </si>
  <si>
    <t>Manganese</t>
  </si>
  <si>
    <t>Mn</t>
  </si>
  <si>
    <t>Molybdenum</t>
  </si>
  <si>
    <t>Mo</t>
  </si>
  <si>
    <t>Meitnerium</t>
  </si>
  <si>
    <t>Mt</t>
  </si>
  <si>
    <t>Nitrogen</t>
  </si>
  <si>
    <t>N</t>
  </si>
  <si>
    <t>Sodium</t>
  </si>
  <si>
    <t>Niobium</t>
  </si>
  <si>
    <t>Nb</t>
  </si>
  <si>
    <t>Neodymium</t>
  </si>
  <si>
    <t>Nd</t>
  </si>
  <si>
    <t>Neon</t>
  </si>
  <si>
    <t>Ne</t>
  </si>
  <si>
    <t>Nickel</t>
  </si>
  <si>
    <t>Ni</t>
  </si>
  <si>
    <t>Nobelium</t>
  </si>
  <si>
    <t>No</t>
  </si>
  <si>
    <t>Neptunium</t>
  </si>
  <si>
    <t>Np</t>
  </si>
  <si>
    <t>Oxygen</t>
  </si>
  <si>
    <t>Osmium</t>
  </si>
  <si>
    <t>Os</t>
  </si>
  <si>
    <t>Phosphorus</t>
  </si>
  <si>
    <t>Protactinium</t>
  </si>
  <si>
    <t>Pa</t>
  </si>
  <si>
    <t>Lead</t>
  </si>
  <si>
    <t>Pb</t>
  </si>
  <si>
    <t>Palladium</t>
  </si>
  <si>
    <t>Pd</t>
  </si>
  <si>
    <t>Promethium</t>
  </si>
  <si>
    <t>Pm</t>
  </si>
  <si>
    <t>Polonium</t>
  </si>
  <si>
    <t>Po</t>
  </si>
  <si>
    <t>Praseodymium</t>
  </si>
  <si>
    <t>Pr</t>
  </si>
  <si>
    <t>Platinum</t>
  </si>
  <si>
    <t>Pt</t>
  </si>
  <si>
    <t>Plutonium</t>
  </si>
  <si>
    <t>Pu</t>
  </si>
  <si>
    <t>Radium</t>
  </si>
  <si>
    <t>Ra</t>
  </si>
  <si>
    <t>Rubidium</t>
  </si>
  <si>
    <t>Rb</t>
  </si>
  <si>
    <t>Rhenium</t>
  </si>
  <si>
    <t>Re</t>
  </si>
  <si>
    <t>Rutherfordium</t>
  </si>
  <si>
    <t>Rf</t>
  </si>
  <si>
    <t>Roentgenium</t>
  </si>
  <si>
    <t>Rg</t>
  </si>
  <si>
    <t>Rhodium</t>
  </si>
  <si>
    <t>Rh</t>
  </si>
  <si>
    <t>Radon</t>
  </si>
  <si>
    <t>Rn</t>
  </si>
  <si>
    <t>Ruthenium</t>
  </si>
  <si>
    <t>Ru</t>
  </si>
  <si>
    <t>Sulfur</t>
  </si>
  <si>
    <t>S</t>
  </si>
  <si>
    <t>Antimony</t>
  </si>
  <si>
    <t>Sb</t>
  </si>
  <si>
    <t>Scandium</t>
  </si>
  <si>
    <t>Sc</t>
  </si>
  <si>
    <t>Selenium</t>
  </si>
  <si>
    <t>Se</t>
  </si>
  <si>
    <t>Seaborgium</t>
  </si>
  <si>
    <t>Sg</t>
  </si>
  <si>
    <t>Samarium</t>
  </si>
  <si>
    <t>Sm</t>
  </si>
  <si>
    <t>Tin</t>
  </si>
  <si>
    <t>Sn</t>
  </si>
  <si>
    <t>Strontium</t>
  </si>
  <si>
    <t>Sr</t>
  </si>
  <si>
    <t>Tantalum</t>
  </si>
  <si>
    <t>Ta</t>
  </si>
  <si>
    <t>Terbium</t>
  </si>
  <si>
    <t>Tb</t>
  </si>
  <si>
    <t>Technetium</t>
  </si>
  <si>
    <t>Tc</t>
  </si>
  <si>
    <t>Tellurium</t>
  </si>
  <si>
    <t>Te</t>
  </si>
  <si>
    <t>Thorium</t>
  </si>
  <si>
    <t>Th</t>
  </si>
  <si>
    <t>Thallium</t>
  </si>
  <si>
    <t>Tl</t>
  </si>
  <si>
    <t>Thulium</t>
  </si>
  <si>
    <t>Tm</t>
  </si>
  <si>
    <t>Uranium</t>
  </si>
  <si>
    <t>U</t>
  </si>
  <si>
    <t>Vanadium</t>
  </si>
  <si>
    <t>V</t>
  </si>
  <si>
    <t>Tungsten</t>
  </si>
  <si>
    <t>W</t>
  </si>
  <si>
    <t>Xenon</t>
  </si>
  <si>
    <t>Xe</t>
  </si>
  <si>
    <t>Yttrium</t>
  </si>
  <si>
    <t>Ytterbium</t>
  </si>
  <si>
    <t>Yb</t>
  </si>
  <si>
    <t>Zinc</t>
  </si>
  <si>
    <t>Zn</t>
  </si>
  <si>
    <t>Zirconium</t>
  </si>
  <si>
    <t>PFD</t>
  </si>
  <si>
    <t>Utilities</t>
  </si>
  <si>
    <t>kW @ full capacity</t>
  </si>
  <si>
    <t>kW</t>
  </si>
  <si>
    <t>kg/h</t>
  </si>
  <si>
    <t>Annual Cost</t>
  </si>
  <si>
    <t>kgCO2 / MWh</t>
  </si>
  <si>
    <t>Annual CO2 (kg)</t>
  </si>
  <si>
    <t>degree C delta (inlet-outlet) for cooling water</t>
  </si>
  <si>
    <t>river</t>
  </si>
  <si>
    <t>source of cooling water</t>
  </si>
  <si>
    <t xml:space="preserve">Cooling Water </t>
  </si>
  <si>
    <t>offsite</t>
  </si>
  <si>
    <t>electricity generation source</t>
  </si>
  <si>
    <t>REFERENCING MATERIALS</t>
  </si>
  <si>
    <t>A1</t>
  </si>
  <si>
    <t>Perry and Green, "Perry's Chemical Engineers' Handbook", seventh edition, Process Economics, section 9.</t>
  </si>
  <si>
    <t>A2</t>
  </si>
  <si>
    <t>Douglas, "Conceptual Design of Chemical Processes", McGraw Hill (1988) chapter 2.</t>
  </si>
  <si>
    <t>A3</t>
  </si>
  <si>
    <t>Individual Factor Method from; Silla, "Chemical Process Engineering: Design and Economics"</t>
  </si>
  <si>
    <t>A4</t>
  </si>
  <si>
    <t>Operating costs adapted from; Moulijn, "Chemical Process Technology", Process Evaluation chapter.</t>
  </si>
  <si>
    <t>A5</t>
  </si>
  <si>
    <t>Module Factor Method from: Turton, Bailie, Whiting, Shaeiwitz, "Analysis, Synthesis and Design of Chemical Processes".</t>
  </si>
  <si>
    <t>A6</t>
  </si>
  <si>
    <t>NETL publication DOE/NETL-401/090808</t>
  </si>
  <si>
    <t>A7</t>
  </si>
  <si>
    <t>NIPPON Steel Technical Report, "Technology Trend of Titanium Sponge and Ingot Production", No. 85 (January 2002).</t>
  </si>
  <si>
    <t>PARAMETER VIEW</t>
  </si>
  <si>
    <t>Default</t>
  </si>
  <si>
    <t>Actual</t>
  </si>
  <si>
    <t>Streams sheet</t>
  </si>
  <si>
    <t>Second element in mass balance check</t>
  </si>
  <si>
    <t>Compositions sheet</t>
  </si>
  <si>
    <t>Mass balance 1</t>
  </si>
  <si>
    <t>Mass balance 2</t>
  </si>
  <si>
    <t>Mass balance 3</t>
  </si>
  <si>
    <t>Equipment sheet</t>
  </si>
  <si>
    <t>Contingencies and Fees</t>
  </si>
  <si>
    <t>Auxiliary equipment entered manually</t>
  </si>
  <si>
    <t>Capex sheet</t>
  </si>
  <si>
    <t>Spare Parts</t>
  </si>
  <si>
    <t>Opex sheet</t>
  </si>
  <si>
    <t>Financial sheet</t>
  </si>
  <si>
    <t>Summary sheet</t>
  </si>
  <si>
    <t>Utilities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</si>
</sst>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_(&quot;$&quot;* #,##0_);_(&quot;$&quot;* \(#,##0\);_(&quot;$&quot;* &quot;-&quot;??_);_(@_)"/>
    <numFmt numFmtId="166" formatCode="_(* #,##0_);_(* \(#,##0\);_(* &quot;-&quot;??_);_(@_)"/>
    <numFmt numFmtId="167" formatCode="0.0%"/>
    <numFmt numFmtId="168" formatCode="0.000%"/>
    <numFmt numFmtId="169" formatCode="_(* #,##0.0000_);_(* \(#,##0.0000\);_(* &quot;-&quot;??_);_(@_)"/>
    <numFmt numFmtId="170" formatCode="0.0"/>
    <numFmt numFmtId="171" formatCode="0.000"/>
    <numFmt numFmtId="172" formatCode="0.0E+00"/>
    <numFmt numFmtId="173" formatCode="0.0000000"/>
    <numFmt numFmtId="174" formatCode="0.000000"/>
    <numFmt numFmtId="175" formatCode="0.0000"/>
    <numFmt numFmtId="176" formatCode="0.00000"/>
    <numFmt numFmtId="177" formatCode="0.000000000000000"/>
    <numFmt numFmtId="178" formatCode="0.00000000"/>
    <numFmt numFmtId="179" formatCode="0.000000000"/>
    <numFmt numFmtId="180" formatCode="0.0000%"/>
    <numFmt numFmtId="181" formatCode="0.00000%"/>
    <numFmt numFmtId="182" formatCode="0.0000000000000000"/>
    <numFmt numFmtId="183" formatCode="0.00000000000000000000000000"/>
    <numFmt numFmtId="184" formatCode="0.0000000000"/>
    <numFmt numFmtId="185" formatCode="0.00000000000000000"/>
    <numFmt numFmtId="186" formatCode="0.000000%"/>
    <numFmt numFmtId="187" formatCode="0.00000000000"/>
    <numFmt numFmtId="188" formatCode="_(* #,##0.00000_);_(* \(#,##0.00000\);_(* &quot;-&quot;??_);_(@_)"/>
    <numFmt numFmtId="189" formatCode="&quot;$&quot;#,##0.00"/>
    <numFmt numFmtId="190" formatCode="&quot;$&quot;#,##0"/>
    <numFmt numFmtId="191" formatCode="_(&quot;$&quot;* #,##0.0_);_(&quot;$&quot;* \(#,##0.0\);_(&quot;$&quot;* &quot;-&quot;?_);_(@_)"/>
    <numFmt numFmtId="192" formatCode="_(* #,##0.0_);_(* \(#,##0.0\);_(* &quot;-&quot;??_);_(@_)"/>
    <numFmt numFmtId="193" formatCode="_(&quot;$&quot;* #,##0_);_(&quot;$&quot;* \(#,##0\);_(&quot;$&quot;* &quot;-&quot;?_);_(@_)"/>
  </numFmts>
  <fonts count="47" x14ac:knownFonts="1">
    <font>
      <sz val="11"/>
      <color theme="1"/>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u/>
      <sz val="11"/>
      <color theme="1"/>
      <name val="Calibri"/>
      <family val="2"/>
      <scheme val="minor"/>
    </font>
    <font>
      <sz val="11"/>
      <name val="Calibri"/>
      <family val="2"/>
      <scheme val="minor"/>
    </font>
    <font>
      <sz val="9"/>
      <color indexed="81"/>
      <name val="Tahoma"/>
      <family val="2"/>
    </font>
    <font>
      <b/>
      <sz val="9"/>
      <color indexed="81"/>
      <name val="Tahoma"/>
      <family val="2"/>
    </font>
    <font>
      <i/>
      <sz val="11"/>
      <color theme="1"/>
      <name val="Calibri"/>
      <family val="2"/>
      <scheme val="minor"/>
    </font>
    <font>
      <u/>
      <sz val="11"/>
      <name val="Calibri"/>
      <family val="2"/>
      <scheme val="minor"/>
    </font>
    <font>
      <u/>
      <sz val="11"/>
      <color theme="10"/>
      <name val="Calibri"/>
      <family val="2"/>
      <scheme val="minor"/>
    </font>
    <font>
      <sz val="11"/>
      <color theme="1"/>
      <name val="Calibri"/>
      <family val="2"/>
      <scheme val="minor"/>
    </font>
    <font>
      <sz val="10"/>
      <name val="Verdana"/>
      <family val="2"/>
    </font>
    <font>
      <b/>
      <sz val="11"/>
      <color theme="1"/>
      <name val="Calibri"/>
      <family val="2"/>
      <scheme val="minor"/>
    </font>
    <font>
      <b/>
      <sz val="11"/>
      <name val="Calibri"/>
      <family val="2"/>
      <scheme val="minor"/>
    </font>
    <font>
      <i/>
      <sz val="11"/>
      <color rgb="FFFF0000"/>
      <name val="Calibri"/>
      <family val="2"/>
      <scheme val="minor"/>
    </font>
    <font>
      <i/>
      <sz val="11"/>
      <name val="Calibri"/>
      <family val="2"/>
      <scheme val="minor"/>
    </font>
    <font>
      <i/>
      <sz val="11"/>
      <color theme="0"/>
      <name val="Calibri"/>
      <family val="2"/>
      <scheme val="minor"/>
    </font>
    <font>
      <i/>
      <sz val="8"/>
      <color theme="0"/>
      <name val="Calibri"/>
      <family val="2"/>
      <scheme val="minor"/>
    </font>
    <font>
      <b/>
      <u/>
      <sz val="11"/>
      <color theme="1"/>
      <name val="Calibri"/>
      <family val="2"/>
      <scheme val="minor"/>
    </font>
    <font>
      <b/>
      <i/>
      <sz val="11"/>
      <color theme="1"/>
      <name val="Calibri"/>
      <family val="2"/>
      <scheme val="minor"/>
    </font>
    <font>
      <sz val="11"/>
      <color theme="8"/>
      <name val="Calibri"/>
      <family val="2"/>
      <scheme val="minor"/>
    </font>
    <font>
      <b/>
      <sz val="11"/>
      <color theme="0"/>
      <name val="Calibri"/>
      <family val="2"/>
      <scheme val="minor"/>
    </font>
    <font>
      <sz val="11"/>
      <color theme="3" tint="0.39997558519241921"/>
      <name val="Calibri"/>
      <family val="2"/>
      <scheme val="minor"/>
    </font>
    <font>
      <sz val="11"/>
      <color rgb="FF0070C0"/>
      <name val="Calibri"/>
      <family val="2"/>
      <scheme val="minor"/>
    </font>
    <font>
      <sz val="11"/>
      <color theme="4"/>
      <name val="Calibri"/>
      <family val="2"/>
      <scheme val="minor"/>
    </font>
    <font>
      <sz val="11"/>
      <color theme="6"/>
      <name val="Calibri"/>
      <family val="2"/>
      <scheme val="minor"/>
    </font>
    <font>
      <sz val="11"/>
      <color theme="7"/>
      <name val="Calibri"/>
      <family val="2"/>
      <scheme val="minor"/>
    </font>
    <font>
      <b/>
      <sz val="11"/>
      <color rgb="FFFFFF00"/>
      <name val="Calibri"/>
      <family val="2"/>
      <scheme val="minor"/>
    </font>
    <font>
      <sz val="8"/>
      <name val="Calibri"/>
      <family val="2"/>
      <scheme val="minor"/>
    </font>
    <font>
      <b/>
      <sz val="11"/>
      <color rgb="FF00B050"/>
      <name val="Calibri"/>
      <family val="2"/>
      <scheme val="minor"/>
    </font>
    <font>
      <b/>
      <sz val="11"/>
      <color rgb="FF7030A0"/>
      <name val="Calibri"/>
      <family val="2"/>
      <scheme val="minor"/>
    </font>
    <font>
      <b/>
      <sz val="11"/>
      <color rgb="FF00B0F0"/>
      <name val="Calibri"/>
      <family val="2"/>
      <scheme val="minor"/>
    </font>
    <font>
      <sz val="11"/>
      <color theme="7" tint="0.39997558519241921"/>
      <name val="Calibri"/>
      <family val="2"/>
      <scheme val="minor"/>
    </font>
    <font>
      <sz val="11"/>
      <color rgb="FF00B0F0"/>
      <name val="Calibri"/>
      <family val="2"/>
      <scheme val="minor"/>
    </font>
    <font>
      <sz val="11"/>
      <color rgb="FF7030A0"/>
      <name val="Calibri"/>
      <family val="2"/>
      <scheme val="minor"/>
    </font>
    <font>
      <sz val="11"/>
      <color rgb="FF00B050"/>
      <name val="Calibri"/>
      <family val="2"/>
      <scheme val="minor"/>
    </font>
    <font>
      <sz val="11"/>
      <color theme="9"/>
      <name val="Calibri"/>
      <family val="2"/>
      <scheme val="minor"/>
    </font>
    <font>
      <b/>
      <sz val="11"/>
      <color theme="9" tint="-0.249977111117893"/>
      <name val="Calibri"/>
      <family val="2"/>
      <scheme val="minor"/>
    </font>
    <font>
      <b/>
      <sz val="11"/>
      <color rgb="FFFFFFFF"/>
      <name val="Calibri"/>
      <family val="2"/>
      <scheme val="minor"/>
    </font>
    <font>
      <b/>
      <u/>
      <sz val="11"/>
      <color theme="0"/>
      <name val="Calibri"/>
      <family val="2"/>
      <scheme val="minor"/>
    </font>
    <font>
      <sz val="11"/>
      <color theme="0"/>
      <name val="Calibri"/>
      <family val="2"/>
    </font>
    <font>
      <b/>
      <sz val="11"/>
      <color rgb="FF0070C0"/>
      <name val="Calibri"/>
      <family val="2"/>
      <scheme val="minor"/>
    </font>
    <font>
      <b/>
      <sz val="16"/>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s>
  <fills count="3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1" tint="0.499984740745262"/>
        <bgColor indexed="64"/>
      </patternFill>
    </fill>
    <fill>
      <patternFill patternType="solid">
        <fgColor theme="6" tint="-0.499984740745262"/>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tint="4.9989318521683403E-2"/>
        <bgColor indexed="64"/>
      </patternFill>
    </fill>
    <fill>
      <patternFill patternType="solid">
        <fgColor rgb="FFA5A5A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79998168889431442"/>
        <bgColor indexed="64"/>
      </patternFill>
    </fill>
    <fill>
      <patternFill patternType="solid">
        <fgColor rgb="FF00B050"/>
        <bgColor indexed="64"/>
      </patternFill>
    </fill>
    <fill>
      <patternFill patternType="solid">
        <fgColor rgb="FF0070C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C8CC34"/>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EAFCED"/>
        <bgColor indexed="64"/>
      </patternFill>
    </fill>
  </fills>
  <borders count="29">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10" fillId="0" borderId="0" applyNumberForma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2" fillId="19" borderId="14" applyNumberFormat="0" applyAlignment="0" applyProtection="0"/>
  </cellStyleXfs>
  <cellXfs count="824">
    <xf numFmtId="0" fontId="0" fillId="0" borderId="0" xfId="0"/>
    <xf numFmtId="0" fontId="3" fillId="0" borderId="0" xfId="0" applyFont="1"/>
    <xf numFmtId="0" fontId="0" fillId="3" borderId="0" xfId="0" applyFill="1"/>
    <xf numFmtId="0" fontId="0" fillId="0" borderId="0" xfId="0" applyAlignment="1">
      <alignment horizontal="center"/>
    </xf>
    <xf numFmtId="0" fontId="4" fillId="0" borderId="0" xfId="0" applyFont="1"/>
    <xf numFmtId="0" fontId="4" fillId="0" borderId="0" xfId="0" applyFont="1" applyAlignment="1">
      <alignment horizontal="center"/>
    </xf>
    <xf numFmtId="0" fontId="0" fillId="0" borderId="0" xfId="0" applyFill="1"/>
    <xf numFmtId="0" fontId="3" fillId="0" borderId="0" xfId="0" applyFont="1" applyFill="1"/>
    <xf numFmtId="0" fontId="2" fillId="4" borderId="0" xfId="0" applyFont="1" applyFill="1"/>
    <xf numFmtId="0" fontId="0" fillId="0" borderId="0" xfId="0" applyFill="1" applyAlignment="1">
      <alignment horizontal="center"/>
    </xf>
    <xf numFmtId="0" fontId="8" fillId="0" borderId="0" xfId="0" applyFont="1"/>
    <xf numFmtId="0" fontId="0" fillId="0" borderId="3" xfId="0" applyBorder="1"/>
    <xf numFmtId="0" fontId="2" fillId="0" borderId="0" xfId="0" applyFont="1" applyFill="1"/>
    <xf numFmtId="0" fontId="5" fillId="0" borderId="0" xfId="0" applyFont="1" applyFill="1"/>
    <xf numFmtId="0" fontId="0" fillId="3" borderId="0" xfId="0" applyFill="1" applyAlignment="1">
      <alignment horizontal="center"/>
    </xf>
    <xf numFmtId="0" fontId="1" fillId="0" borderId="0" xfId="0" applyFont="1"/>
    <xf numFmtId="0" fontId="5" fillId="3" borderId="0" xfId="0" applyFont="1" applyFill="1"/>
    <xf numFmtId="0" fontId="0" fillId="0" borderId="0" xfId="0" applyAlignment="1">
      <alignment horizontal="right"/>
    </xf>
    <xf numFmtId="0" fontId="0" fillId="0" borderId="0" xfId="0" applyBorder="1"/>
    <xf numFmtId="0" fontId="2" fillId="4" borderId="0" xfId="0" applyFont="1" applyFill="1" applyProtection="1">
      <protection locked="0"/>
    </xf>
    <xf numFmtId="0" fontId="0" fillId="4" borderId="0" xfId="0" applyFill="1" applyProtection="1">
      <protection locked="0"/>
    </xf>
    <xf numFmtId="0" fontId="0" fillId="0" borderId="0" xfId="0" applyProtection="1">
      <protection locked="0"/>
    </xf>
    <xf numFmtId="0" fontId="0" fillId="2" borderId="0" xfId="0" applyFill="1" applyProtection="1">
      <protection locked="0"/>
    </xf>
    <xf numFmtId="0" fontId="5" fillId="2" borderId="0" xfId="0" applyFont="1" applyFill="1" applyProtection="1">
      <protection locked="0"/>
    </xf>
    <xf numFmtId="0" fontId="5" fillId="4" borderId="0" xfId="0" applyFont="1" applyFill="1" applyProtection="1">
      <protection locked="0"/>
    </xf>
    <xf numFmtId="0" fontId="0" fillId="2" borderId="0" xfId="0" applyFill="1"/>
    <xf numFmtId="0" fontId="0" fillId="4" borderId="0" xfId="0" applyFill="1"/>
    <xf numFmtId="0" fontId="9" fillId="0" borderId="0" xfId="0" applyFont="1" applyFill="1"/>
    <xf numFmtId="0" fontId="3" fillId="0" borderId="0" xfId="0" applyFont="1" applyAlignment="1">
      <alignment horizontal="center"/>
    </xf>
    <xf numFmtId="0" fontId="0" fillId="0" borderId="0" xfId="0" applyAlignment="1">
      <alignment horizontal="left"/>
    </xf>
    <xf numFmtId="0" fontId="2" fillId="4" borderId="0" xfId="0" applyFont="1" applyFill="1" applyAlignment="1">
      <alignment horizontal="left"/>
    </xf>
    <xf numFmtId="0" fontId="10" fillId="0" borderId="0" xfId="1" applyAlignment="1">
      <alignment horizontal="center"/>
    </xf>
    <xf numFmtId="0" fontId="2" fillId="4" borderId="0" xfId="0" applyFont="1" applyFill="1" applyAlignment="1">
      <alignment horizontal="center" vertical="center"/>
    </xf>
    <xf numFmtId="0" fontId="11" fillId="0" borderId="0" xfId="3" applyProtection="1"/>
    <xf numFmtId="0" fontId="11" fillId="0" borderId="0" xfId="3" applyBorder="1" applyProtection="1">
      <protection locked="0"/>
    </xf>
    <xf numFmtId="164" fontId="12" fillId="0" borderId="0" xfId="3" applyNumberFormat="1" applyFont="1" applyProtection="1"/>
    <xf numFmtId="0" fontId="2" fillId="4" borderId="0" xfId="0" applyFont="1" applyFill="1" applyAlignment="1">
      <alignment vertical="center"/>
    </xf>
    <xf numFmtId="0" fontId="0" fillId="0" borderId="0" xfId="0" applyAlignment="1">
      <alignment vertical="center"/>
    </xf>
    <xf numFmtId="0" fontId="5" fillId="3" borderId="0" xfId="0" applyFont="1" applyFill="1" applyAlignment="1">
      <alignment horizontal="center"/>
    </xf>
    <xf numFmtId="0" fontId="1" fillId="0" borderId="0" xfId="0" applyFont="1" applyFill="1" applyAlignment="1">
      <alignment horizontal="left" vertical="top" wrapText="1"/>
    </xf>
    <xf numFmtId="164" fontId="12" fillId="0" borderId="3" xfId="3" applyNumberFormat="1" applyFont="1" applyBorder="1" applyProtection="1"/>
    <xf numFmtId="0" fontId="11" fillId="0" borderId="3" xfId="3" applyBorder="1" applyProtection="1"/>
    <xf numFmtId="0" fontId="0" fillId="10" borderId="0" xfId="0" applyFill="1"/>
    <xf numFmtId="0" fontId="4" fillId="0" borderId="0" xfId="3" applyFont="1" applyProtection="1"/>
    <xf numFmtId="0" fontId="10" fillId="0" borderId="0" xfId="1"/>
    <xf numFmtId="0" fontId="0" fillId="0" borderId="0" xfId="0" applyFont="1"/>
    <xf numFmtId="43" fontId="0" fillId="10" borderId="0" xfId="4" applyFont="1" applyFill="1"/>
    <xf numFmtId="43" fontId="0" fillId="0" borderId="0" xfId="4" applyFont="1"/>
    <xf numFmtId="43" fontId="0" fillId="0" borderId="0" xfId="0" applyNumberFormat="1"/>
    <xf numFmtId="166" fontId="0" fillId="0" borderId="0" xfId="4" applyNumberFormat="1" applyFont="1"/>
    <xf numFmtId="0" fontId="0" fillId="7" borderId="0" xfId="0" applyFill="1"/>
    <xf numFmtId="165" fontId="0" fillId="0" borderId="0" xfId="2" applyNumberFormat="1" applyFont="1"/>
    <xf numFmtId="0" fontId="5" fillId="2" borderId="6" xfId="0" applyFont="1" applyFill="1" applyBorder="1"/>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7" xfId="0" applyFont="1" applyFill="1" applyBorder="1"/>
    <xf numFmtId="0" fontId="2" fillId="4" borderId="0" xfId="0" applyFont="1" applyFill="1" applyBorder="1"/>
    <xf numFmtId="0" fontId="2" fillId="4" borderId="8" xfId="0" applyFont="1" applyFill="1" applyBorder="1"/>
    <xf numFmtId="165" fontId="0" fillId="3" borderId="7" xfId="2" applyNumberFormat="1" applyFont="1" applyFill="1" applyBorder="1"/>
    <xf numFmtId="165" fontId="0" fillId="0" borderId="0" xfId="0" applyNumberFormat="1" applyBorder="1"/>
    <xf numFmtId="165" fontId="0" fillId="0" borderId="8" xfId="0" applyNumberFormat="1" applyBorder="1"/>
    <xf numFmtId="0" fontId="0" fillId="2" borderId="4" xfId="0" applyFill="1" applyBorder="1" applyAlignment="1">
      <alignment horizontal="left"/>
    </xf>
    <xf numFmtId="0" fontId="0" fillId="2" borderId="5" xfId="0" applyFill="1" applyBorder="1"/>
    <xf numFmtId="0" fontId="2" fillId="4" borderId="7" xfId="0" applyFont="1" applyFill="1" applyBorder="1" applyAlignment="1">
      <alignment horizontal="center"/>
    </xf>
    <xf numFmtId="0" fontId="2" fillId="4" borderId="8" xfId="0" applyFont="1" applyFill="1" applyBorder="1" applyAlignment="1">
      <alignment horizontal="center"/>
    </xf>
    <xf numFmtId="0" fontId="5" fillId="3" borderId="7" xfId="0" applyFont="1" applyFill="1" applyBorder="1" applyAlignment="1">
      <alignment horizontal="center"/>
    </xf>
    <xf numFmtId="165" fontId="5" fillId="3" borderId="0" xfId="2" applyNumberFormat="1" applyFont="1" applyFill="1" applyBorder="1"/>
    <xf numFmtId="0" fontId="5" fillId="3" borderId="0" xfId="0" applyFont="1" applyFill="1" applyBorder="1" applyAlignment="1">
      <alignment horizontal="center"/>
    </xf>
    <xf numFmtId="165" fontId="5" fillId="0" borderId="0" xfId="0" applyNumberFormat="1" applyFont="1" applyFill="1" applyBorder="1"/>
    <xf numFmtId="165" fontId="5" fillId="0" borderId="8" xfId="2" applyNumberFormat="1" applyFont="1" applyFill="1" applyBorder="1"/>
    <xf numFmtId="0" fontId="0" fillId="2" borderId="6" xfId="0" applyFill="1" applyBorder="1"/>
    <xf numFmtId="165" fontId="13" fillId="0" borderId="0" xfId="2" applyNumberFormat="1" applyFont="1"/>
    <xf numFmtId="165" fontId="13" fillId="0" borderId="0" xfId="0" applyNumberFormat="1" applyFont="1"/>
    <xf numFmtId="0" fontId="13" fillId="0" borderId="0" xfId="0" applyFont="1" applyAlignment="1">
      <alignment horizontal="left" indent="1"/>
    </xf>
    <xf numFmtId="165" fontId="0" fillId="0" borderId="0" xfId="0" applyNumberFormat="1"/>
    <xf numFmtId="167" fontId="0" fillId="3" borderId="0" xfId="5" applyNumberFormat="1" applyFont="1" applyFill="1"/>
    <xf numFmtId="167" fontId="0" fillId="3" borderId="0" xfId="0" applyNumberFormat="1" applyFill="1"/>
    <xf numFmtId="165" fontId="0" fillId="0" borderId="0" xfId="0" applyNumberFormat="1" applyAlignment="1">
      <alignment horizontal="left"/>
    </xf>
    <xf numFmtId="0" fontId="0" fillId="12" borderId="0" xfId="0" applyFill="1"/>
    <xf numFmtId="0" fontId="3" fillId="0" borderId="0" xfId="0" applyFont="1" applyProtection="1">
      <protection locked="0"/>
    </xf>
    <xf numFmtId="0" fontId="2" fillId="7" borderId="0" xfId="0" applyFont="1" applyFill="1"/>
    <xf numFmtId="165" fontId="5" fillId="0" borderId="0" xfId="2" applyNumberFormat="1" applyFont="1"/>
    <xf numFmtId="165" fontId="2" fillId="7" borderId="0" xfId="0" applyNumberFormat="1" applyFont="1" applyFill="1"/>
    <xf numFmtId="165" fontId="2" fillId="7" borderId="0" xfId="2" applyNumberFormat="1" applyFont="1" applyFill="1"/>
    <xf numFmtId="0" fontId="2" fillId="12" borderId="0" xfId="0" applyFont="1" applyFill="1"/>
    <xf numFmtId="43" fontId="5" fillId="0" borderId="0" xfId="4" applyFont="1" applyAlignment="1">
      <alignment horizontal="center"/>
    </xf>
    <xf numFmtId="0" fontId="15" fillId="0" borderId="0" xfId="0" applyFont="1"/>
    <xf numFmtId="0" fontId="0" fillId="0" borderId="0" xfId="0" applyAlignment="1">
      <alignment horizontal="center"/>
    </xf>
    <xf numFmtId="0" fontId="2" fillId="12" borderId="0" xfId="0" applyFont="1" applyFill="1" applyAlignment="1">
      <alignment horizontal="center"/>
    </xf>
    <xf numFmtId="0" fontId="2" fillId="7" borderId="9" xfId="0" applyFont="1" applyFill="1" applyBorder="1" applyAlignment="1">
      <alignment horizontal="center"/>
    </xf>
    <xf numFmtId="165" fontId="5" fillId="11" borderId="9" xfId="2" applyNumberFormat="1" applyFont="1" applyFill="1" applyBorder="1"/>
    <xf numFmtId="0" fontId="2" fillId="8" borderId="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8" borderId="7" xfId="0" applyFont="1" applyFill="1" applyBorder="1" applyAlignment="1" applyProtection="1">
      <alignment horizontal="center" vertical="center"/>
      <protection locked="0"/>
    </xf>
    <xf numFmtId="0" fontId="2" fillId="8" borderId="0" xfId="0" applyFont="1" applyFill="1" applyBorder="1" applyAlignment="1" applyProtection="1">
      <alignment horizontal="center" vertical="center"/>
      <protection locked="0"/>
    </xf>
    <xf numFmtId="166" fontId="0" fillId="3" borderId="7" xfId="4" applyNumberFormat="1" applyFont="1" applyFill="1" applyBorder="1"/>
    <xf numFmtId="166" fontId="0" fillId="3" borderId="0" xfId="4" applyNumberFormat="1" applyFont="1" applyFill="1" applyBorder="1" applyAlignment="1">
      <alignment horizontal="center"/>
    </xf>
    <xf numFmtId="0" fontId="0" fillId="2" borderId="0" xfId="0" applyFill="1" applyBorder="1" applyAlignment="1">
      <alignment horizontal="center"/>
    </xf>
    <xf numFmtId="43" fontId="0" fillId="0" borderId="0" xfId="4" applyFont="1" applyFill="1"/>
    <xf numFmtId="166" fontId="5" fillId="0" borderId="0" xfId="2" applyNumberFormat="1" applyFont="1"/>
    <xf numFmtId="9" fontId="0" fillId="3" borderId="0" xfId="0" applyNumberFormat="1" applyFill="1"/>
    <xf numFmtId="10" fontId="0" fillId="10" borderId="0" xfId="5" applyNumberFormat="1" applyFont="1" applyFill="1"/>
    <xf numFmtId="168" fontId="0" fillId="10" borderId="0" xfId="5" applyNumberFormat="1" applyFont="1" applyFill="1"/>
    <xf numFmtId="14" fontId="9" fillId="0" borderId="0" xfId="0" applyNumberFormat="1" applyFont="1" applyFill="1"/>
    <xf numFmtId="0" fontId="0" fillId="0" borderId="0" xfId="0" applyAlignment="1">
      <alignment horizontal="left" indent="2"/>
    </xf>
    <xf numFmtId="165" fontId="5" fillId="0" borderId="0" xfId="0" applyNumberFormat="1" applyFont="1" applyFill="1"/>
    <xf numFmtId="44" fontId="0" fillId="0" borderId="0" xfId="2" applyNumberFormat="1" applyFont="1"/>
    <xf numFmtId="165" fontId="14" fillId="9" borderId="0" xfId="0" applyNumberFormat="1" applyFont="1" applyFill="1"/>
    <xf numFmtId="166" fontId="0" fillId="0" borderId="0" xfId="0" applyNumberFormat="1"/>
    <xf numFmtId="43" fontId="0" fillId="9" borderId="0" xfId="4" applyFont="1" applyFill="1"/>
    <xf numFmtId="0" fontId="0" fillId="13" borderId="0" xfId="0" applyFill="1"/>
    <xf numFmtId="165" fontId="0" fillId="0" borderId="0" xfId="0" applyNumberFormat="1" applyFill="1"/>
    <xf numFmtId="166" fontId="5" fillId="0" borderId="0" xfId="4" applyNumberFormat="1" applyFont="1" applyFill="1"/>
    <xf numFmtId="166" fontId="5" fillId="9" borderId="0" xfId="4" applyNumberFormat="1" applyFont="1" applyFill="1"/>
    <xf numFmtId="166" fontId="0" fillId="0" borderId="0" xfId="4" applyNumberFormat="1" applyFont="1" applyFill="1"/>
    <xf numFmtId="166" fontId="0" fillId="2" borderId="0" xfId="4" applyNumberFormat="1" applyFont="1" applyFill="1"/>
    <xf numFmtId="0" fontId="2" fillId="8" borderId="8" xfId="0" applyFont="1" applyFill="1" applyBorder="1" applyAlignment="1">
      <alignment horizontal="center" vertical="center" wrapText="1"/>
    </xf>
    <xf numFmtId="44" fontId="5" fillId="9" borderId="0" xfId="0" applyNumberFormat="1" applyFont="1" applyFill="1"/>
    <xf numFmtId="0" fontId="0" fillId="0" borderId="0" xfId="0" applyAlignment="1">
      <alignment horizontal="left" indent="1"/>
    </xf>
    <xf numFmtId="0" fontId="2" fillId="4" borderId="0" xfId="0" applyFont="1" applyFill="1" applyAlignment="1">
      <alignment vertical="top" wrapText="1"/>
    </xf>
    <xf numFmtId="0" fontId="0" fillId="0" borderId="0" xfId="0" applyAlignment="1">
      <alignment horizontal="center"/>
    </xf>
    <xf numFmtId="0" fontId="0" fillId="6" borderId="0" xfId="0" applyFill="1"/>
    <xf numFmtId="166" fontId="0" fillId="0" borderId="0" xfId="4" applyNumberFormat="1" applyFont="1" applyFill="1" applyBorder="1"/>
    <xf numFmtId="166" fontId="0" fillId="0" borderId="8" xfId="4" applyNumberFormat="1" applyFont="1" applyFill="1" applyBorder="1"/>
    <xf numFmtId="9" fontId="0" fillId="0" borderId="0" xfId="0" applyNumberFormat="1" applyFill="1"/>
    <xf numFmtId="0" fontId="2" fillId="0" borderId="0" xfId="0" applyFont="1" applyFill="1" applyAlignment="1">
      <alignment horizontal="center"/>
    </xf>
    <xf numFmtId="0" fontId="2" fillId="0" borderId="0" xfId="0" applyFont="1" applyFill="1" applyAlignment="1">
      <alignment horizontal="center" vertical="center" wrapText="1"/>
    </xf>
    <xf numFmtId="0" fontId="16" fillId="0" borderId="0" xfId="0" applyFont="1"/>
    <xf numFmtId="0" fontId="5" fillId="0" borderId="0" xfId="0" applyFont="1" applyFill="1" applyAlignment="1">
      <alignment horizontal="center"/>
    </xf>
    <xf numFmtId="0" fontId="5" fillId="4" borderId="0" xfId="0" applyFont="1" applyFill="1" applyAlignment="1">
      <alignment horizontal="center"/>
    </xf>
    <xf numFmtId="43" fontId="5" fillId="4" borderId="0" xfId="4" applyFont="1" applyFill="1" applyAlignment="1">
      <alignment horizontal="center"/>
    </xf>
    <xf numFmtId="0" fontId="0" fillId="0" borderId="0" xfId="0" applyFill="1" applyAlignment="1"/>
    <xf numFmtId="0" fontId="0" fillId="15" borderId="0" xfId="0" applyFill="1" applyAlignment="1">
      <alignment horizontal="center"/>
    </xf>
    <xf numFmtId="0" fontId="2" fillId="7" borderId="0" xfId="0" applyFont="1" applyFill="1" applyAlignment="1">
      <alignment horizontal="left"/>
    </xf>
    <xf numFmtId="44" fontId="0" fillId="0" borderId="0" xfId="0" applyNumberFormat="1"/>
    <xf numFmtId="167" fontId="0" fillId="0" borderId="0" xfId="5" applyNumberFormat="1" applyFont="1"/>
    <xf numFmtId="0" fontId="0" fillId="10" borderId="0" xfId="0" applyFill="1" applyAlignment="1">
      <alignment horizontal="center"/>
    </xf>
    <xf numFmtId="0" fontId="0" fillId="4" borderId="0" xfId="0" applyFill="1" applyAlignment="1">
      <alignment horizontal="center"/>
    </xf>
    <xf numFmtId="43" fontId="0" fillId="9" borderId="0" xfId="4" applyFont="1" applyFill="1" applyAlignment="1">
      <alignment horizontal="center"/>
    </xf>
    <xf numFmtId="0" fontId="16" fillId="0" borderId="0" xfId="0" applyFont="1" applyAlignment="1">
      <alignment horizontal="left"/>
    </xf>
    <xf numFmtId="0" fontId="2" fillId="8" borderId="12" xfId="0" applyFont="1" applyFill="1" applyBorder="1" applyAlignment="1">
      <alignment horizontal="center" vertical="center" wrapText="1"/>
    </xf>
    <xf numFmtId="0" fontId="2" fillId="8" borderId="12" xfId="0" applyFont="1" applyFill="1" applyBorder="1" applyAlignment="1" applyProtection="1">
      <alignment horizontal="center" vertical="center"/>
      <protection locked="0"/>
    </xf>
    <xf numFmtId="9" fontId="0" fillId="3" borderId="12" xfId="5" applyFont="1" applyFill="1" applyBorder="1" applyAlignment="1">
      <alignment horizontal="center"/>
    </xf>
    <xf numFmtId="0" fontId="17" fillId="4" borderId="0" xfId="0" applyFont="1" applyFill="1" applyAlignment="1">
      <alignment vertical="top"/>
    </xf>
    <xf numFmtId="166" fontId="0" fillId="0" borderId="0" xfId="4" applyNumberFormat="1" applyFont="1" applyAlignment="1">
      <alignment horizontal="center"/>
    </xf>
    <xf numFmtId="0" fontId="2" fillId="12" borderId="0" xfId="0" applyFont="1" applyFill="1" applyBorder="1" applyAlignment="1">
      <alignment horizontal="left"/>
    </xf>
    <xf numFmtId="0" fontId="0" fillId="12" borderId="0" xfId="0" applyFill="1" applyBorder="1"/>
    <xf numFmtId="9" fontId="5" fillId="10" borderId="0" xfId="0" applyNumberFormat="1" applyFont="1" applyFill="1" applyBorder="1" applyAlignment="1">
      <alignment horizontal="center"/>
    </xf>
    <xf numFmtId="167" fontId="0" fillId="0" borderId="0" xfId="0" applyNumberFormat="1" applyFill="1"/>
    <xf numFmtId="0" fontId="0" fillId="0" borderId="0" xfId="0" applyNumberFormat="1" applyAlignment="1">
      <alignment horizontal="right"/>
    </xf>
    <xf numFmtId="0" fontId="0" fillId="0" borderId="0" xfId="0" applyFill="1" applyAlignment="1">
      <alignment horizontal="right"/>
    </xf>
    <xf numFmtId="0" fontId="0" fillId="2" borderId="0" xfId="0" applyFill="1" applyAlignment="1">
      <alignment horizontal="center"/>
    </xf>
    <xf numFmtId="167" fontId="0" fillId="0" borderId="0" xfId="0" applyNumberFormat="1"/>
    <xf numFmtId="169" fontId="0" fillId="0" borderId="0" xfId="0" applyNumberFormat="1"/>
    <xf numFmtId="169" fontId="5" fillId="0" borderId="0" xfId="0" applyNumberFormat="1" applyFont="1" applyFill="1" applyAlignment="1">
      <alignment horizontal="right"/>
    </xf>
    <xf numFmtId="43" fontId="0" fillId="0" borderId="0" xfId="4" applyNumberFormat="1" applyFont="1"/>
    <xf numFmtId="43" fontId="0" fillId="0" borderId="0" xfId="0" applyNumberFormat="1" applyFill="1"/>
    <xf numFmtId="0" fontId="2" fillId="12" borderId="0" xfId="0" applyFont="1" applyFill="1" applyAlignment="1">
      <alignment horizontal="left"/>
    </xf>
    <xf numFmtId="0" fontId="0" fillId="6" borderId="0" xfId="0" applyFill="1" applyAlignment="1"/>
    <xf numFmtId="165" fontId="0" fillId="11" borderId="10" xfId="2" applyNumberFormat="1" applyFont="1" applyFill="1" applyBorder="1" applyAlignment="1">
      <alignment horizontal="center"/>
    </xf>
    <xf numFmtId="166" fontId="0" fillId="11" borderId="5" xfId="4" applyNumberFormat="1" applyFont="1" applyFill="1" applyBorder="1" applyAlignment="1">
      <alignment horizontal="center"/>
    </xf>
    <xf numFmtId="0" fontId="3" fillId="0" borderId="0" xfId="0" applyFont="1" applyAlignment="1" applyProtection="1">
      <alignment horizontal="left"/>
      <protection locked="0"/>
    </xf>
    <xf numFmtId="0" fontId="16" fillId="0" borderId="0" xfId="0" applyFont="1" applyFill="1"/>
    <xf numFmtId="0" fontId="5" fillId="0" borderId="0" xfId="0" applyFont="1"/>
    <xf numFmtId="0" fontId="1" fillId="2" borderId="5" xfId="0" applyFont="1" applyFill="1" applyBorder="1"/>
    <xf numFmtId="0" fontId="5" fillId="0" borderId="0" xfId="0" applyFont="1" applyFill="1" applyAlignment="1">
      <alignment horizontal="left"/>
    </xf>
    <xf numFmtId="0" fontId="5" fillId="2" borderId="4" xfId="0" applyFont="1" applyFill="1" applyBorder="1"/>
    <xf numFmtId="0" fontId="0" fillId="0" borderId="0" xfId="0" applyFill="1" applyAlignment="1" applyProtection="1">
      <alignment horizontal="left" vertical="top" wrapText="1"/>
      <protection locked="0"/>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applyAlignment="1">
      <alignment horizontal="center"/>
    </xf>
    <xf numFmtId="0" fontId="0" fillId="2" borderId="4" xfId="0" applyFill="1" applyBorder="1"/>
    <xf numFmtId="166" fontId="0" fillId="2" borderId="5" xfId="4" applyNumberFormat="1" applyFont="1" applyFill="1" applyBorder="1" applyAlignment="1">
      <alignment horizontal="center"/>
    </xf>
    <xf numFmtId="166" fontId="0" fillId="2" borderId="11" xfId="4" applyNumberFormat="1" applyFont="1" applyFill="1" applyBorder="1" applyAlignment="1">
      <alignment horizontal="center"/>
    </xf>
    <xf numFmtId="43" fontId="0" fillId="0" borderId="0" xfId="4" applyFont="1" applyFill="1" applyAlignment="1">
      <alignment horizontal="center"/>
    </xf>
    <xf numFmtId="0" fontId="0" fillId="0" borderId="0" xfId="0" applyFill="1" applyAlignment="1">
      <alignment horizontal="left"/>
    </xf>
    <xf numFmtId="0" fontId="0" fillId="16" borderId="0" xfId="0" applyFill="1" applyAlignment="1">
      <alignment horizontal="center"/>
    </xf>
    <xf numFmtId="0" fontId="0" fillId="17" borderId="0" xfId="0" applyFill="1" applyAlignment="1">
      <alignment horizontal="center"/>
    </xf>
    <xf numFmtId="0" fontId="0" fillId="9" borderId="0" xfId="0" applyFill="1" applyAlignment="1" applyProtection="1">
      <alignment horizontal="center"/>
      <protection locked="0"/>
    </xf>
    <xf numFmtId="0" fontId="0" fillId="6" borderId="0" xfId="0" applyFill="1" applyAlignment="1" applyProtection="1">
      <alignment horizontal="center"/>
      <protection locked="0"/>
    </xf>
    <xf numFmtId="0" fontId="0" fillId="5" borderId="0" xfId="0" applyFill="1" applyAlignment="1" applyProtection="1">
      <alignment horizontal="center"/>
      <protection locked="0"/>
    </xf>
    <xf numFmtId="0" fontId="18" fillId="4" borderId="0" xfId="0" applyFont="1" applyFill="1" applyAlignment="1">
      <alignment horizontal="left"/>
    </xf>
    <xf numFmtId="0" fontId="14" fillId="0" borderId="0" xfId="0" applyFont="1"/>
    <xf numFmtId="165" fontId="0" fillId="6" borderId="0" xfId="0" applyNumberFormat="1" applyFill="1"/>
    <xf numFmtId="10" fontId="0" fillId="9" borderId="0" xfId="0" applyNumberFormat="1" applyFill="1"/>
    <xf numFmtId="0" fontId="5" fillId="2" borderId="0" xfId="0" applyFont="1" applyFill="1" applyAlignment="1">
      <alignment horizontal="right"/>
    </xf>
    <xf numFmtId="0" fontId="0" fillId="0" borderId="7" xfId="0" applyBorder="1"/>
    <xf numFmtId="0" fontId="0" fillId="2" borderId="0" xfId="0" applyFill="1" applyAlignment="1" applyProtection="1">
      <alignment vertical="top"/>
      <protection locked="0"/>
    </xf>
    <xf numFmtId="0" fontId="2" fillId="0" borderId="0" xfId="0" applyFont="1"/>
    <xf numFmtId="166" fontId="0" fillId="11" borderId="6" xfId="4" applyNumberFormat="1" applyFont="1" applyFill="1" applyBorder="1" applyAlignment="1">
      <alignment horizontal="center"/>
    </xf>
    <xf numFmtId="2" fontId="0" fillId="0" borderId="0" xfId="0" applyNumberFormat="1"/>
    <xf numFmtId="170" fontId="0" fillId="0" borderId="0" xfId="0" applyNumberFormat="1"/>
    <xf numFmtId="11" fontId="0" fillId="0" borderId="0" xfId="0" applyNumberFormat="1"/>
    <xf numFmtId="2" fontId="0" fillId="0" borderId="0" xfId="0" applyNumberFormat="1" applyBorder="1"/>
    <xf numFmtId="2" fontId="0" fillId="0" borderId="3" xfId="0" applyNumberFormat="1" applyBorder="1"/>
    <xf numFmtId="0" fontId="0" fillId="0" borderId="13" xfId="0" applyBorder="1"/>
    <xf numFmtId="0" fontId="0" fillId="0" borderId="0" xfId="0" applyFill="1" applyBorder="1"/>
    <xf numFmtId="171" fontId="0" fillId="0" borderId="0" xfId="0" applyNumberFormat="1"/>
    <xf numFmtId="172" fontId="0" fillId="0" borderId="0" xfId="0" applyNumberFormat="1"/>
    <xf numFmtId="172" fontId="0" fillId="0" borderId="0" xfId="0" applyNumberFormat="1" applyBorder="1"/>
    <xf numFmtId="11" fontId="0" fillId="0" borderId="0" xfId="0" applyNumberFormat="1" applyBorder="1"/>
    <xf numFmtId="11" fontId="0" fillId="0" borderId="13" xfId="0" applyNumberFormat="1" applyBorder="1"/>
    <xf numFmtId="2" fontId="0" fillId="0" borderId="0" xfId="0" applyNumberFormat="1" applyFill="1"/>
    <xf numFmtId="173" fontId="0" fillId="0" borderId="0" xfId="0" applyNumberFormat="1"/>
    <xf numFmtId="174" fontId="0" fillId="0" borderId="0" xfId="0" applyNumberFormat="1"/>
    <xf numFmtId="171" fontId="0" fillId="3" borderId="0" xfId="0" applyNumberFormat="1" applyFill="1"/>
    <xf numFmtId="176" fontId="0" fillId="0" borderId="0" xfId="0" applyNumberFormat="1"/>
    <xf numFmtId="170" fontId="0" fillId="0" borderId="0" xfId="0" applyNumberFormat="1" applyBorder="1"/>
    <xf numFmtId="170" fontId="0" fillId="0" borderId="0" xfId="0" applyNumberFormat="1" applyFill="1" applyBorder="1"/>
    <xf numFmtId="0" fontId="13" fillId="0" borderId="0" xfId="0" applyFont="1" applyAlignment="1">
      <alignment horizontal="left"/>
    </xf>
    <xf numFmtId="0" fontId="20" fillId="0" borderId="0" xfId="0" applyFont="1"/>
    <xf numFmtId="44" fontId="0" fillId="0" borderId="0" xfId="2" applyFont="1"/>
    <xf numFmtId="170" fontId="0" fillId="0" borderId="0" xfId="2" applyNumberFormat="1" applyFont="1"/>
    <xf numFmtId="44" fontId="0" fillId="0" borderId="0" xfId="2" applyFont="1" applyFill="1"/>
    <xf numFmtId="44" fontId="0" fillId="0" borderId="0" xfId="0" applyNumberFormat="1" applyFill="1"/>
    <xf numFmtId="0" fontId="13" fillId="0" borderId="0" xfId="0" applyFont="1"/>
    <xf numFmtId="0" fontId="2" fillId="18" borderId="0" xfId="0" applyFont="1" applyFill="1"/>
    <xf numFmtId="9" fontId="2" fillId="18" borderId="0" xfId="0" applyNumberFormat="1" applyFont="1" applyFill="1" applyAlignment="1">
      <alignment horizontal="center"/>
    </xf>
    <xf numFmtId="2" fontId="2" fillId="18" borderId="0" xfId="0" applyNumberFormat="1" applyFont="1" applyFill="1" applyAlignment="1">
      <alignment horizontal="center"/>
    </xf>
    <xf numFmtId="0" fontId="21" fillId="18" borderId="0" xfId="0" applyFont="1" applyFill="1"/>
    <xf numFmtId="20" fontId="21" fillId="18" borderId="0" xfId="0" applyNumberFormat="1" applyFont="1" applyFill="1"/>
    <xf numFmtId="0" fontId="0" fillId="0" borderId="15" xfId="0" applyBorder="1"/>
    <xf numFmtId="0" fontId="5" fillId="14" borderId="15" xfId="0" applyFont="1" applyFill="1" applyBorder="1" applyAlignment="1">
      <alignment horizontal="left"/>
    </xf>
    <xf numFmtId="0" fontId="2" fillId="0" borderId="15" xfId="0" applyFont="1" applyBorder="1"/>
    <xf numFmtId="0" fontId="5" fillId="0" borderId="15" xfId="0" applyFont="1" applyBorder="1"/>
    <xf numFmtId="171" fontId="0" fillId="0" borderId="16" xfId="0" applyNumberFormat="1" applyBorder="1"/>
    <xf numFmtId="0" fontId="5" fillId="20" borderId="0" xfId="0" applyFont="1" applyFill="1"/>
    <xf numFmtId="0" fontId="0" fillId="20" borderId="0" xfId="0" applyFill="1"/>
    <xf numFmtId="0" fontId="0" fillId="20" borderId="15" xfId="0" applyFill="1" applyBorder="1"/>
    <xf numFmtId="176" fontId="0" fillId="0" borderId="15" xfId="0" applyNumberFormat="1" applyBorder="1"/>
    <xf numFmtId="171" fontId="2" fillId="0" borderId="0" xfId="6" applyNumberFormat="1" applyFont="1" applyFill="1" applyBorder="1" applyAlignment="1">
      <alignment horizontal="center"/>
    </xf>
    <xf numFmtId="175" fontId="5" fillId="4" borderId="15" xfId="0" applyNumberFormat="1" applyFont="1" applyFill="1" applyBorder="1"/>
    <xf numFmtId="171" fontId="5" fillId="4" borderId="15" xfId="0" applyNumberFormat="1" applyFont="1" applyFill="1" applyBorder="1"/>
    <xf numFmtId="171" fontId="5" fillId="4" borderId="16" xfId="0" applyNumberFormat="1" applyFont="1" applyFill="1" applyBorder="1"/>
    <xf numFmtId="0" fontId="2" fillId="4" borderId="15" xfId="0" applyFont="1" applyFill="1" applyBorder="1"/>
    <xf numFmtId="178" fontId="0" fillId="0" borderId="0" xfId="0" applyNumberFormat="1"/>
    <xf numFmtId="173" fontId="5" fillId="0" borderId="15" xfId="0" applyNumberFormat="1" applyFont="1" applyBorder="1"/>
    <xf numFmtId="174" fontId="0" fillId="20" borderId="15" xfId="0" applyNumberFormat="1" applyFill="1" applyBorder="1"/>
    <xf numFmtId="179" fontId="0" fillId="20" borderId="15" xfId="0" applyNumberFormat="1" applyFill="1" applyBorder="1"/>
    <xf numFmtId="171" fontId="5" fillId="4" borderId="18" xfId="0" applyNumberFormat="1" applyFont="1" applyFill="1" applyBorder="1"/>
    <xf numFmtId="171" fontId="5" fillId="4" borderId="20" xfId="0" applyNumberFormat="1" applyFont="1" applyFill="1" applyBorder="1"/>
    <xf numFmtId="179" fontId="0" fillId="0" borderId="18" xfId="0" applyNumberFormat="1" applyBorder="1" applyAlignment="1">
      <alignment horizontal="right"/>
    </xf>
    <xf numFmtId="0" fontId="0" fillId="0" borderId="15" xfId="0" applyBorder="1" applyAlignment="1">
      <alignment horizontal="left"/>
    </xf>
    <xf numFmtId="175" fontId="5" fillId="0" borderId="15" xfId="0" applyNumberFormat="1" applyFont="1" applyBorder="1"/>
    <xf numFmtId="10" fontId="0" fillId="21" borderId="15" xfId="5" applyNumberFormat="1" applyFont="1" applyFill="1" applyBorder="1" applyAlignment="1">
      <alignment horizontal="right"/>
    </xf>
    <xf numFmtId="0" fontId="23" fillId="20" borderId="0" xfId="0" applyFont="1" applyFill="1"/>
    <xf numFmtId="0" fontId="5" fillId="0" borderId="15" xfId="0" applyFont="1" applyBorder="1" applyAlignment="1">
      <alignment horizontal="center"/>
    </xf>
    <xf numFmtId="0" fontId="0" fillId="0" borderId="17" xfId="0" applyBorder="1" applyAlignment="1">
      <alignment horizontal="center"/>
    </xf>
    <xf numFmtId="172" fontId="0" fillId="0" borderId="15" xfId="0" applyNumberFormat="1" applyBorder="1" applyAlignment="1">
      <alignment horizontal="center"/>
    </xf>
    <xf numFmtId="176" fontId="5" fillId="0" borderId="15" xfId="0" applyNumberFormat="1" applyFont="1" applyBorder="1"/>
    <xf numFmtId="0" fontId="0" fillId="20" borderId="0" xfId="0" applyFill="1" applyAlignment="1">
      <alignment horizontal="center"/>
    </xf>
    <xf numFmtId="0" fontId="2" fillId="4" borderId="15" xfId="0" applyFont="1" applyFill="1" applyBorder="1" applyAlignment="1">
      <alignment horizontal="center" vertical="center"/>
    </xf>
    <xf numFmtId="0" fontId="5" fillId="20" borderId="0" xfId="0" applyFont="1" applyFill="1" applyAlignment="1">
      <alignment horizontal="center"/>
    </xf>
    <xf numFmtId="0" fontId="23" fillId="20" borderId="0" xfId="0" applyFont="1" applyFill="1" applyAlignment="1">
      <alignment horizontal="center"/>
    </xf>
    <xf numFmtId="171" fontId="24" fillId="20" borderId="0" xfId="0" applyNumberFormat="1" applyFont="1" applyFill="1"/>
    <xf numFmtId="0" fontId="0" fillId="10" borderId="15" xfId="0" applyFill="1" applyBorder="1"/>
    <xf numFmtId="0" fontId="0" fillId="10" borderId="15" xfId="0" applyFill="1" applyBorder="1" applyAlignment="1">
      <alignment horizontal="center"/>
    </xf>
    <xf numFmtId="171" fontId="0" fillId="10" borderId="15" xfId="0" applyNumberFormat="1" applyFill="1" applyBorder="1" applyAlignment="1">
      <alignment horizontal="center"/>
    </xf>
    <xf numFmtId="0" fontId="0" fillId="10" borderId="15" xfId="0" applyFill="1" applyBorder="1" applyAlignment="1">
      <alignment horizontal="center" vertical="center"/>
    </xf>
    <xf numFmtId="0" fontId="0" fillId="10" borderId="15" xfId="0" applyFill="1" applyBorder="1" applyAlignment="1">
      <alignment horizontal="left"/>
    </xf>
    <xf numFmtId="0" fontId="13" fillId="20" borderId="0" xfId="0" applyFont="1" applyFill="1"/>
    <xf numFmtId="171" fontId="5" fillId="4" borderId="17" xfId="0" applyNumberFormat="1" applyFont="1" applyFill="1" applyBorder="1"/>
    <xf numFmtId="175" fontId="5" fillId="4" borderId="18" xfId="0" applyNumberFormat="1" applyFont="1" applyFill="1" applyBorder="1"/>
    <xf numFmtId="176" fontId="0" fillId="0" borderId="18" xfId="0" applyNumberFormat="1" applyBorder="1"/>
    <xf numFmtId="175" fontId="0" fillId="10" borderId="15" xfId="0" applyNumberFormat="1" applyFill="1" applyBorder="1" applyAlignment="1">
      <alignment horizontal="center"/>
    </xf>
    <xf numFmtId="177" fontId="0" fillId="0" borderId="0" xfId="0" applyNumberFormat="1"/>
    <xf numFmtId="182" fontId="0" fillId="0" borderId="0" xfId="0" applyNumberFormat="1"/>
    <xf numFmtId="0" fontId="1" fillId="20" borderId="0" xfId="0" applyFont="1" applyFill="1"/>
    <xf numFmtId="0" fontId="5" fillId="0" borderId="0" xfId="0" applyFont="1" applyFill="1" applyBorder="1"/>
    <xf numFmtId="2" fontId="2" fillId="7" borderId="15" xfId="0" applyNumberFormat="1" applyFont="1" applyFill="1" applyBorder="1" applyAlignment="1">
      <alignment horizontal="center"/>
    </xf>
    <xf numFmtId="171" fontId="2" fillId="7" borderId="15" xfId="0" applyNumberFormat="1" applyFont="1" applyFill="1" applyBorder="1" applyAlignment="1">
      <alignment horizontal="center"/>
    </xf>
    <xf numFmtId="2" fontId="5" fillId="0" borderId="15" xfId="0" applyNumberFormat="1" applyFont="1" applyBorder="1"/>
    <xf numFmtId="2" fontId="5" fillId="0" borderId="17" xfId="0" applyNumberFormat="1" applyFont="1" applyBorder="1"/>
    <xf numFmtId="174" fontId="5" fillId="0" borderId="15" xfId="0" applyNumberFormat="1" applyFont="1" applyBorder="1"/>
    <xf numFmtId="2" fontId="5" fillId="4" borderId="15" xfId="0" applyNumberFormat="1" applyFont="1" applyFill="1" applyBorder="1"/>
    <xf numFmtId="2" fontId="5" fillId="4" borderId="17" xfId="0" applyNumberFormat="1" applyFont="1" applyFill="1" applyBorder="1"/>
    <xf numFmtId="175" fontId="5" fillId="4" borderId="16" xfId="0" applyNumberFormat="1" applyFont="1" applyFill="1" applyBorder="1"/>
    <xf numFmtId="2" fontId="5" fillId="4" borderId="16" xfId="0" applyNumberFormat="1" applyFont="1" applyFill="1" applyBorder="1"/>
    <xf numFmtId="176" fontId="5" fillId="0" borderId="18" xfId="0" applyNumberFormat="1" applyFont="1" applyBorder="1"/>
    <xf numFmtId="175" fontId="0" fillId="0" borderId="0" xfId="0" applyNumberFormat="1"/>
    <xf numFmtId="9" fontId="2" fillId="18" borderId="15" xfId="0" applyNumberFormat="1" applyFont="1" applyFill="1" applyBorder="1" applyAlignment="1">
      <alignment horizontal="center"/>
    </xf>
    <xf numFmtId="174" fontId="0" fillId="0" borderId="18" xfId="0" applyNumberFormat="1" applyBorder="1"/>
    <xf numFmtId="171" fontId="5" fillId="0" borderId="15" xfId="0" applyNumberFormat="1" applyFont="1" applyBorder="1"/>
    <xf numFmtId="174" fontId="5" fillId="4" borderId="15" xfId="0" applyNumberFormat="1" applyFont="1" applyFill="1" applyBorder="1"/>
    <xf numFmtId="173" fontId="5" fillId="4" borderId="15" xfId="0" applyNumberFormat="1" applyFont="1" applyFill="1" applyBorder="1"/>
    <xf numFmtId="2" fontId="5" fillId="14" borderId="15" xfId="0" applyNumberFormat="1" applyFont="1" applyFill="1" applyBorder="1"/>
    <xf numFmtId="176" fontId="0" fillId="4" borderId="18" xfId="0" applyNumberFormat="1" applyFill="1" applyBorder="1"/>
    <xf numFmtId="179" fontId="0" fillId="4" borderId="18" xfId="0" applyNumberFormat="1" applyFill="1" applyBorder="1" applyAlignment="1">
      <alignment horizontal="right"/>
    </xf>
    <xf numFmtId="184" fontId="0" fillId="0" borderId="18" xfId="0" applyNumberFormat="1" applyBorder="1" applyAlignment="1">
      <alignment horizontal="right"/>
    </xf>
    <xf numFmtId="178" fontId="0" fillId="20" borderId="15" xfId="0" applyNumberFormat="1" applyFill="1" applyBorder="1"/>
    <xf numFmtId="0" fontId="5" fillId="0" borderId="0" xfId="0" applyFont="1" applyAlignment="1">
      <alignment horizontal="center"/>
    </xf>
    <xf numFmtId="2" fontId="2" fillId="12" borderId="15" xfId="0" applyNumberFormat="1" applyFont="1" applyFill="1" applyBorder="1" applyAlignment="1">
      <alignment horizontal="center"/>
    </xf>
    <xf numFmtId="0" fontId="5" fillId="21" borderId="0" xfId="0" applyFont="1" applyFill="1" applyAlignment="1">
      <alignment horizontal="center"/>
    </xf>
    <xf numFmtId="176" fontId="5" fillId="4" borderId="15" xfId="0" applyNumberFormat="1" applyFont="1" applyFill="1" applyBorder="1"/>
    <xf numFmtId="0" fontId="5" fillId="0" borderId="0" xfId="0" applyFont="1" applyFill="1" applyBorder="1" applyAlignment="1">
      <alignment horizontal="center"/>
    </xf>
    <xf numFmtId="10" fontId="0" fillId="0" borderId="0" xfId="0" applyNumberFormat="1"/>
    <xf numFmtId="0" fontId="2" fillId="0" borderId="0" xfId="0" applyFont="1" applyAlignment="1">
      <alignment horizontal="center"/>
    </xf>
    <xf numFmtId="0" fontId="2" fillId="0" borderId="0" xfId="0" applyFont="1" applyAlignment="1">
      <alignment horizontal="center" vertical="center"/>
    </xf>
    <xf numFmtId="10" fontId="0" fillId="0" borderId="0" xfId="5" applyNumberFormat="1" applyFont="1" applyAlignment="1">
      <alignment horizontal="right"/>
    </xf>
    <xf numFmtId="0" fontId="0" fillId="0" borderId="0" xfId="0" applyAlignment="1">
      <alignment horizontal="center" vertical="center"/>
    </xf>
    <xf numFmtId="0" fontId="0" fillId="0" borderId="15" xfId="0" applyBorder="1" applyAlignment="1">
      <alignment horizontal="center" vertical="center"/>
    </xf>
    <xf numFmtId="9" fontId="0" fillId="0" borderId="0" xfId="0" applyNumberFormat="1"/>
    <xf numFmtId="171" fontId="0" fillId="0" borderId="0" xfId="0" applyNumberFormat="1" applyAlignment="1">
      <alignment horizontal="center"/>
    </xf>
    <xf numFmtId="0" fontId="0" fillId="0" borderId="15" xfId="0" applyBorder="1" applyAlignment="1">
      <alignment horizontal="center"/>
    </xf>
    <xf numFmtId="174" fontId="0" fillId="4" borderId="15" xfId="0" applyNumberFormat="1" applyFill="1" applyBorder="1"/>
    <xf numFmtId="178" fontId="0" fillId="4" borderId="15" xfId="0" applyNumberFormat="1" applyFill="1" applyBorder="1"/>
    <xf numFmtId="174" fontId="5" fillId="4" borderId="17" xfId="0" applyNumberFormat="1" applyFont="1" applyFill="1" applyBorder="1"/>
    <xf numFmtId="171" fontId="5" fillId="14" borderId="15" xfId="0" applyNumberFormat="1" applyFont="1" applyFill="1" applyBorder="1"/>
    <xf numFmtId="176" fontId="25" fillId="20" borderId="0" xfId="0" applyNumberFormat="1" applyFont="1" applyFill="1"/>
    <xf numFmtId="171" fontId="0" fillId="20" borderId="15" xfId="0" applyNumberFormat="1" applyFill="1" applyBorder="1"/>
    <xf numFmtId="0" fontId="0" fillId="20" borderId="15" xfId="0" applyFill="1" applyBorder="1" applyAlignment="1">
      <alignment horizontal="center"/>
    </xf>
    <xf numFmtId="0" fontId="0" fillId="20" borderId="19" xfId="0" applyFill="1" applyBorder="1" applyAlignment="1">
      <alignment horizontal="center"/>
    </xf>
    <xf numFmtId="0" fontId="1" fillId="20" borderId="0" xfId="0" applyFont="1" applyFill="1" applyAlignment="1">
      <alignment horizontal="center"/>
    </xf>
    <xf numFmtId="9" fontId="1" fillId="20" borderId="0" xfId="0" applyNumberFormat="1" applyFont="1" applyFill="1" applyAlignment="1">
      <alignment horizontal="center"/>
    </xf>
    <xf numFmtId="43" fontId="0" fillId="0" borderId="0" xfId="0" applyNumberFormat="1" applyFill="1" applyBorder="1" applyAlignment="1"/>
    <xf numFmtId="0" fontId="0" fillId="0" borderId="0" xfId="0" applyFill="1" applyBorder="1" applyAlignment="1"/>
    <xf numFmtId="43" fontId="5" fillId="0" borderId="0" xfId="4" applyFont="1" applyFill="1"/>
    <xf numFmtId="43" fontId="5" fillId="0" borderId="0" xfId="4" applyFont="1" applyFill="1" applyAlignment="1">
      <alignment horizontal="center"/>
    </xf>
    <xf numFmtId="0" fontId="2" fillId="4" borderId="0" xfId="0" applyFont="1" applyFill="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23" xfId="0" applyBorder="1" applyAlignment="1">
      <alignment horizontal="center"/>
    </xf>
    <xf numFmtId="0" fontId="0" fillId="0" borderId="23" xfId="0" applyBorder="1"/>
    <xf numFmtId="0" fontId="0" fillId="22" borderId="0" xfId="0" applyFill="1" applyBorder="1" applyAlignment="1">
      <alignment horizontal="center"/>
    </xf>
    <xf numFmtId="43" fontId="0" fillId="0" borderId="0" xfId="0" applyNumberFormat="1" applyBorder="1"/>
    <xf numFmtId="43" fontId="0" fillId="0" borderId="0" xfId="0" applyNumberFormat="1" applyFill="1" applyBorder="1"/>
    <xf numFmtId="0" fontId="5" fillId="0" borderId="0" xfId="0" applyFont="1" applyBorder="1" applyAlignment="1">
      <alignment horizontal="center"/>
    </xf>
    <xf numFmtId="0" fontId="0" fillId="23" borderId="0" xfId="0" applyFill="1" applyBorder="1" applyAlignment="1">
      <alignment horizontal="center"/>
    </xf>
    <xf numFmtId="0" fontId="0" fillId="22" borderId="3" xfId="0" applyFill="1" applyBorder="1" applyAlignment="1">
      <alignment horizontal="center"/>
    </xf>
    <xf numFmtId="43" fontId="0" fillId="0" borderId="3" xfId="0" applyNumberFormat="1" applyFill="1" applyBorder="1"/>
    <xf numFmtId="0" fontId="0" fillId="6" borderId="23" xfId="0" applyFill="1" applyBorder="1" applyAlignment="1">
      <alignment horizontal="center"/>
    </xf>
    <xf numFmtId="9" fontId="0" fillId="0" borderId="23" xfId="5" applyFont="1" applyBorder="1" applyAlignment="1">
      <alignment horizontal="center"/>
    </xf>
    <xf numFmtId="43" fontId="0" fillId="0" borderId="23" xfId="0" applyNumberFormat="1" applyFill="1" applyBorder="1"/>
    <xf numFmtId="0" fontId="0" fillId="23" borderId="3" xfId="0" applyFill="1" applyBorder="1" applyAlignment="1">
      <alignment horizontal="center"/>
    </xf>
    <xf numFmtId="43" fontId="0" fillId="0" borderId="3" xfId="0" applyNumberFormat="1" applyBorder="1"/>
    <xf numFmtId="0" fontId="0" fillId="9" borderId="3" xfId="0" applyFill="1" applyBorder="1" applyAlignment="1">
      <alignment horizontal="center"/>
    </xf>
    <xf numFmtId="0" fontId="5" fillId="0" borderId="3" xfId="0" applyFont="1" applyBorder="1" applyAlignment="1">
      <alignment horizontal="center"/>
    </xf>
    <xf numFmtId="0" fontId="5" fillId="0" borderId="3" xfId="0" applyFont="1" applyFill="1" applyBorder="1" applyAlignment="1">
      <alignment horizontal="center"/>
    </xf>
    <xf numFmtId="178" fontId="5" fillId="4" borderId="17" xfId="0" applyNumberFormat="1" applyFont="1" applyFill="1" applyBorder="1"/>
    <xf numFmtId="1" fontId="0" fillId="20" borderId="15" xfId="0" applyNumberFormat="1" applyFill="1" applyBorder="1"/>
    <xf numFmtId="10" fontId="0" fillId="21" borderId="15" xfId="0" applyNumberFormat="1" applyFill="1" applyBorder="1"/>
    <xf numFmtId="0" fontId="26" fillId="18" borderId="0" xfId="0" applyFont="1" applyFill="1"/>
    <xf numFmtId="171" fontId="2" fillId="7" borderId="15" xfId="6" applyNumberFormat="1" applyFont="1" applyFill="1" applyBorder="1" applyAlignment="1">
      <alignment horizontal="center"/>
    </xf>
    <xf numFmtId="9" fontId="2" fillId="4" borderId="15" xfId="0" applyNumberFormat="1" applyFont="1" applyFill="1" applyBorder="1" applyAlignment="1">
      <alignment horizontal="center"/>
    </xf>
    <xf numFmtId="0" fontId="5" fillId="4" borderId="15" xfId="0" applyFont="1" applyFill="1" applyBorder="1"/>
    <xf numFmtId="0" fontId="26" fillId="4" borderId="15" xfId="0" applyFont="1" applyFill="1" applyBorder="1"/>
    <xf numFmtId="0" fontId="27" fillId="4" borderId="15" xfId="0" applyFont="1" applyFill="1" applyBorder="1"/>
    <xf numFmtId="0" fontId="21" fillId="4" borderId="15" xfId="0" applyFont="1" applyFill="1" applyBorder="1"/>
    <xf numFmtId="0" fontId="0" fillId="24" borderId="15" xfId="0" applyFill="1" applyBorder="1"/>
    <xf numFmtId="178" fontId="0" fillId="24" borderId="15" xfId="0" applyNumberFormat="1" applyFill="1" applyBorder="1"/>
    <xf numFmtId="0" fontId="2" fillId="18" borderId="15" xfId="0" applyFont="1" applyFill="1" applyBorder="1" applyAlignment="1">
      <alignment horizontal="center"/>
    </xf>
    <xf numFmtId="0" fontId="0" fillId="0" borderId="0" xfId="3" applyFont="1"/>
    <xf numFmtId="2" fontId="2" fillId="0" borderId="0" xfId="0" applyNumberFormat="1" applyFont="1"/>
    <xf numFmtId="173" fontId="0" fillId="24" borderId="15" xfId="0" applyNumberFormat="1" applyFill="1" applyBorder="1"/>
    <xf numFmtId="174" fontId="0" fillId="24" borderId="15" xfId="0" applyNumberFormat="1" applyFill="1" applyBorder="1"/>
    <xf numFmtId="176" fontId="0" fillId="24" borderId="15" xfId="0" applyNumberFormat="1" applyFill="1" applyBorder="1"/>
    <xf numFmtId="0" fontId="28" fillId="18" borderId="0" xfId="0" applyFont="1" applyFill="1"/>
    <xf numFmtId="0" fontId="28" fillId="4" borderId="15" xfId="0" applyFont="1" applyFill="1" applyBorder="1"/>
    <xf numFmtId="9" fontId="2" fillId="0" borderId="0" xfId="0" applyNumberFormat="1" applyFont="1" applyAlignment="1">
      <alignment horizontal="center"/>
    </xf>
    <xf numFmtId="179" fontId="0" fillId="20" borderId="0" xfId="0" applyNumberFormat="1" applyFill="1"/>
    <xf numFmtId="1" fontId="0" fillId="20" borderId="0" xfId="0" applyNumberFormat="1" applyFill="1"/>
    <xf numFmtId="0" fontId="0" fillId="20" borderId="0" xfId="0" quotePrefix="1" applyFill="1" applyAlignment="1">
      <alignment horizontal="center"/>
    </xf>
    <xf numFmtId="174" fontId="0" fillId="20" borderId="0" xfId="0" applyNumberFormat="1" applyFill="1"/>
    <xf numFmtId="176" fontId="0" fillId="20" borderId="0" xfId="0" applyNumberFormat="1" applyFill="1"/>
    <xf numFmtId="176" fontId="23" fillId="20" borderId="0" xfId="0" applyNumberFormat="1" applyFont="1" applyFill="1"/>
    <xf numFmtId="183" fontId="0" fillId="0" borderId="0" xfId="0" applyNumberFormat="1"/>
    <xf numFmtId="171" fontId="5" fillId="0" borderId="20" xfId="0" applyNumberFormat="1" applyFont="1" applyBorder="1"/>
    <xf numFmtId="171" fontId="5" fillId="0" borderId="18" xfId="0" applyNumberFormat="1" applyFont="1" applyBorder="1"/>
    <xf numFmtId="175" fontId="5" fillId="0" borderId="0" xfId="0" applyNumberFormat="1" applyFont="1"/>
    <xf numFmtId="174" fontId="0" fillId="0" borderId="15" xfId="0" applyNumberFormat="1" applyBorder="1"/>
    <xf numFmtId="20" fontId="21" fillId="0" borderId="0" xfId="0" applyNumberFormat="1" applyFont="1"/>
    <xf numFmtId="0" fontId="21" fillId="0" borderId="0" xfId="0" applyFont="1"/>
    <xf numFmtId="2" fontId="5" fillId="0" borderId="16" xfId="0" applyNumberFormat="1" applyFont="1" applyBorder="1"/>
    <xf numFmtId="171" fontId="0" fillId="0" borderId="0" xfId="0" applyNumberFormat="1" applyAlignment="1">
      <alignment horizontal="center" vertical="center"/>
    </xf>
    <xf numFmtId="172" fontId="0" fillId="0" borderId="0" xfId="0" applyNumberFormat="1" applyAlignment="1">
      <alignment horizontal="right"/>
    </xf>
    <xf numFmtId="180" fontId="0" fillId="0" borderId="15" xfId="0" applyNumberFormat="1" applyBorder="1"/>
    <xf numFmtId="171" fontId="2" fillId="7" borderId="16" xfId="0" applyNumberFormat="1" applyFont="1" applyFill="1" applyBorder="1" applyAlignment="1">
      <alignment horizontal="center"/>
    </xf>
    <xf numFmtId="9" fontId="2" fillId="7" borderId="3" xfId="0" applyNumberFormat="1" applyFont="1" applyFill="1" applyBorder="1" applyAlignment="1">
      <alignment horizontal="center"/>
    </xf>
    <xf numFmtId="9" fontId="2" fillId="7" borderId="13" xfId="0" applyNumberFormat="1" applyFont="1" applyFill="1" applyBorder="1" applyAlignment="1">
      <alignment horizontal="center"/>
    </xf>
    <xf numFmtId="2" fontId="2" fillId="18" borderId="15" xfId="0" applyNumberFormat="1" applyFont="1" applyFill="1" applyBorder="1" applyAlignment="1">
      <alignment horizontal="center"/>
    </xf>
    <xf numFmtId="171" fontId="0" fillId="4" borderId="15" xfId="0" applyNumberFormat="1" applyFill="1" applyBorder="1"/>
    <xf numFmtId="0" fontId="0" fillId="4" borderId="15" xfId="0" applyFill="1" applyBorder="1"/>
    <xf numFmtId="173" fontId="0" fillId="4" borderId="15" xfId="0" applyNumberFormat="1" applyFill="1" applyBorder="1"/>
    <xf numFmtId="173" fontId="0" fillId="0" borderId="15" xfId="0" applyNumberFormat="1" applyBorder="1"/>
    <xf numFmtId="176" fontId="0" fillId="4" borderId="15" xfId="0" applyNumberFormat="1" applyFill="1" applyBorder="1"/>
    <xf numFmtId="0" fontId="27" fillId="18" borderId="0" xfId="0" applyFont="1" applyFill="1"/>
    <xf numFmtId="174" fontId="0" fillId="14" borderId="18" xfId="0" applyNumberFormat="1" applyFill="1" applyBorder="1"/>
    <xf numFmtId="0" fontId="5" fillId="24" borderId="15" xfId="0" applyFont="1" applyFill="1" applyBorder="1"/>
    <xf numFmtId="175" fontId="5" fillId="14" borderId="15" xfId="0" applyNumberFormat="1" applyFont="1" applyFill="1" applyBorder="1"/>
    <xf numFmtId="0" fontId="2" fillId="18" borderId="17" xfId="0" applyFont="1" applyFill="1" applyBorder="1" applyAlignment="1">
      <alignment horizontal="center"/>
    </xf>
    <xf numFmtId="9" fontId="2" fillId="18" borderId="17" xfId="0" applyNumberFormat="1" applyFont="1" applyFill="1" applyBorder="1" applyAlignment="1">
      <alignment horizontal="center"/>
    </xf>
    <xf numFmtId="176" fontId="5" fillId="14" borderId="15" xfId="0" applyNumberFormat="1" applyFont="1" applyFill="1" applyBorder="1"/>
    <xf numFmtId="174" fontId="5" fillId="14" borderId="15" xfId="0" applyNumberFormat="1" applyFont="1" applyFill="1" applyBorder="1"/>
    <xf numFmtId="10" fontId="0" fillId="0" borderId="0" xfId="3" applyNumberFormat="1" applyFont="1"/>
    <xf numFmtId="0" fontId="0" fillId="0" borderId="0" xfId="0" quotePrefix="1"/>
    <xf numFmtId="171" fontId="0" fillId="20" borderId="0" xfId="0" applyNumberFormat="1" applyFill="1"/>
    <xf numFmtId="0" fontId="1" fillId="0" borderId="0" xfId="0" applyFont="1" applyAlignment="1">
      <alignment horizontal="center"/>
    </xf>
    <xf numFmtId="9" fontId="1" fillId="0" borderId="0" xfId="0" applyNumberFormat="1" applyFont="1" applyAlignment="1">
      <alignment horizontal="center"/>
    </xf>
    <xf numFmtId="0" fontId="5" fillId="0" borderId="15" xfId="0" applyFont="1" applyBorder="1" applyAlignment="1">
      <alignment horizontal="left"/>
    </xf>
    <xf numFmtId="0" fontId="2" fillId="4" borderId="0" xfId="0" applyFont="1" applyFill="1" applyBorder="1" applyAlignment="1">
      <alignment horizontal="center" vertical="center"/>
    </xf>
    <xf numFmtId="180" fontId="0" fillId="0" borderId="15" xfId="5" applyNumberFormat="1" applyFont="1" applyBorder="1"/>
    <xf numFmtId="181" fontId="0" fillId="0" borderId="15" xfId="5" applyNumberFormat="1" applyFont="1" applyBorder="1"/>
    <xf numFmtId="0" fontId="0" fillId="23" borderId="0" xfId="0" applyFill="1" applyAlignment="1">
      <alignment horizontal="center"/>
    </xf>
    <xf numFmtId="0" fontId="0" fillId="9" borderId="0" xfId="0" applyFill="1" applyAlignment="1">
      <alignment horizontal="center"/>
    </xf>
    <xf numFmtId="1" fontId="2" fillId="0" borderId="0" xfId="0" applyNumberFormat="1" applyFont="1" applyAlignment="1">
      <alignment horizontal="center"/>
    </xf>
    <xf numFmtId="0" fontId="0" fillId="0" borderId="15" xfId="0" applyFill="1" applyBorder="1" applyAlignment="1">
      <alignment horizontal="center"/>
    </xf>
    <xf numFmtId="178" fontId="5" fillId="0" borderId="15" xfId="0" applyNumberFormat="1" applyFont="1" applyBorder="1"/>
    <xf numFmtId="0" fontId="0" fillId="0" borderId="15" xfId="0" applyFill="1" applyBorder="1" applyAlignment="1">
      <alignment horizontal="center" vertical="center"/>
    </xf>
    <xf numFmtId="178" fontId="0" fillId="0" borderId="15" xfId="0" applyNumberFormat="1" applyFill="1" applyBorder="1" applyAlignment="1">
      <alignment horizontal="center"/>
    </xf>
    <xf numFmtId="0" fontId="5" fillId="0" borderId="15" xfId="0" applyFont="1" applyFill="1" applyBorder="1" applyAlignment="1">
      <alignment horizontal="center" vertical="center"/>
    </xf>
    <xf numFmtId="174" fontId="5" fillId="0" borderId="0" xfId="0" applyNumberFormat="1" applyFont="1" applyFill="1" applyAlignment="1">
      <alignment horizontal="center"/>
    </xf>
    <xf numFmtId="10" fontId="0" fillId="10" borderId="15" xfId="0" applyNumberFormat="1" applyFill="1" applyBorder="1"/>
    <xf numFmtId="10" fontId="0" fillId="10" borderId="15" xfId="5" applyNumberFormat="1" applyFont="1" applyFill="1" applyBorder="1"/>
    <xf numFmtId="179" fontId="5" fillId="0" borderId="0" xfId="0" applyNumberFormat="1" applyFont="1"/>
    <xf numFmtId="9" fontId="5" fillId="0" borderId="0" xfId="0" applyNumberFormat="1" applyFont="1" applyAlignment="1">
      <alignment horizontal="center"/>
    </xf>
    <xf numFmtId="0" fontId="5" fillId="0" borderId="0" xfId="0" applyFont="1" applyAlignment="1">
      <alignment horizontal="center" vertical="center"/>
    </xf>
    <xf numFmtId="174" fontId="5" fillId="0" borderId="0" xfId="0" applyNumberFormat="1" applyFont="1"/>
    <xf numFmtId="171" fontId="5" fillId="0" borderId="0" xfId="0" applyNumberFormat="1" applyFont="1"/>
    <xf numFmtId="178" fontId="5" fillId="0" borderId="0" xfId="0" applyNumberFormat="1" applyFont="1"/>
    <xf numFmtId="0" fontId="30" fillId="0" borderId="0" xfId="0" applyFont="1"/>
    <xf numFmtId="0" fontId="31" fillId="0" borderId="0" xfId="0" applyFont="1"/>
    <xf numFmtId="0" fontId="32" fillId="0" borderId="0" xfId="0" applyFont="1"/>
    <xf numFmtId="0" fontId="31" fillId="0" borderId="0" xfId="0" applyFont="1" applyFill="1" applyBorder="1"/>
    <xf numFmtId="0" fontId="0" fillId="6" borderId="15" xfId="0" applyFill="1" applyBorder="1"/>
    <xf numFmtId="0" fontId="0" fillId="6" borderId="15" xfId="0" applyFill="1" applyBorder="1" applyAlignment="1">
      <alignment horizontal="left"/>
    </xf>
    <xf numFmtId="179" fontId="0" fillId="20" borderId="0" xfId="0" quotePrefix="1" applyNumberFormat="1" applyFill="1" applyAlignment="1">
      <alignment horizontal="center"/>
    </xf>
    <xf numFmtId="10" fontId="31" fillId="0" borderId="0" xfId="0" applyNumberFormat="1" applyFont="1"/>
    <xf numFmtId="178" fontId="5" fillId="0" borderId="18" xfId="0" applyNumberFormat="1" applyFont="1" applyBorder="1"/>
    <xf numFmtId="0" fontId="33" fillId="18" borderId="0" xfId="0" applyFont="1" applyFill="1"/>
    <xf numFmtId="175" fontId="5" fillId="0" borderId="17" xfId="0" applyNumberFormat="1" applyFont="1" applyBorder="1"/>
    <xf numFmtId="176" fontId="5" fillId="0" borderId="17" xfId="0" applyNumberFormat="1" applyFont="1" applyBorder="1"/>
    <xf numFmtId="10" fontId="0" fillId="6" borderId="15" xfId="0" applyNumberFormat="1" applyFill="1" applyBorder="1"/>
    <xf numFmtId="0" fontId="26" fillId="0" borderId="0" xfId="0" applyFont="1" applyFill="1" applyBorder="1"/>
    <xf numFmtId="171" fontId="2" fillId="0" borderId="0" xfId="0" applyNumberFormat="1" applyFont="1" applyFill="1" applyBorder="1" applyAlignment="1">
      <alignment horizontal="center"/>
    </xf>
    <xf numFmtId="171" fontId="0" fillId="0" borderId="0" xfId="0" applyNumberFormat="1" applyFill="1" applyBorder="1"/>
    <xf numFmtId="175" fontId="2" fillId="7" borderId="0" xfId="0" applyNumberFormat="1" applyFont="1" applyFill="1" applyAlignment="1">
      <alignment horizontal="center"/>
    </xf>
    <xf numFmtId="0" fontId="0" fillId="20" borderId="17" xfId="0" applyFill="1" applyBorder="1"/>
    <xf numFmtId="0" fontId="0" fillId="20" borderId="0" xfId="0" applyFill="1" applyBorder="1"/>
    <xf numFmtId="0" fontId="5" fillId="20" borderId="0" xfId="0" applyFont="1" applyFill="1" applyBorder="1"/>
    <xf numFmtId="0" fontId="0" fillId="20" borderId="19" xfId="0" applyFill="1" applyBorder="1"/>
    <xf numFmtId="0" fontId="0" fillId="20" borderId="24" xfId="0" applyFill="1" applyBorder="1"/>
    <xf numFmtId="0" fontId="0" fillId="20" borderId="0" xfId="0" applyFill="1" applyBorder="1" applyAlignment="1">
      <alignment horizontal="center"/>
    </xf>
    <xf numFmtId="0" fontId="0" fillId="20" borderId="13" xfId="0" applyFill="1" applyBorder="1" applyAlignment="1">
      <alignment horizontal="center"/>
    </xf>
    <xf numFmtId="0" fontId="0" fillId="20" borderId="13" xfId="0" applyFill="1" applyBorder="1"/>
    <xf numFmtId="179" fontId="0" fillId="20" borderId="0" xfId="0" applyNumberFormat="1" applyFill="1" applyBorder="1"/>
    <xf numFmtId="43" fontId="34" fillId="0" borderId="0" xfId="0" applyNumberFormat="1" applyFont="1" applyFill="1" applyBorder="1"/>
    <xf numFmtId="0" fontId="0" fillId="5" borderId="15" xfId="0" applyFill="1" applyBorder="1" applyAlignment="1">
      <alignment horizontal="left"/>
    </xf>
    <xf numFmtId="0" fontId="0" fillId="6" borderId="22" xfId="0" applyFill="1" applyBorder="1" applyAlignment="1">
      <alignment horizontal="left"/>
    </xf>
    <xf numFmtId="171" fontId="5" fillId="0" borderId="18" xfId="0" applyNumberFormat="1" applyFont="1" applyFill="1" applyBorder="1"/>
    <xf numFmtId="174" fontId="5" fillId="24" borderId="15" xfId="0" applyNumberFormat="1" applyFont="1" applyFill="1" applyBorder="1"/>
    <xf numFmtId="182" fontId="5" fillId="0" borderId="15" xfId="0" applyNumberFormat="1" applyFont="1" applyBorder="1"/>
    <xf numFmtId="0" fontId="0" fillId="0" borderId="22" xfId="0" applyFill="1" applyBorder="1" applyAlignment="1">
      <alignment horizontal="left"/>
    </xf>
    <xf numFmtId="185" fontId="0" fillId="0" borderId="0" xfId="0" applyNumberFormat="1"/>
    <xf numFmtId="174" fontId="0" fillId="10" borderId="15" xfId="0" applyNumberFormat="1" applyFill="1" applyBorder="1" applyAlignment="1">
      <alignment horizontal="center"/>
    </xf>
    <xf numFmtId="0" fontId="0" fillId="0" borderId="15" xfId="4" applyNumberFormat="1" applyFont="1" applyBorder="1" applyAlignment="1">
      <alignment horizontal="center"/>
    </xf>
    <xf numFmtId="10" fontId="0" fillId="21" borderId="17" xfId="0" applyNumberFormat="1" applyFill="1" applyBorder="1"/>
    <xf numFmtId="10" fontId="0" fillId="21" borderId="0" xfId="5" applyNumberFormat="1" applyFont="1" applyFill="1"/>
    <xf numFmtId="10" fontId="0" fillId="5" borderId="17" xfId="0" applyNumberFormat="1" applyFill="1" applyBorder="1"/>
    <xf numFmtId="172" fontId="0" fillId="0" borderId="0" xfId="0" applyNumberFormat="1" applyFill="1" applyBorder="1" applyAlignment="1">
      <alignment horizontal="right"/>
    </xf>
    <xf numFmtId="0" fontId="0" fillId="0" borderId="0" xfId="0" applyFill="1" applyBorder="1" applyAlignment="1">
      <alignment horizontal="center" vertical="center"/>
    </xf>
    <xf numFmtId="10" fontId="0" fillId="0" borderId="0" xfId="0" applyNumberFormat="1" applyFill="1" applyBorder="1"/>
    <xf numFmtId="171" fontId="0" fillId="0" borderId="0" xfId="0" applyNumberFormat="1" applyFill="1" applyBorder="1" applyAlignment="1">
      <alignment horizontal="center"/>
    </xf>
    <xf numFmtId="178" fontId="0" fillId="0" borderId="0" xfId="0" applyNumberFormat="1" applyFill="1"/>
    <xf numFmtId="9" fontId="5" fillId="0" borderId="0" xfId="0" applyNumberFormat="1" applyFont="1" applyFill="1" applyAlignment="1">
      <alignment horizontal="center"/>
    </xf>
    <xf numFmtId="0" fontId="0" fillId="0" borderId="0" xfId="0" applyFill="1" applyAlignment="1">
      <alignment horizontal="center" wrapText="1"/>
    </xf>
    <xf numFmtId="1" fontId="0" fillId="0" borderId="0" xfId="0" applyNumberFormat="1" applyFill="1"/>
    <xf numFmtId="179" fontId="0" fillId="0" borderId="0" xfId="0" applyNumberFormat="1" applyFill="1"/>
    <xf numFmtId="10" fontId="0" fillId="5" borderId="15" xfId="5" applyNumberFormat="1" applyFont="1" applyFill="1" applyBorder="1"/>
    <xf numFmtId="10" fontId="0" fillId="15" borderId="15" xfId="5" applyNumberFormat="1" applyFont="1" applyFill="1" applyBorder="1"/>
    <xf numFmtId="168" fontId="0" fillId="15" borderId="15" xfId="5" applyNumberFormat="1" applyFont="1" applyFill="1" applyBorder="1" applyAlignment="1">
      <alignment horizontal="right"/>
    </xf>
    <xf numFmtId="168" fontId="0" fillId="15" borderId="15" xfId="5" applyNumberFormat="1" applyFont="1" applyFill="1" applyBorder="1"/>
    <xf numFmtId="168" fontId="0" fillId="15" borderId="15" xfId="0" applyNumberFormat="1" applyFill="1" applyBorder="1"/>
    <xf numFmtId="10" fontId="0" fillId="15" borderId="15" xfId="5" applyNumberFormat="1" applyFont="1" applyFill="1" applyBorder="1" applyAlignment="1">
      <alignment horizontal="right"/>
    </xf>
    <xf numFmtId="0" fontId="5" fillId="0" borderId="15" xfId="0" applyFont="1" applyFill="1" applyBorder="1"/>
    <xf numFmtId="0" fontId="0" fillId="21" borderId="15" xfId="0" applyFill="1" applyBorder="1" applyAlignment="1">
      <alignment horizontal="center"/>
    </xf>
    <xf numFmtId="0" fontId="14" fillId="0" borderId="0" xfId="0" applyFont="1" applyFill="1" applyBorder="1" applyAlignment="1">
      <alignment horizontal="center"/>
    </xf>
    <xf numFmtId="168" fontId="35" fillId="0" borderId="0" xfId="0" applyNumberFormat="1" applyFont="1" applyBorder="1" applyAlignment="1">
      <alignment horizontal="center"/>
    </xf>
    <xf numFmtId="10" fontId="35" fillId="0" borderId="0" xfId="0" applyNumberFormat="1" applyFont="1" applyBorder="1" applyAlignment="1">
      <alignment horizontal="center"/>
    </xf>
    <xf numFmtId="181" fontId="35" fillId="0" borderId="0" xfId="0" applyNumberFormat="1" applyFont="1" applyBorder="1" applyAlignment="1">
      <alignment horizontal="center"/>
    </xf>
    <xf numFmtId="168" fontId="36" fillId="0" borderId="0" xfId="0" applyNumberFormat="1" applyFont="1" applyFill="1" applyBorder="1" applyAlignment="1">
      <alignment horizontal="center"/>
    </xf>
    <xf numFmtId="10" fontId="36" fillId="0" borderId="0" xfId="0" applyNumberFormat="1" applyFont="1" applyFill="1" applyBorder="1" applyAlignment="1">
      <alignment horizontal="center"/>
    </xf>
    <xf numFmtId="10" fontId="36" fillId="0" borderId="0" xfId="0" applyNumberFormat="1" applyFont="1" applyFill="1" applyAlignment="1">
      <alignment horizontal="center"/>
    </xf>
    <xf numFmtId="180" fontId="24" fillId="0" borderId="0" xfId="5" applyNumberFormat="1" applyFont="1" applyBorder="1" applyAlignment="1">
      <alignment horizontal="center"/>
    </xf>
    <xf numFmtId="181" fontId="24" fillId="0" borderId="0" xfId="0" applyNumberFormat="1" applyFont="1" applyBorder="1" applyAlignment="1">
      <alignment horizontal="center"/>
    </xf>
    <xf numFmtId="181" fontId="24" fillId="0" borderId="3" xfId="0" applyNumberFormat="1" applyFont="1" applyBorder="1" applyAlignment="1">
      <alignment horizontal="center"/>
    </xf>
    <xf numFmtId="167" fontId="37" fillId="0" borderId="0" xfId="5" applyNumberFormat="1" applyFont="1" applyBorder="1" applyAlignment="1">
      <alignment horizontal="center"/>
    </xf>
    <xf numFmtId="10" fontId="37" fillId="0" borderId="0" xfId="5" applyNumberFormat="1" applyFont="1" applyBorder="1" applyAlignment="1">
      <alignment horizontal="center"/>
    </xf>
    <xf numFmtId="168" fontId="37" fillId="0" borderId="0" xfId="5" applyNumberFormat="1" applyFont="1" applyBorder="1" applyAlignment="1">
      <alignment horizontal="center"/>
    </xf>
    <xf numFmtId="168" fontId="37" fillId="0" borderId="3" xfId="5" applyNumberFormat="1" applyFont="1" applyBorder="1" applyAlignment="1">
      <alignment horizontal="center"/>
    </xf>
    <xf numFmtId="0" fontId="0" fillId="14" borderId="17" xfId="0" applyFont="1" applyFill="1" applyBorder="1"/>
    <xf numFmtId="0" fontId="5" fillId="0" borderId="0" xfId="1" applyFont="1"/>
    <xf numFmtId="0" fontId="13" fillId="22" borderId="19" xfId="0" applyFont="1" applyFill="1" applyBorder="1" applyAlignment="1">
      <alignment horizontal="center"/>
    </xf>
    <xf numFmtId="0" fontId="0" fillId="22" borderId="16" xfId="0" applyFont="1" applyFill="1" applyBorder="1" applyAlignment="1">
      <alignment horizontal="center"/>
    </xf>
    <xf numFmtId="43" fontId="5" fillId="0" borderId="0" xfId="4" applyFont="1" applyFill="1" applyBorder="1"/>
    <xf numFmtId="43" fontId="5" fillId="0" borderId="3" xfId="4" applyFont="1" applyFill="1" applyBorder="1"/>
    <xf numFmtId="176" fontId="0" fillId="0" borderId="0" xfId="0" applyNumberFormat="1" applyBorder="1" applyAlignment="1">
      <alignment horizontal="center"/>
    </xf>
    <xf numFmtId="0" fontId="0" fillId="0" borderId="17" xfId="0" applyFont="1" applyFill="1" applyBorder="1"/>
    <xf numFmtId="0" fontId="0" fillId="14" borderId="15" xfId="0" applyFill="1" applyBorder="1"/>
    <xf numFmtId="10" fontId="0" fillId="0" borderId="15" xfId="5" applyNumberFormat="1" applyFont="1" applyFill="1" applyBorder="1" applyAlignment="1">
      <alignment horizontal="right"/>
    </xf>
    <xf numFmtId="168" fontId="0" fillId="0" borderId="15" xfId="5" applyNumberFormat="1" applyFont="1" applyFill="1" applyBorder="1" applyAlignment="1">
      <alignment horizontal="right"/>
    </xf>
    <xf numFmtId="168" fontId="0" fillId="0" borderId="15" xfId="0" applyNumberFormat="1" applyFill="1" applyBorder="1"/>
    <xf numFmtId="168" fontId="0" fillId="0" borderId="15" xfId="5" applyNumberFormat="1" applyFont="1" applyFill="1" applyBorder="1"/>
    <xf numFmtId="10" fontId="0" fillId="0" borderId="15" xfId="5" applyNumberFormat="1" applyFont="1" applyFill="1" applyBorder="1"/>
    <xf numFmtId="186" fontId="0" fillId="0" borderId="0" xfId="5" applyNumberFormat="1" applyFont="1" applyFill="1"/>
    <xf numFmtId="0" fontId="0" fillId="0" borderId="24" xfId="0" applyFill="1" applyBorder="1"/>
    <xf numFmtId="0" fontId="0" fillId="0" borderId="13" xfId="0" applyFill="1" applyBorder="1"/>
    <xf numFmtId="0" fontId="0" fillId="0" borderId="25" xfId="0" applyFill="1" applyBorder="1"/>
    <xf numFmtId="0" fontId="0" fillId="0" borderId="21" xfId="0" applyFill="1" applyBorder="1"/>
    <xf numFmtId="0" fontId="0" fillId="0" borderId="12" xfId="0" applyFill="1" applyBorder="1"/>
    <xf numFmtId="0" fontId="0" fillId="0" borderId="26" xfId="0" applyFill="1" applyBorder="1"/>
    <xf numFmtId="0" fontId="0" fillId="0" borderId="3" xfId="0" applyFill="1" applyBorder="1"/>
    <xf numFmtId="0" fontId="0" fillId="0" borderId="20" xfId="0" applyFill="1" applyBorder="1"/>
    <xf numFmtId="0" fontId="22" fillId="4" borderId="0" xfId="0" applyFont="1" applyFill="1"/>
    <xf numFmtId="0" fontId="0" fillId="0" borderId="19" xfId="0" applyBorder="1" applyAlignment="1">
      <alignment horizontal="center" vertical="center"/>
    </xf>
    <xf numFmtId="0" fontId="0" fillId="0" borderId="13" xfId="0" applyFill="1" applyBorder="1" applyAlignment="1">
      <alignment horizontal="center"/>
    </xf>
    <xf numFmtId="0" fontId="0" fillId="0" borderId="12" xfId="4" applyNumberFormat="1" applyFont="1" applyFill="1" applyBorder="1"/>
    <xf numFmtId="171" fontId="0" fillId="0" borderId="0" xfId="0" applyNumberFormat="1" applyFill="1" applyBorder="1" applyAlignment="1">
      <alignment horizontal="center" vertical="center"/>
    </xf>
    <xf numFmtId="0" fontId="0" fillId="0" borderId="20" xfId="0" applyBorder="1"/>
    <xf numFmtId="0" fontId="0" fillId="0" borderId="3" xfId="0" applyFill="1" applyBorder="1" applyAlignment="1">
      <alignment horizontal="center" vertical="center"/>
    </xf>
    <xf numFmtId="174" fontId="0" fillId="0" borderId="3" xfId="0" applyNumberFormat="1" applyFill="1" applyBorder="1"/>
    <xf numFmtId="187" fontId="0" fillId="15" borderId="19" xfId="5" applyNumberFormat="1" applyFont="1" applyFill="1" applyBorder="1"/>
    <xf numFmtId="187" fontId="0" fillId="0" borderId="13" xfId="5" applyNumberFormat="1" applyFont="1" applyFill="1" applyBorder="1"/>
    <xf numFmtId="0" fontId="0" fillId="9" borderId="0" xfId="0" applyFill="1" applyBorder="1" applyAlignment="1">
      <alignment horizontal="center"/>
    </xf>
    <xf numFmtId="0" fontId="0" fillId="15" borderId="0" xfId="0" applyFill="1" applyBorder="1" applyAlignment="1">
      <alignment horizontal="center"/>
    </xf>
    <xf numFmtId="181" fontId="35" fillId="0" borderId="3" xfId="0" applyNumberFormat="1" applyFont="1" applyBorder="1" applyAlignment="1">
      <alignment horizontal="center"/>
    </xf>
    <xf numFmtId="171" fontId="0" fillId="0" borderId="3" xfId="0" applyNumberFormat="1" applyBorder="1" applyAlignment="1">
      <alignment horizontal="center"/>
    </xf>
    <xf numFmtId="43" fontId="5" fillId="0" borderId="0" xfId="0" applyNumberFormat="1" applyFont="1" applyFill="1" applyBorder="1"/>
    <xf numFmtId="43" fontId="5" fillId="0" borderId="0" xfId="0" applyNumberFormat="1" applyFont="1"/>
    <xf numFmtId="186" fontId="0" fillId="0" borderId="0" xfId="0" applyNumberFormat="1"/>
    <xf numFmtId="180" fontId="35" fillId="0" borderId="0" xfId="0" applyNumberFormat="1" applyFont="1" applyBorder="1" applyAlignment="1">
      <alignment horizontal="center"/>
    </xf>
    <xf numFmtId="187" fontId="0" fillId="0" borderId="0" xfId="5" applyNumberFormat="1" applyFont="1" applyFill="1" applyBorder="1"/>
    <xf numFmtId="0" fontId="0" fillId="0" borderId="17" xfId="0" applyBorder="1"/>
    <xf numFmtId="171" fontId="5" fillId="3" borderId="0" xfId="0" applyNumberFormat="1" applyFont="1" applyFill="1"/>
    <xf numFmtId="0" fontId="38" fillId="0" borderId="0" xfId="0" applyFont="1"/>
    <xf numFmtId="44" fontId="0" fillId="0" borderId="15" xfId="2" applyFont="1" applyFill="1" applyBorder="1"/>
    <xf numFmtId="44" fontId="0" fillId="0" borderId="15" xfId="2" applyNumberFormat="1" applyFont="1" applyFill="1" applyBorder="1"/>
    <xf numFmtId="44" fontId="0" fillId="0" borderId="15" xfId="0" applyNumberFormat="1" applyFill="1" applyBorder="1"/>
    <xf numFmtId="0" fontId="2" fillId="7" borderId="15" xfId="0" applyFont="1" applyFill="1" applyBorder="1"/>
    <xf numFmtId="0" fontId="0" fillId="14" borderId="15" xfId="0" applyFont="1" applyFill="1" applyBorder="1"/>
    <xf numFmtId="179" fontId="5" fillId="0" borderId="15" xfId="0" applyNumberFormat="1" applyFont="1" applyBorder="1"/>
    <xf numFmtId="178" fontId="0" fillId="0" borderId="15" xfId="0" applyNumberFormat="1" applyBorder="1"/>
    <xf numFmtId="176" fontId="5" fillId="4" borderId="18" xfId="0" applyNumberFormat="1" applyFont="1" applyFill="1" applyBorder="1"/>
    <xf numFmtId="175" fontId="5" fillId="0" borderId="18" xfId="0" applyNumberFormat="1" applyFont="1" applyBorder="1"/>
    <xf numFmtId="179" fontId="0" fillId="0" borderId="15" xfId="0" applyNumberFormat="1" applyBorder="1"/>
    <xf numFmtId="184" fontId="0" fillId="0" borderId="15" xfId="0" applyNumberFormat="1" applyBorder="1"/>
    <xf numFmtId="178" fontId="5" fillId="0" borderId="17" xfId="0" applyNumberFormat="1" applyFont="1" applyBorder="1"/>
    <xf numFmtId="0" fontId="2" fillId="25" borderId="21" xfId="0" applyFont="1" applyFill="1" applyBorder="1" applyAlignment="1">
      <alignment horizontal="center"/>
    </xf>
    <xf numFmtId="168" fontId="2" fillId="25" borderId="12" xfId="5" applyNumberFormat="1" applyFont="1" applyFill="1" applyBorder="1" applyAlignment="1">
      <alignment horizontal="center"/>
    </xf>
    <xf numFmtId="0" fontId="2" fillId="25" borderId="26" xfId="0" applyFont="1" applyFill="1" applyBorder="1" applyAlignment="1">
      <alignment horizontal="center"/>
    </xf>
    <xf numFmtId="0" fontId="2" fillId="25" borderId="21" xfId="0" applyFont="1" applyFill="1" applyBorder="1" applyAlignment="1">
      <alignment horizontal="center" vertical="center"/>
    </xf>
    <xf numFmtId="168" fontId="2" fillId="25" borderId="12" xfId="5" applyNumberFormat="1" applyFont="1" applyFill="1" applyBorder="1" applyAlignment="1">
      <alignment horizontal="center" vertical="center"/>
    </xf>
    <xf numFmtId="0" fontId="2" fillId="25" borderId="26" xfId="0" applyFont="1" applyFill="1" applyBorder="1" applyAlignment="1">
      <alignment horizontal="center" vertical="center"/>
    </xf>
    <xf numFmtId="168" fontId="2" fillId="25" borderId="20" xfId="5" applyNumberFormat="1" applyFont="1" applyFill="1" applyBorder="1" applyAlignment="1">
      <alignment horizontal="center" vertical="center"/>
    </xf>
    <xf numFmtId="0" fontId="2" fillId="25" borderId="0" xfId="0" applyFont="1" applyFill="1" applyBorder="1" applyAlignment="1">
      <alignment horizontal="center"/>
    </xf>
    <xf numFmtId="10" fontId="2" fillId="25" borderId="12" xfId="0" applyNumberFormat="1" applyFont="1" applyFill="1" applyBorder="1" applyAlignment="1">
      <alignment horizontal="center"/>
    </xf>
    <xf numFmtId="168" fontId="2" fillId="25" borderId="12" xfId="0" applyNumberFormat="1" applyFont="1" applyFill="1" applyBorder="1" applyAlignment="1">
      <alignment horizontal="center"/>
    </xf>
    <xf numFmtId="10" fontId="2" fillId="25" borderId="0" xfId="0" applyNumberFormat="1" applyFont="1" applyFill="1" applyAlignment="1">
      <alignment horizontal="center"/>
    </xf>
    <xf numFmtId="9" fontId="2" fillId="25" borderId="20" xfId="0" applyNumberFormat="1" applyFont="1" applyFill="1" applyBorder="1" applyAlignment="1">
      <alignment horizontal="center"/>
    </xf>
    <xf numFmtId="10" fontId="2" fillId="25" borderId="20" xfId="0" applyNumberFormat="1" applyFont="1" applyFill="1" applyBorder="1" applyAlignment="1">
      <alignment horizontal="center"/>
    </xf>
    <xf numFmtId="0" fontId="2" fillId="25" borderId="7" xfId="0" applyFont="1" applyFill="1" applyBorder="1" applyAlignment="1">
      <alignment horizontal="center"/>
    </xf>
    <xf numFmtId="0" fontId="2" fillId="25" borderId="8" xfId="0" applyFont="1" applyFill="1" applyBorder="1" applyAlignment="1">
      <alignment horizontal="center"/>
    </xf>
    <xf numFmtId="174" fontId="2" fillId="25" borderId="8" xfId="0" applyNumberFormat="1" applyFont="1" applyFill="1" applyBorder="1" applyAlignment="1">
      <alignment horizontal="center"/>
    </xf>
    <xf numFmtId="0" fontId="2" fillId="25" borderId="27" xfId="0" applyFont="1" applyFill="1" applyBorder="1" applyAlignment="1">
      <alignment horizontal="center"/>
    </xf>
    <xf numFmtId="0" fontId="2" fillId="25" borderId="28" xfId="0" applyFont="1" applyFill="1" applyBorder="1" applyAlignment="1">
      <alignment horizontal="center"/>
    </xf>
    <xf numFmtId="168" fontId="0" fillId="21" borderId="15" xfId="5" applyNumberFormat="1" applyFont="1" applyFill="1" applyBorder="1"/>
    <xf numFmtId="0" fontId="0" fillId="0" borderId="0" xfId="0" applyAlignment="1">
      <alignment horizontal="center"/>
    </xf>
    <xf numFmtId="168" fontId="0" fillId="0" borderId="15" xfId="0" applyNumberFormat="1" applyBorder="1" applyAlignment="1">
      <alignment horizontal="center"/>
    </xf>
    <xf numFmtId="6" fontId="0" fillId="0" borderId="15" xfId="0" applyNumberFormat="1" applyBorder="1" applyAlignment="1">
      <alignment horizontal="center"/>
    </xf>
    <xf numFmtId="10" fontId="0" fillId="0" borderId="0" xfId="0" applyNumberFormat="1" applyAlignment="1">
      <alignment horizontal="center"/>
    </xf>
    <xf numFmtId="168" fontId="0" fillId="0" borderId="19" xfId="0" applyNumberFormat="1" applyBorder="1" applyAlignment="1">
      <alignment horizontal="center"/>
    </xf>
    <xf numFmtId="6" fontId="0" fillId="0" borderId="19" xfId="0" applyNumberFormat="1" applyBorder="1" applyAlignment="1">
      <alignment horizontal="center"/>
    </xf>
    <xf numFmtId="10" fontId="0" fillId="0" borderId="0" xfId="0" applyNumberFormat="1" applyBorder="1" applyAlignment="1">
      <alignment horizontal="center"/>
    </xf>
    <xf numFmtId="10" fontId="0" fillId="0" borderId="13" xfId="0" applyNumberFormat="1" applyBorder="1" applyAlignment="1">
      <alignment horizontal="center"/>
    </xf>
    <xf numFmtId="0" fontId="0" fillId="0" borderId="13" xfId="0" applyBorder="1" applyAlignment="1">
      <alignment horizontal="center"/>
    </xf>
    <xf numFmtId="0" fontId="0" fillId="0" borderId="0" xfId="0" applyFont="1" applyFill="1" applyAlignment="1"/>
    <xf numFmtId="0" fontId="0" fillId="0" borderId="0" xfId="0" applyNumberFormat="1" applyBorder="1" applyAlignment="1">
      <alignment horizontal="center"/>
    </xf>
    <xf numFmtId="0" fontId="13" fillId="0" borderId="17" xfId="0" applyFont="1" applyBorder="1"/>
    <xf numFmtId="0" fontId="2" fillId="4" borderId="0" xfId="0" applyFont="1" applyFill="1" applyAlignment="1"/>
    <xf numFmtId="0" fontId="0" fillId="0" borderId="0" xfId="0" applyAlignment="1"/>
    <xf numFmtId="188" fontId="0" fillId="0" borderId="0" xfId="0" applyNumberFormat="1"/>
    <xf numFmtId="0" fontId="14" fillId="21" borderId="15" xfId="0" applyFont="1" applyFill="1" applyBorder="1" applyAlignment="1">
      <alignment horizontal="center"/>
    </xf>
    <xf numFmtId="0" fontId="1" fillId="0" borderId="0" xfId="0" applyFont="1" applyFill="1" applyAlignment="1">
      <alignment horizontal="center"/>
    </xf>
    <xf numFmtId="0" fontId="0" fillId="26" borderId="24" xfId="0" applyFill="1" applyBorder="1"/>
    <xf numFmtId="0" fontId="0" fillId="26" borderId="25" xfId="0" applyFill="1" applyBorder="1"/>
    <xf numFmtId="0" fontId="0" fillId="26" borderId="21" xfId="0" applyFill="1" applyBorder="1"/>
    <xf numFmtId="0" fontId="0" fillId="26" borderId="12" xfId="0" applyFill="1" applyBorder="1"/>
    <xf numFmtId="0" fontId="2" fillId="28" borderId="15" xfId="0" applyFont="1" applyFill="1" applyBorder="1"/>
    <xf numFmtId="0" fontId="2" fillId="28" borderId="15" xfId="0" applyFont="1" applyFill="1" applyBorder="1" applyAlignment="1">
      <alignment horizontal="center"/>
    </xf>
    <xf numFmtId="0" fontId="0" fillId="29" borderId="15" xfId="0" applyFill="1" applyBorder="1"/>
    <xf numFmtId="189" fontId="0" fillId="0" borderId="15" xfId="0" applyNumberFormat="1" applyBorder="1"/>
    <xf numFmtId="189" fontId="0" fillId="29" borderId="15" xfId="0" applyNumberFormat="1" applyFill="1" applyBorder="1"/>
    <xf numFmtId="6" fontId="0" fillId="29" borderId="15" xfId="0" applyNumberFormat="1" applyFill="1" applyBorder="1" applyAlignment="1">
      <alignment horizontal="center"/>
    </xf>
    <xf numFmtId="189" fontId="0" fillId="0" borderId="0" xfId="0" applyNumberFormat="1" applyFill="1" applyBorder="1"/>
    <xf numFmtId="0" fontId="42" fillId="0" borderId="15" xfId="0" applyFont="1" applyBorder="1" applyAlignment="1">
      <alignment horizontal="center"/>
    </xf>
    <xf numFmtId="0" fontId="0" fillId="0" borderId="22" xfId="0" applyBorder="1" applyAlignment="1">
      <alignment horizontal="center"/>
    </xf>
    <xf numFmtId="0" fontId="2" fillId="4" borderId="12" xfId="0" applyFont="1" applyFill="1" applyBorder="1" applyAlignment="1">
      <alignment horizontal="center"/>
    </xf>
    <xf numFmtId="175" fontId="0" fillId="0" borderId="15" xfId="0" applyNumberFormat="1" applyBorder="1" applyAlignment="1">
      <alignment horizontal="center"/>
    </xf>
    <xf numFmtId="0" fontId="0" fillId="26" borderId="26" xfId="0" applyFill="1" applyBorder="1"/>
    <xf numFmtId="0" fontId="0" fillId="26" borderId="20" xfId="0" applyFill="1" applyBorder="1"/>
    <xf numFmtId="190" fontId="0" fillId="0" borderId="15" xfId="0" applyNumberFormat="1" applyBorder="1" applyAlignment="1">
      <alignment horizontal="center"/>
    </xf>
    <xf numFmtId="0" fontId="13" fillId="0" borderId="15" xfId="0" applyFont="1" applyBorder="1" applyAlignment="1">
      <alignment horizontal="center"/>
    </xf>
    <xf numFmtId="189" fontId="0" fillId="0" borderId="15" xfId="0" applyNumberFormat="1" applyBorder="1" applyAlignment="1">
      <alignment horizontal="center"/>
    </xf>
    <xf numFmtId="0" fontId="2" fillId="28" borderId="12" xfId="0" applyFont="1" applyFill="1" applyBorder="1" applyAlignment="1">
      <alignment horizontal="center"/>
    </xf>
    <xf numFmtId="189" fontId="0" fillId="0" borderId="15" xfId="2" applyNumberFormat="1" applyFont="1" applyBorder="1" applyAlignment="1">
      <alignment horizontal="center"/>
    </xf>
    <xf numFmtId="189" fontId="0" fillId="29" borderId="15" xfId="0" applyNumberFormat="1" applyFill="1" applyBorder="1" applyAlignment="1">
      <alignment horizontal="center"/>
    </xf>
    <xf numFmtId="0" fontId="0" fillId="29" borderId="15" xfId="0" applyFill="1" applyBorder="1" applyAlignment="1">
      <alignment horizontal="center"/>
    </xf>
    <xf numFmtId="0" fontId="0" fillId="0" borderId="18" xfId="2" applyNumberFormat="1" applyFont="1" applyBorder="1" applyAlignment="1">
      <alignment horizontal="center"/>
    </xf>
    <xf numFmtId="0" fontId="0" fillId="29" borderId="18" xfId="2" applyNumberFormat="1" applyFont="1" applyFill="1" applyBorder="1" applyAlignment="1">
      <alignment horizontal="center"/>
    </xf>
    <xf numFmtId="0" fontId="2" fillId="28" borderId="0" xfId="0" applyFont="1" applyFill="1" applyAlignment="1">
      <alignment horizontal="center"/>
    </xf>
    <xf numFmtId="189" fontId="0" fillId="29" borderId="15" xfId="2" applyNumberFormat="1" applyFont="1" applyFill="1" applyBorder="1" applyAlignment="1">
      <alignment horizontal="center"/>
    </xf>
    <xf numFmtId="0" fontId="2" fillId="28" borderId="16" xfId="0" applyFont="1" applyFill="1" applyBorder="1"/>
    <xf numFmtId="0" fontId="2" fillId="28" borderId="16" xfId="0" applyFont="1" applyFill="1" applyBorder="1" applyAlignment="1">
      <alignment horizontal="center"/>
    </xf>
    <xf numFmtId="0" fontId="0" fillId="0" borderId="15" xfId="0" applyNumberFormat="1" applyBorder="1" applyAlignment="1">
      <alignment horizontal="center"/>
    </xf>
    <xf numFmtId="0" fontId="0" fillId="29" borderId="15" xfId="0" applyNumberFormat="1" applyFill="1" applyBorder="1" applyAlignment="1">
      <alignment horizontal="center"/>
    </xf>
    <xf numFmtId="190" fontId="0" fillId="29" borderId="15" xfId="0" applyNumberFormat="1" applyFill="1" applyBorder="1" applyAlignment="1">
      <alignment horizontal="center"/>
    </xf>
    <xf numFmtId="0" fontId="2" fillId="4" borderId="15" xfId="0" applyFont="1" applyFill="1" applyBorder="1" applyAlignment="1">
      <alignment horizontal="center"/>
    </xf>
    <xf numFmtId="0" fontId="43" fillId="0" borderId="0" xfId="0" applyFont="1"/>
    <xf numFmtId="0" fontId="0" fillId="29" borderId="0" xfId="0" applyFill="1" applyAlignment="1">
      <alignment horizontal="left"/>
    </xf>
    <xf numFmtId="167" fontId="0" fillId="29" borderId="0" xfId="0" applyNumberFormat="1" applyFill="1"/>
    <xf numFmtId="0" fontId="0" fillId="29" borderId="0" xfId="0" applyFill="1"/>
    <xf numFmtId="165" fontId="0" fillId="29" borderId="0" xfId="0" applyNumberFormat="1" applyFill="1" applyAlignment="1">
      <alignment horizontal="left"/>
    </xf>
    <xf numFmtId="167" fontId="0" fillId="29" borderId="0" xfId="5" applyNumberFormat="1" applyFont="1" applyFill="1"/>
    <xf numFmtId="165" fontId="0" fillId="29" borderId="0" xfId="2" applyNumberFormat="1" applyFont="1" applyFill="1"/>
    <xf numFmtId="167" fontId="0" fillId="0" borderId="0" xfId="5" applyNumberFormat="1" applyFont="1" applyFill="1"/>
    <xf numFmtId="165" fontId="13" fillId="30" borderId="0" xfId="0" applyNumberFormat="1" applyFont="1" applyFill="1"/>
    <xf numFmtId="0" fontId="0" fillId="21" borderId="0" xfId="0" applyFill="1" applyAlignment="1">
      <alignment horizontal="left"/>
    </xf>
    <xf numFmtId="165" fontId="0" fillId="0" borderId="0" xfId="0" applyNumberFormat="1" applyFill="1" applyAlignment="1">
      <alignment horizontal="left"/>
    </xf>
    <xf numFmtId="165" fontId="13" fillId="30" borderId="0" xfId="2" applyNumberFormat="1" applyFont="1" applyFill="1"/>
    <xf numFmtId="165" fontId="0" fillId="0" borderId="0" xfId="0" applyNumberFormat="1" applyFont="1" applyFill="1" applyAlignment="1">
      <alignment horizontal="left"/>
    </xf>
    <xf numFmtId="165" fontId="11" fillId="0" borderId="0" xfId="2" applyNumberFormat="1" applyFont="1" applyFill="1"/>
    <xf numFmtId="165" fontId="11" fillId="29" borderId="0" xfId="2" applyNumberFormat="1" applyFont="1" applyFill="1"/>
    <xf numFmtId="165" fontId="0" fillId="29" borderId="0" xfId="0" applyNumberFormat="1" applyFont="1" applyFill="1" applyAlignment="1">
      <alignment horizontal="left"/>
    </xf>
    <xf numFmtId="0" fontId="2" fillId="5" borderId="15" xfId="0" applyFont="1" applyFill="1" applyBorder="1" applyAlignment="1">
      <alignment horizontal="center"/>
    </xf>
    <xf numFmtId="0" fontId="2" fillId="5" borderId="0" xfId="0" applyFont="1" applyFill="1"/>
    <xf numFmtId="0" fontId="22" fillId="5" borderId="0" xfId="0" applyFont="1" applyFill="1" applyAlignment="1">
      <alignment horizontal="center"/>
    </xf>
    <xf numFmtId="0" fontId="44" fillId="0" borderId="0" xfId="0" applyFont="1" applyFill="1" applyBorder="1" applyAlignment="1"/>
    <xf numFmtId="0" fontId="13" fillId="31" borderId="0" xfId="0" applyFont="1" applyFill="1"/>
    <xf numFmtId="190" fontId="42" fillId="6" borderId="15" xfId="0" applyNumberFormat="1" applyFont="1" applyFill="1" applyBorder="1" applyAlignment="1">
      <alignment horizontal="center"/>
    </xf>
    <xf numFmtId="0" fontId="0" fillId="32" borderId="0" xfId="0" applyFill="1"/>
    <xf numFmtId="44" fontId="0" fillId="33" borderId="0" xfId="0" applyNumberFormat="1" applyFill="1"/>
    <xf numFmtId="189" fontId="0" fillId="0" borderId="0" xfId="0" applyNumberFormat="1"/>
    <xf numFmtId="0" fontId="2" fillId="0" borderId="0" xfId="0" applyFont="1" applyFill="1" applyBorder="1"/>
    <xf numFmtId="0" fontId="0" fillId="14" borderId="21" xfId="0" applyFont="1" applyFill="1" applyBorder="1"/>
    <xf numFmtId="0" fontId="0" fillId="21" borderId="15" xfId="0" applyNumberFormat="1" applyFill="1" applyBorder="1"/>
    <xf numFmtId="165" fontId="13" fillId="9" borderId="15" xfId="0" applyNumberFormat="1" applyFont="1" applyFill="1" applyBorder="1"/>
    <xf numFmtId="165" fontId="13" fillId="9" borderId="15" xfId="2" applyNumberFormat="1" applyFont="1" applyFill="1" applyBorder="1"/>
    <xf numFmtId="165" fontId="13" fillId="9" borderId="15" xfId="0" applyNumberFormat="1" applyFont="1" applyFill="1" applyBorder="1" applyAlignment="1">
      <alignment horizontal="left"/>
    </xf>
    <xf numFmtId="190" fontId="0" fillId="6" borderId="15" xfId="2" applyNumberFormat="1" applyFont="1" applyFill="1" applyBorder="1" applyAlignment="1">
      <alignment horizontal="center"/>
    </xf>
    <xf numFmtId="189" fontId="0" fillId="0" borderId="0" xfId="2" applyNumberFormat="1" applyFont="1" applyFill="1" applyBorder="1" applyAlignment="1">
      <alignment horizontal="center"/>
    </xf>
    <xf numFmtId="6" fontId="0" fillId="0" borderId="0" xfId="0" applyNumberFormat="1" applyFill="1" applyBorder="1" applyAlignment="1">
      <alignment horizontal="center"/>
    </xf>
    <xf numFmtId="190" fontId="0" fillId="0" borderId="0" xfId="0" applyNumberFormat="1" applyFill="1" applyBorder="1" applyAlignment="1">
      <alignment horizontal="center"/>
    </xf>
    <xf numFmtId="189" fontId="0" fillId="0" borderId="0" xfId="0" applyNumberFormat="1" applyFill="1" applyBorder="1" applyAlignment="1">
      <alignment horizontal="center"/>
    </xf>
    <xf numFmtId="0" fontId="0" fillId="0" borderId="0" xfId="2" applyNumberFormat="1" applyFont="1" applyFill="1" applyBorder="1" applyAlignment="1">
      <alignment horizontal="center"/>
    </xf>
    <xf numFmtId="0" fontId="0" fillId="0" borderId="0" xfId="0" applyNumberFormat="1" applyFill="1" applyBorder="1" applyAlignment="1">
      <alignment horizontal="center"/>
    </xf>
    <xf numFmtId="1" fontId="0" fillId="0" borderId="15" xfId="0" applyNumberFormat="1" applyBorder="1" applyAlignment="1">
      <alignment horizontal="center"/>
    </xf>
    <xf numFmtId="0" fontId="22" fillId="0" borderId="0" xfId="0" applyFont="1" applyFill="1" applyBorder="1" applyAlignment="1">
      <alignment horizontal="center"/>
    </xf>
    <xf numFmtId="0" fontId="2" fillId="4" borderId="19" xfId="0" applyFont="1" applyFill="1" applyBorder="1" applyAlignment="1">
      <alignment horizontal="center"/>
    </xf>
    <xf numFmtId="0" fontId="2" fillId="5" borderId="19" xfId="0" applyFont="1" applyFill="1" applyBorder="1" applyAlignment="1">
      <alignment horizontal="center"/>
    </xf>
    <xf numFmtId="0" fontId="0" fillId="0" borderId="15" xfId="0" applyFill="1" applyBorder="1"/>
    <xf numFmtId="189" fontId="0" fillId="21" borderId="15" xfId="0" applyNumberFormat="1" applyFill="1" applyBorder="1"/>
    <xf numFmtId="1" fontId="0" fillId="33" borderId="0" xfId="0" applyNumberFormat="1" applyFill="1"/>
    <xf numFmtId="43" fontId="0" fillId="21" borderId="0" xfId="0" applyNumberFormat="1" applyFill="1"/>
    <xf numFmtId="165" fontId="0" fillId="0" borderId="0" xfId="2" applyNumberFormat="1" applyFont="1" applyFill="1"/>
    <xf numFmtId="0" fontId="0" fillId="5" borderId="0" xfId="0" applyFill="1"/>
    <xf numFmtId="0" fontId="46" fillId="33" borderId="0" xfId="0" applyFont="1" applyFill="1" applyAlignment="1">
      <alignment horizontal="center"/>
    </xf>
    <xf numFmtId="189" fontId="0" fillId="0" borderId="0" xfId="2" applyNumberFormat="1" applyFont="1" applyFill="1"/>
    <xf numFmtId="165" fontId="0" fillId="5" borderId="0" xfId="0" applyNumberFormat="1" applyFill="1"/>
    <xf numFmtId="165" fontId="0" fillId="32" borderId="0" xfId="2" applyNumberFormat="1" applyFont="1" applyFill="1"/>
    <xf numFmtId="189" fontId="0" fillId="21" borderId="15" xfId="0" applyNumberFormat="1" applyFill="1" applyBorder="1" applyAlignment="1">
      <alignment horizontal="center"/>
    </xf>
    <xf numFmtId="1" fontId="0" fillId="0" borderId="0" xfId="0" applyNumberFormat="1"/>
    <xf numFmtId="0" fontId="13" fillId="6" borderId="15" xfId="0" applyFont="1" applyFill="1" applyBorder="1" applyAlignment="1">
      <alignment horizontal="left" indent="1"/>
    </xf>
    <xf numFmtId="0" fontId="0" fillId="35" borderId="0" xfId="0" applyFill="1"/>
    <xf numFmtId="165" fontId="5" fillId="35" borderId="0" xfId="2" applyNumberFormat="1" applyFont="1" applyFill="1"/>
    <xf numFmtId="165" fontId="0" fillId="35" borderId="0" xfId="0" applyNumberFormat="1" applyFill="1"/>
    <xf numFmtId="191" fontId="0" fillId="0" borderId="0" xfId="0" applyNumberFormat="1"/>
    <xf numFmtId="6" fontId="0" fillId="21" borderId="15" xfId="0" applyNumberFormat="1" applyFill="1" applyBorder="1"/>
    <xf numFmtId="0" fontId="0" fillId="21" borderId="15" xfId="0" applyFill="1" applyBorder="1"/>
    <xf numFmtId="0" fontId="0" fillId="21" borderId="24" xfId="0" applyFill="1" applyBorder="1"/>
    <xf numFmtId="0" fontId="0" fillId="21" borderId="13" xfId="0" applyFill="1" applyBorder="1"/>
    <xf numFmtId="44" fontId="0" fillId="21" borderId="13" xfId="0" applyNumberFormat="1" applyFill="1" applyBorder="1"/>
    <xf numFmtId="0" fontId="0" fillId="21" borderId="25" xfId="0" applyFill="1" applyBorder="1"/>
    <xf numFmtId="0" fontId="0" fillId="21" borderId="21" xfId="0" applyFill="1" applyBorder="1"/>
    <xf numFmtId="0" fontId="0" fillId="21" borderId="0" xfId="0" applyFill="1" applyBorder="1"/>
    <xf numFmtId="44" fontId="0" fillId="21" borderId="0" xfId="0" applyNumberFormat="1" applyFill="1" applyBorder="1"/>
    <xf numFmtId="0" fontId="0" fillId="21" borderId="12" xfId="0" applyFill="1" applyBorder="1"/>
    <xf numFmtId="0" fontId="0" fillId="21" borderId="26" xfId="0" applyFill="1" applyBorder="1"/>
    <xf numFmtId="0" fontId="0" fillId="21" borderId="3" xfId="0" applyFill="1" applyBorder="1"/>
    <xf numFmtId="44" fontId="0" fillId="21" borderId="3" xfId="0" applyNumberFormat="1" applyFill="1" applyBorder="1"/>
    <xf numFmtId="0" fontId="0" fillId="21" borderId="20" xfId="0" applyFill="1" applyBorder="1"/>
    <xf numFmtId="165" fontId="2" fillId="12" borderId="0" xfId="0" applyNumberFormat="1" applyFont="1" applyFill="1"/>
    <xf numFmtId="9" fontId="0" fillId="0" borderId="0" xfId="0" applyNumberFormat="1" applyFill="1" applyAlignment="1">
      <alignment horizontal="center"/>
    </xf>
    <xf numFmtId="165" fontId="2" fillId="0" borderId="0" xfId="0" applyNumberFormat="1" applyFont="1" applyFill="1"/>
    <xf numFmtId="0" fontId="14" fillId="9" borderId="0" xfId="0" applyFont="1" applyFill="1"/>
    <xf numFmtId="0" fontId="5" fillId="9" borderId="0" xfId="0" applyFont="1" applyFill="1"/>
    <xf numFmtId="165" fontId="0" fillId="9" borderId="0" xfId="0" applyNumberFormat="1" applyFill="1"/>
    <xf numFmtId="44" fontId="0" fillId="0" borderId="0" xfId="2" applyFont="1" applyFill="1" applyBorder="1"/>
    <xf numFmtId="44" fontId="0" fillId="0" borderId="0" xfId="0" applyNumberFormat="1" applyFill="1" applyBorder="1"/>
    <xf numFmtId="0" fontId="13" fillId="0" borderId="0" xfId="0" applyFont="1" applyFill="1" applyBorder="1"/>
    <xf numFmtId="0" fontId="0" fillId="0" borderId="0" xfId="0" applyFill="1" applyBorder="1" applyAlignment="1">
      <alignment horizontal="right"/>
    </xf>
    <xf numFmtId="165" fontId="0" fillId="0" borderId="0" xfId="0" applyNumberFormat="1" applyFont="1" applyFill="1" applyBorder="1"/>
    <xf numFmtId="43" fontId="0" fillId="0" borderId="0" xfId="4" applyFont="1" applyFill="1" applyBorder="1"/>
    <xf numFmtId="0" fontId="5" fillId="0" borderId="0" xfId="1" applyFont="1" applyFill="1" applyBorder="1"/>
    <xf numFmtId="44" fontId="13" fillId="30" borderId="0" xfId="0" applyNumberFormat="1" applyFont="1" applyFill="1"/>
    <xf numFmtId="0" fontId="22" fillId="28" borderId="24" xfId="0" applyFont="1" applyFill="1" applyBorder="1"/>
    <xf numFmtId="192" fontId="22" fillId="28" borderId="25" xfId="4" applyNumberFormat="1" applyFont="1" applyFill="1" applyBorder="1"/>
    <xf numFmtId="0" fontId="13" fillId="0" borderId="21" xfId="0" applyFont="1" applyBorder="1" applyAlignment="1">
      <alignment horizontal="left" indent="1"/>
    </xf>
    <xf numFmtId="165" fontId="0" fillId="0" borderId="12" xfId="0" applyNumberFormat="1" applyBorder="1"/>
    <xf numFmtId="0" fontId="0" fillId="29" borderId="21" xfId="0" applyFill="1" applyBorder="1" applyAlignment="1">
      <alignment horizontal="left"/>
    </xf>
    <xf numFmtId="165" fontId="0" fillId="29" borderId="12" xfId="0" applyNumberFormat="1" applyFill="1" applyBorder="1"/>
    <xf numFmtId="0" fontId="0" fillId="0" borderId="21" xfId="0" applyBorder="1" applyAlignment="1">
      <alignment horizontal="left"/>
    </xf>
    <xf numFmtId="165" fontId="0" fillId="29" borderId="12" xfId="2" applyNumberFormat="1" applyFont="1" applyFill="1" applyBorder="1"/>
    <xf numFmtId="0" fontId="0" fillId="0" borderId="21" xfId="0" applyBorder="1"/>
    <xf numFmtId="0" fontId="14" fillId="36" borderId="21" xfId="0" applyFont="1" applyFill="1" applyBorder="1" applyAlignment="1">
      <alignment horizontal="left" indent="1"/>
    </xf>
    <xf numFmtId="0" fontId="0" fillId="0" borderId="21" xfId="0" applyBorder="1" applyAlignment="1">
      <alignment horizontal="right"/>
    </xf>
    <xf numFmtId="165" fontId="0" fillId="0" borderId="15" xfId="0" applyNumberFormat="1" applyFill="1" applyBorder="1"/>
    <xf numFmtId="166" fontId="0" fillId="0" borderId="0" xfId="0" applyNumberFormat="1" applyFill="1" applyBorder="1"/>
    <xf numFmtId="165" fontId="0" fillId="0" borderId="0" xfId="0" applyNumberFormat="1" applyFill="1" applyBorder="1"/>
    <xf numFmtId="0" fontId="22" fillId="28" borderId="0" xfId="0" applyFont="1" applyFill="1"/>
    <xf numFmtId="1" fontId="22" fillId="28" borderId="0" xfId="0" applyNumberFormat="1" applyFont="1" applyFill="1"/>
    <xf numFmtId="0" fontId="22" fillId="7" borderId="0" xfId="0" applyFont="1" applyFill="1" applyAlignment="1">
      <alignment horizontal="left" indent="1"/>
    </xf>
    <xf numFmtId="193" fontId="0" fillId="0" borderId="12" xfId="0" applyNumberFormat="1" applyBorder="1"/>
    <xf numFmtId="0" fontId="14" fillId="9" borderId="15" xfId="0" applyFont="1" applyFill="1" applyBorder="1" applyAlignment="1">
      <alignment horizontal="left" indent="1"/>
    </xf>
    <xf numFmtId="165" fontId="0" fillId="0" borderId="15" xfId="0" applyNumberFormat="1" applyBorder="1"/>
    <xf numFmtId="165" fontId="13" fillId="0" borderId="15" xfId="0" applyNumberFormat="1" applyFont="1" applyFill="1" applyBorder="1" applyAlignment="1">
      <alignment horizontal="center"/>
    </xf>
    <xf numFmtId="165" fontId="22" fillId="4" borderId="15" xfId="0" applyNumberFormat="1" applyFont="1" applyFill="1" applyBorder="1" applyAlignment="1">
      <alignment horizontal="center"/>
    </xf>
    <xf numFmtId="165" fontId="22" fillId="4" borderId="15" xfId="0" applyNumberFormat="1" applyFont="1" applyFill="1" applyBorder="1" applyAlignment="1">
      <alignment horizontal="right"/>
    </xf>
    <xf numFmtId="165" fontId="22" fillId="4" borderId="15" xfId="2" applyNumberFormat="1" applyFont="1" applyFill="1" applyBorder="1" applyAlignment="1">
      <alignment horizontal="right"/>
    </xf>
    <xf numFmtId="43" fontId="0" fillId="21" borderId="17" xfId="4" applyFont="1" applyFill="1" applyBorder="1"/>
    <xf numFmtId="0" fontId="0" fillId="21" borderId="18" xfId="0" applyFill="1" applyBorder="1" applyAlignment="1">
      <alignment horizontal="center"/>
    </xf>
    <xf numFmtId="166" fontId="0" fillId="21" borderId="3" xfId="4" applyNumberFormat="1" applyFont="1" applyFill="1" applyBorder="1"/>
    <xf numFmtId="0" fontId="0" fillId="21" borderId="20" xfId="0" applyFill="1" applyBorder="1" applyAlignment="1">
      <alignment horizontal="center"/>
    </xf>
    <xf numFmtId="190" fontId="0" fillId="21" borderId="15" xfId="0" applyNumberFormat="1" applyFill="1" applyBorder="1"/>
    <xf numFmtId="166" fontId="0" fillId="31" borderId="0" xfId="4" applyNumberFormat="1" applyFont="1" applyFill="1"/>
    <xf numFmtId="0" fontId="0" fillId="36" borderId="0" xfId="0" applyFill="1"/>
    <xf numFmtId="0" fontId="0" fillId="9" borderId="0" xfId="0" applyFill="1"/>
    <xf numFmtId="0" fontId="0" fillId="28" borderId="0" xfId="0" applyFill="1"/>
    <xf numFmtId="0" fontId="14" fillId="11" borderId="21" xfId="0" applyFont="1" applyFill="1" applyBorder="1" applyAlignment="1">
      <alignment horizontal="left" indent="1"/>
    </xf>
    <xf numFmtId="0" fontId="0" fillId="11" borderId="0" xfId="0" applyFill="1"/>
    <xf numFmtId="165" fontId="0" fillId="36" borderId="12" xfId="2" applyNumberFormat="1" applyFont="1" applyFill="1" applyBorder="1"/>
    <xf numFmtId="165" fontId="0" fillId="0" borderId="12" xfId="2" applyNumberFormat="1" applyFont="1" applyBorder="1"/>
    <xf numFmtId="165" fontId="0" fillId="11" borderId="12" xfId="2" applyNumberFormat="1" applyFont="1" applyFill="1" applyBorder="1"/>
    <xf numFmtId="165" fontId="13" fillId="9" borderId="15" xfId="2" applyNumberFormat="1" applyFont="1" applyFill="1" applyBorder="1" applyAlignment="1"/>
    <xf numFmtId="165" fontId="13" fillId="6" borderId="15" xfId="0" applyNumberFormat="1" applyFont="1" applyFill="1" applyBorder="1"/>
    <xf numFmtId="166" fontId="22" fillId="28" borderId="25" xfId="0" applyNumberFormat="1" applyFont="1" applyFill="1" applyBorder="1"/>
    <xf numFmtId="165" fontId="5" fillId="26" borderId="15" xfId="0" applyNumberFormat="1" applyFont="1" applyFill="1" applyBorder="1"/>
    <xf numFmtId="165" fontId="22" fillId="4" borderId="19" xfId="0" applyNumberFormat="1" applyFont="1" applyFill="1" applyBorder="1" applyAlignment="1">
      <alignment horizontal="right"/>
    </xf>
    <xf numFmtId="165" fontId="5" fillId="0" borderId="0" xfId="0" applyNumberFormat="1" applyFont="1" applyFill="1" applyBorder="1" applyAlignment="1">
      <alignment horizontal="right"/>
    </xf>
    <xf numFmtId="0" fontId="13" fillId="35" borderId="21" xfId="0" applyFont="1" applyFill="1" applyBorder="1" applyAlignment="1">
      <alignment horizontal="left" indent="1"/>
    </xf>
    <xf numFmtId="165" fontId="0" fillId="35" borderId="12" xfId="2" applyNumberFormat="1" applyFont="1" applyFill="1" applyBorder="1"/>
    <xf numFmtId="189" fontId="0" fillId="0" borderId="0" xfId="2" applyNumberFormat="1" applyFont="1" applyFill="1" applyBorder="1"/>
    <xf numFmtId="6" fontId="0" fillId="0" borderId="0" xfId="0" applyNumberFormat="1" applyFill="1" applyBorder="1"/>
    <xf numFmtId="8" fontId="0" fillId="0" borderId="0" xfId="0" applyNumberFormat="1" applyFill="1" applyBorder="1"/>
    <xf numFmtId="0" fontId="0" fillId="37" borderId="15" xfId="0" applyFill="1" applyBorder="1" applyAlignment="1">
      <alignment horizontal="center"/>
    </xf>
    <xf numFmtId="43" fontId="5" fillId="0" borderId="13" xfId="4" applyFont="1" applyFill="1" applyBorder="1"/>
    <xf numFmtId="44" fontId="0" fillId="21" borderId="13" xfId="2" applyFont="1" applyFill="1" applyBorder="1"/>
    <xf numFmtId="0" fontId="0" fillId="37" borderId="15" xfId="0" applyFill="1" applyBorder="1"/>
    <xf numFmtId="0" fontId="0" fillId="2" borderId="0" xfId="0" applyFill="1" applyAlignment="1" applyProtection="1">
      <alignment horizontal="left" vertical="top" wrapText="1"/>
      <protection locked="0"/>
    </xf>
    <xf numFmtId="0" fontId="10" fillId="0" borderId="0" xfId="1" applyAlignment="1">
      <alignment horizontal="left"/>
    </xf>
    <xf numFmtId="0" fontId="0" fillId="0" borderId="0" xfId="0" applyAlignment="1">
      <alignment horizontal="left" vertical="center"/>
    </xf>
    <xf numFmtId="0" fontId="2" fillId="4" borderId="0" xfId="0" applyFont="1" applyFill="1" applyBorder="1" applyAlignment="1">
      <alignment horizontal="center"/>
    </xf>
    <xf numFmtId="0" fontId="0" fillId="0" borderId="0" xfId="0" applyAlignment="1">
      <alignment horizontal="center"/>
    </xf>
    <xf numFmtId="0" fontId="2" fillId="18" borderId="21" xfId="0" applyFont="1" applyFill="1" applyBorder="1" applyAlignment="1">
      <alignment horizontal="center"/>
    </xf>
    <xf numFmtId="0" fontId="2" fillId="18" borderId="0" xfId="0" applyFont="1" applyFill="1" applyAlignment="1">
      <alignment horizontal="center"/>
    </xf>
    <xf numFmtId="0" fontId="2" fillId="18" borderId="12" xfId="0" applyFont="1" applyFill="1" applyBorder="1" applyAlignment="1">
      <alignment horizontal="center"/>
    </xf>
    <xf numFmtId="0" fontId="2" fillId="7" borderId="15" xfId="0" applyFont="1" applyFill="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2" fillId="27" borderId="15" xfId="0" applyFont="1" applyFill="1" applyBorder="1" applyAlignment="1">
      <alignment horizontal="center"/>
    </xf>
    <xf numFmtId="0" fontId="2" fillId="4" borderId="8" xfId="0" applyFont="1" applyFill="1" applyBorder="1" applyAlignment="1">
      <alignment horizontal="center" vertical="center" wrapText="1"/>
    </xf>
    <xf numFmtId="0" fontId="0" fillId="6" borderId="0" xfId="0" applyFill="1" applyAlignment="1">
      <alignment horizontal="left"/>
    </xf>
    <xf numFmtId="2" fontId="0" fillId="24" borderId="15" xfId="0" applyNumberFormat="1" applyFill="1" applyBorder="1"/>
    <xf numFmtId="0" fontId="0" fillId="2" borderId="0" xfId="0" applyFill="1" applyAlignment="1" applyProtection="1">
      <alignment horizontal="left" vertical="top" wrapText="1"/>
      <protection locked="0"/>
    </xf>
    <xf numFmtId="0" fontId="22" fillId="25" borderId="24" xfId="0" applyFont="1" applyFill="1" applyBorder="1" applyAlignment="1">
      <alignment horizontal="center" vertical="center"/>
    </xf>
    <xf numFmtId="0" fontId="22" fillId="25" borderId="25" xfId="0" applyFont="1" applyFill="1" applyBorder="1" applyAlignment="1">
      <alignment horizontal="center" vertical="center"/>
    </xf>
    <xf numFmtId="0" fontId="22" fillId="25" borderId="24" xfId="0" applyFont="1" applyFill="1" applyBorder="1" applyAlignment="1">
      <alignment horizontal="center"/>
    </xf>
    <xf numFmtId="0" fontId="22" fillId="25" borderId="25" xfId="0" applyFont="1" applyFill="1" applyBorder="1" applyAlignment="1">
      <alignment horizontal="center"/>
    </xf>
    <xf numFmtId="0" fontId="40" fillId="25" borderId="25" xfId="0" applyFont="1" applyFill="1" applyBorder="1" applyAlignment="1">
      <alignment horizontal="center"/>
    </xf>
    <xf numFmtId="0" fontId="39" fillId="25" borderId="4" xfId="0" applyFont="1" applyFill="1" applyBorder="1" applyAlignment="1">
      <alignment horizontal="center" vertical="center"/>
    </xf>
    <xf numFmtId="0" fontId="39" fillId="25" borderId="6" xfId="0" applyFont="1" applyFill="1" applyBorder="1" applyAlignment="1">
      <alignment horizontal="center" vertical="center"/>
    </xf>
    <xf numFmtId="0" fontId="10" fillId="0" borderId="0" xfId="1" applyAlignment="1">
      <alignment horizontal="left"/>
    </xf>
    <xf numFmtId="0" fontId="5" fillId="0" borderId="0" xfId="0" applyFont="1" applyFill="1" applyAlignment="1">
      <alignment horizontal="center" vertical="center" wrapText="1"/>
    </xf>
    <xf numFmtId="43" fontId="5" fillId="0" borderId="0" xfId="4" applyFont="1" applyFill="1" applyAlignment="1">
      <alignment horizontal="left" vertical="center"/>
    </xf>
    <xf numFmtId="0" fontId="2" fillId="4" borderId="0" xfId="0" applyFont="1" applyFill="1" applyAlignment="1">
      <alignment horizontal="center" vertical="center" wrapText="1"/>
    </xf>
    <xf numFmtId="0" fontId="0" fillId="0" borderId="0" xfId="0" applyAlignment="1">
      <alignment horizontal="left"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0" xfId="0" applyFont="1" applyFill="1" applyBorder="1" applyAlignment="1">
      <alignment horizontal="center"/>
    </xf>
    <xf numFmtId="0" fontId="0" fillId="0" borderId="21" xfId="0" applyBorder="1" applyAlignment="1">
      <alignment horizontal="center"/>
    </xf>
    <xf numFmtId="0" fontId="0" fillId="0" borderId="0" xfId="0" applyAlignment="1">
      <alignment horizontal="center"/>
    </xf>
    <xf numFmtId="9" fontId="2" fillId="7" borderId="15" xfId="0" applyNumberFormat="1" applyFont="1" applyFill="1" applyBorder="1" applyAlignment="1">
      <alignment horizontal="center"/>
    </xf>
    <xf numFmtId="0" fontId="2" fillId="18" borderId="21" xfId="0" applyFont="1" applyFill="1" applyBorder="1" applyAlignment="1">
      <alignment horizontal="center"/>
    </xf>
    <xf numFmtId="0" fontId="2" fillId="18" borderId="0" xfId="0" applyFont="1" applyFill="1" applyAlignment="1">
      <alignment horizontal="center"/>
    </xf>
    <xf numFmtId="0" fontId="2" fillId="18" borderId="12" xfId="0" applyFont="1" applyFill="1" applyBorder="1" applyAlignment="1">
      <alignment horizontal="center"/>
    </xf>
    <xf numFmtId="0" fontId="2" fillId="7" borderId="15" xfId="0" applyFont="1" applyFill="1" applyBorder="1" applyAlignment="1">
      <alignment horizontal="center"/>
    </xf>
    <xf numFmtId="0" fontId="2" fillId="7" borderId="19" xfId="0" applyFont="1" applyFill="1" applyBorder="1" applyAlignment="1">
      <alignment horizontal="center"/>
    </xf>
    <xf numFmtId="0" fontId="2" fillId="7" borderId="16" xfId="0" applyFont="1" applyFill="1" applyBorder="1" applyAlignment="1">
      <alignment horizontal="center"/>
    </xf>
    <xf numFmtId="0" fontId="2" fillId="18" borderId="3" xfId="0" applyFont="1" applyFill="1" applyBorder="1" applyAlignment="1">
      <alignment horizontal="center"/>
    </xf>
    <xf numFmtId="0" fontId="2" fillId="18" borderId="20" xfId="0" applyFont="1" applyFill="1" applyBorder="1" applyAlignment="1">
      <alignment horizontal="center"/>
    </xf>
    <xf numFmtId="0" fontId="19" fillId="0" borderId="0" xfId="0" applyFont="1" applyAlignment="1">
      <alignment horizontal="center"/>
    </xf>
    <xf numFmtId="0" fontId="13" fillId="0" borderId="0" xfId="0" applyFont="1" applyAlignment="1">
      <alignment horizontal="center"/>
    </xf>
    <xf numFmtId="0" fontId="19" fillId="0" borderId="0" xfId="0" applyFont="1" applyAlignment="1">
      <alignment horizontal="center" vertical="center"/>
    </xf>
    <xf numFmtId="0" fontId="19" fillId="0" borderId="13" xfId="0" applyFont="1" applyBorder="1" applyAlignment="1">
      <alignment horizont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43" fontId="0" fillId="0" borderId="0" xfId="0" applyNumberFormat="1" applyFill="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2" fillId="27" borderId="15" xfId="0" applyFont="1" applyFill="1" applyBorder="1" applyAlignment="1">
      <alignment horizontal="center"/>
    </xf>
    <xf numFmtId="0" fontId="22" fillId="4" borderId="0" xfId="0" applyFont="1" applyFill="1" applyAlignment="1">
      <alignment horizontal="center"/>
    </xf>
    <xf numFmtId="0" fontId="45" fillId="32" borderId="0" xfId="0" applyFont="1" applyFill="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34" borderId="17" xfId="0" applyFill="1" applyBorder="1" applyAlignment="1">
      <alignment horizontal="center"/>
    </xf>
    <xf numFmtId="0" fontId="0" fillId="34" borderId="18" xfId="0" applyFill="1" applyBorder="1" applyAlignment="1">
      <alignment horizontal="center"/>
    </xf>
    <xf numFmtId="0" fontId="0" fillId="6" borderId="0" xfId="0" applyFill="1" applyAlignment="1">
      <alignment horizontal="center"/>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7" borderId="0" xfId="0" applyFont="1" applyFill="1" applyBorder="1" applyAlignment="1">
      <alignment horizontal="center" vertical="center"/>
    </xf>
    <xf numFmtId="0" fontId="0" fillId="6" borderId="0" xfId="0" applyFill="1" applyAlignment="1">
      <alignment horizontal="left"/>
    </xf>
  </cellXfs>
  <cellStyles count="7">
    <cellStyle name="Check Cell" xfId="6" builtinId="23"/>
    <cellStyle name="Comma" xfId="4" builtinId="3"/>
    <cellStyle name="Currency" xfId="2" builtinId="4"/>
    <cellStyle name="Hyperlink" xfId="1" builtinId="8"/>
    <cellStyle name="Normal" xfId="0" builtinId="0"/>
    <cellStyle name="Normal 22" xfId="3" xr:uid="{00000000-0005-0000-0000-000005000000}"/>
    <cellStyle name="Percent" xfId="5" builtinId="5"/>
  </cellStyles>
  <dxfs count="287">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0"/>
      </font>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ill>
        <patternFill>
          <bgColor theme="0" tint="-0.14996795556505021"/>
        </patternFill>
      </fill>
    </dxf>
    <dxf>
      <font>
        <color theme="0"/>
      </font>
    </dxf>
    <dxf>
      <font>
        <color theme="0"/>
      </font>
    </dxf>
    <dxf>
      <fill>
        <patternFill>
          <bgColor theme="0" tint="-0.14996795556505021"/>
        </patternFill>
      </fill>
    </dxf>
    <dxf>
      <font>
        <color theme="0"/>
      </font>
    </dxf>
    <dxf>
      <font>
        <color theme="0"/>
      </font>
    </dxf>
    <dxf>
      <fill>
        <patternFill>
          <bgColor theme="0" tint="-0.14996795556505021"/>
        </patternFill>
      </fill>
    </dxf>
    <dxf>
      <font>
        <color theme="0"/>
      </font>
    </dxf>
    <dxf>
      <font>
        <color theme="0"/>
      </font>
    </dxf>
    <dxf>
      <fill>
        <patternFill>
          <bgColor theme="0" tint="-0.14996795556505021"/>
        </patternFill>
      </fill>
    </dxf>
    <dxf>
      <font>
        <color theme="0"/>
      </font>
    </dxf>
    <dxf>
      <font>
        <color theme="0"/>
      </font>
    </dxf>
    <dxf>
      <fill>
        <patternFill>
          <bgColor theme="0" tint="-0.14996795556505021"/>
        </patternFill>
      </fill>
    </dxf>
    <dxf>
      <font>
        <color theme="0"/>
      </font>
    </dxf>
    <dxf>
      <font>
        <color theme="0"/>
      </font>
    </dxf>
    <dxf>
      <fill>
        <patternFill>
          <bgColor theme="0" tint="-0.14996795556505021"/>
        </patternFill>
      </fill>
    </dxf>
    <dxf>
      <font>
        <color theme="0"/>
      </font>
    </dxf>
    <dxf>
      <font>
        <color theme="0"/>
      </font>
    </dxf>
    <dxf>
      <fill>
        <patternFill>
          <bgColor theme="0" tint="-0.14996795556505021"/>
        </patternFill>
      </fill>
    </dxf>
    <dxf>
      <font>
        <color theme="0"/>
      </font>
    </dxf>
    <dxf>
      <fill>
        <patternFill>
          <bgColor rgb="FF92D050"/>
        </patternFill>
      </fill>
    </dxf>
    <dxf>
      <fill>
        <patternFill>
          <bgColor rgb="FFFFFF00"/>
        </patternFill>
      </fill>
    </dxf>
    <dxf>
      <font>
        <color theme="0"/>
      </font>
    </dxf>
    <dxf>
      <fill>
        <patternFill>
          <bgColor theme="0" tint="-0.14996795556505021"/>
        </patternFill>
      </fill>
    </dxf>
    <dxf>
      <font>
        <color theme="0"/>
      </font>
    </dxf>
    <dxf>
      <fill>
        <patternFill>
          <bgColor rgb="FF92D050"/>
        </patternFill>
      </fill>
    </dxf>
    <dxf>
      <font>
        <color theme="0"/>
      </font>
      <fill>
        <patternFill>
          <bgColor rgb="FFFF000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ill>
        <patternFill>
          <bgColor theme="1"/>
        </patternFill>
      </fill>
    </dxf>
    <dxf>
      <fill>
        <patternFill>
          <bgColor rgb="FFFFFF00"/>
        </patternFill>
      </fill>
    </dxf>
    <dxf>
      <font>
        <color theme="1"/>
      </font>
      <fill>
        <patternFill patternType="none">
          <bgColor auto="1"/>
        </patternFill>
      </fill>
    </dxf>
    <dxf>
      <fill>
        <patternFill>
          <bgColor theme="1"/>
        </patternFill>
      </fill>
    </dxf>
    <dxf>
      <font>
        <color theme="0"/>
      </font>
    </dxf>
    <dxf>
      <font>
        <color theme="0"/>
      </font>
      <fill>
        <patternFill>
          <bgColor rgb="FFFF0000"/>
        </patternFill>
      </fill>
    </dxf>
    <dxf>
      <fill>
        <patternFill>
          <bgColor rgb="FF92D050"/>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rgb="FFFFFF00"/>
        </patternFill>
      </fill>
    </dxf>
    <dxf>
      <font>
        <color theme="0"/>
      </font>
    </dxf>
    <dxf>
      <font>
        <color theme="0"/>
      </font>
    </dxf>
    <dxf>
      <fill>
        <patternFill>
          <bgColor rgb="FF92D050"/>
        </patternFill>
      </fill>
    </dxf>
    <dxf>
      <fill>
        <patternFill>
          <bgColor theme="1"/>
        </patternFill>
      </fill>
    </dxf>
    <dxf>
      <fill>
        <patternFill>
          <bgColor theme="0"/>
        </patternFill>
      </fill>
    </dxf>
    <dxf>
      <fill>
        <patternFill>
          <bgColor rgb="FFFFFF00"/>
        </patternFill>
      </fill>
    </dxf>
    <dxf>
      <fill>
        <patternFill>
          <bgColor theme="0" tint="-0.14996795556505021"/>
        </patternFill>
      </fill>
    </dxf>
    <dxf>
      <font>
        <color theme="0"/>
      </font>
      <fill>
        <patternFill>
          <bgColor rgb="FFFF0000"/>
        </patternFill>
      </fill>
    </dxf>
    <dxf>
      <font>
        <color theme="0"/>
      </font>
    </dxf>
    <dxf>
      <font>
        <color theme="0"/>
      </font>
      <fill>
        <patternFill>
          <bgColor rgb="FFFF0000"/>
        </patternFill>
      </fill>
    </dxf>
    <dxf>
      <font>
        <color theme="0"/>
      </font>
    </dxf>
    <dxf>
      <fill>
        <patternFill>
          <bgColor theme="1"/>
        </patternFill>
      </fill>
    </dxf>
    <dxf>
      <fill>
        <patternFill>
          <bgColor rgb="FFFFFF00"/>
        </patternFill>
      </fill>
    </dxf>
    <dxf>
      <font>
        <color theme="1"/>
      </font>
      <fill>
        <patternFill patternType="none">
          <bgColor auto="1"/>
        </patternFill>
      </fill>
    </dxf>
    <dxf>
      <font>
        <color theme="1"/>
      </font>
    </dxf>
    <dxf>
      <font>
        <color theme="1"/>
      </font>
    </dxf>
    <dxf>
      <fill>
        <patternFill>
          <bgColor rgb="FFFFFF00"/>
        </patternFill>
      </fill>
    </dxf>
    <dxf>
      <font>
        <color theme="1"/>
      </font>
      <fill>
        <patternFill>
          <bgColor theme="1"/>
        </patternFill>
      </fill>
    </dxf>
    <dxf>
      <font>
        <color theme="1"/>
      </font>
    </dxf>
    <dxf>
      <font>
        <color theme="1"/>
      </font>
    </dxf>
    <dxf>
      <fill>
        <patternFill>
          <bgColor theme="1"/>
        </patternFill>
      </fill>
    </dxf>
    <dxf>
      <fill>
        <patternFill>
          <bgColor rgb="FFFFFF00"/>
        </patternFill>
      </fill>
    </dxf>
    <dxf>
      <font>
        <color theme="0"/>
      </font>
    </dxf>
    <dxf>
      <font>
        <color theme="0"/>
      </font>
      <fill>
        <patternFill>
          <bgColor rgb="FFFF0000"/>
        </patternFill>
      </fill>
    </dxf>
    <dxf>
      <fill>
        <patternFill>
          <bgColor rgb="FF92D050"/>
        </patternFill>
      </fill>
    </dxf>
    <dxf>
      <fill>
        <patternFill>
          <bgColor rgb="FFFFFF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s>
  <tableStyles count="0" defaultTableStyle="TableStyleMedium2" defaultPivotStyle="PivotStyleLight16"/>
  <colors>
    <mruColors>
      <color rgb="FFEAFCED"/>
      <color rgb="FFD5F9DB"/>
      <color rgb="FF006260"/>
      <color rgb="FFC8CC34"/>
      <color rgb="FF9A0067"/>
      <color rgb="FF540038"/>
      <color rgb="FF204D84"/>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'Energy Balance'!$E$4</c:f>
              <c:strCache>
                <c:ptCount val="1"/>
                <c:pt idx="0">
                  <c:v>SiO2 Dissociation Potential [V]</c:v>
                </c:pt>
              </c:strCache>
            </c:strRef>
          </c:tx>
          <c:spPr>
            <a:solidFill>
              <a:schemeClr val="tx2"/>
            </a:solidFill>
          </c:spP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Balance'!$F$4:$N$4</c:f>
              <c:numCache>
                <c:formatCode>0.00</c:formatCode>
                <c:ptCount val="9"/>
                <c:pt idx="0">
                  <c:v>1.8194921512492113</c:v>
                </c:pt>
                <c:pt idx="1">
                  <c:v>1.8001904083256663</c:v>
                </c:pt>
                <c:pt idx="2">
                  <c:v>1.7820718112032738</c:v>
                </c:pt>
                <c:pt idx="3">
                  <c:v>1.7654020486811091</c:v>
                </c:pt>
                <c:pt idx="4">
                  <c:v>1.7504862134083323</c:v>
                </c:pt>
                <c:pt idx="5">
                  <c:v>1.7376714450928497</c:v>
                </c:pt>
                <c:pt idx="6">
                  <c:v>1.7273495655562237</c:v>
                </c:pt>
                <c:pt idx="7">
                  <c:v>1.7199597070203048</c:v>
                </c:pt>
                <c:pt idx="8">
                  <c:v>1.7159909347377487</c:v>
                </c:pt>
              </c:numCache>
            </c:numRef>
          </c:val>
          <c:extLst>
            <c:ext xmlns:c16="http://schemas.microsoft.com/office/drawing/2014/chart" uri="{C3380CC4-5D6E-409C-BE32-E72D297353CC}">
              <c16:uniqueId val="{00000000-DAB6-4E2F-A98E-B68C88AE7D8D}"/>
            </c:ext>
          </c:extLst>
        </c:ser>
        <c:ser>
          <c:idx val="1"/>
          <c:order val="1"/>
          <c:tx>
            <c:strRef>
              <c:f>'Energy Balance'!$E$5</c:f>
              <c:strCache>
                <c:ptCount val="1"/>
                <c:pt idx="0">
                  <c:v>Total P Losses Anode [V]</c:v>
                </c:pt>
              </c:strCache>
            </c:strRef>
          </c:tx>
          <c:spPr>
            <a:solidFill>
              <a:schemeClr val="accent2"/>
            </a:solidFill>
          </c:spP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Balance'!$F$5:$N$5</c:f>
              <c:numCache>
                <c:formatCode>0.00</c:formatCode>
                <c:ptCount val="9"/>
                <c:pt idx="0">
                  <c:v>0.15857549463898893</c:v>
                </c:pt>
                <c:pt idx="1">
                  <c:v>0.16648194346535003</c:v>
                </c:pt>
                <c:pt idx="2">
                  <c:v>0.17438115580532204</c:v>
                </c:pt>
                <c:pt idx="3">
                  <c:v>0.1822740724842675</c:v>
                </c:pt>
                <c:pt idx="4">
                  <c:v>0.19016147743431108</c:v>
                </c:pt>
                <c:pt idx="5">
                  <c:v>0.19804402919553016</c:v>
                </c:pt>
                <c:pt idx="6">
                  <c:v>0.20592228509804372</c:v>
                </c:pt>
                <c:pt idx="7">
                  <c:v>0.21379672004032241</c:v>
                </c:pt>
                <c:pt idx="8">
                  <c:v>0.22166774122546565</c:v>
                </c:pt>
              </c:numCache>
            </c:numRef>
          </c:val>
          <c:extLst>
            <c:ext xmlns:c16="http://schemas.microsoft.com/office/drawing/2014/chart" uri="{C3380CC4-5D6E-409C-BE32-E72D297353CC}">
              <c16:uniqueId val="{00000001-DAB6-4E2F-A98E-B68C88AE7D8D}"/>
            </c:ext>
          </c:extLst>
        </c:ser>
        <c:ser>
          <c:idx val="6"/>
          <c:order val="2"/>
          <c:tx>
            <c:strRef>
              <c:f>'Energy Balance'!$E$6</c:f>
              <c:strCache>
                <c:ptCount val="1"/>
                <c:pt idx="0">
                  <c:v>Total P Losses Cathode [V]</c:v>
                </c:pt>
              </c:strCache>
            </c:strRef>
          </c:tx>
          <c:spPr>
            <a:solidFill>
              <a:schemeClr val="accent6"/>
            </a:solidFill>
            <a:ln w="25400">
              <a:noFill/>
            </a:ln>
          </c:spP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Balance'!$F$6:$N$6</c:f>
              <c:numCache>
                <c:formatCode>0.00</c:formatCode>
                <c:ptCount val="9"/>
                <c:pt idx="0">
                  <c:v>0.15857549463898893</c:v>
                </c:pt>
                <c:pt idx="1">
                  <c:v>0.16648194346535003</c:v>
                </c:pt>
                <c:pt idx="2">
                  <c:v>0.17438115580532204</c:v>
                </c:pt>
                <c:pt idx="3">
                  <c:v>0.1822740724842675</c:v>
                </c:pt>
                <c:pt idx="4">
                  <c:v>0.19016147743431108</c:v>
                </c:pt>
                <c:pt idx="5">
                  <c:v>0.19804402919553016</c:v>
                </c:pt>
                <c:pt idx="6">
                  <c:v>0.20592228509804372</c:v>
                </c:pt>
                <c:pt idx="7">
                  <c:v>0.21379672004032241</c:v>
                </c:pt>
                <c:pt idx="8">
                  <c:v>0.22166774122546565</c:v>
                </c:pt>
              </c:numCache>
            </c:numRef>
          </c:val>
          <c:extLst>
            <c:ext xmlns:c16="http://schemas.microsoft.com/office/drawing/2014/chart" uri="{C3380CC4-5D6E-409C-BE32-E72D297353CC}">
              <c16:uniqueId val="{00000006-DAB6-4E2F-A98E-B68C88AE7D8D}"/>
            </c:ext>
          </c:extLst>
        </c:ser>
        <c:ser>
          <c:idx val="2"/>
          <c:order val="3"/>
          <c:tx>
            <c:strRef>
              <c:f>'Energy Balance'!$E$8</c:f>
              <c:strCache>
                <c:ptCount val="1"/>
                <c:pt idx="0">
                  <c:v>Molten Salt IR [V]</c:v>
                </c:pt>
              </c:strCache>
            </c:strRef>
          </c:tx>
          <c:spPr>
            <a:solidFill>
              <a:schemeClr val="accent4"/>
            </a:solidFill>
            <a:ln>
              <a:solidFill>
                <a:schemeClr val="accent4"/>
              </a:solidFill>
            </a:ln>
          </c:spPr>
          <c:val>
            <c:numRef>
              <c:f>'Energy Balance'!$F$8:$N$8</c:f>
              <c:numCache>
                <c:formatCode>0.00</c:formatCode>
                <c:ptCount val="9"/>
                <c:pt idx="0">
                  <c:v>2.275636178045648</c:v>
                </c:pt>
                <c:pt idx="1">
                  <c:v>1.3310987975107647</c:v>
                </c:pt>
                <c:pt idx="2">
                  <c:v>0.81210564962893594</c:v>
                </c:pt>
                <c:pt idx="3">
                  <c:v>0.51432225112519148</c:v>
                </c:pt>
                <c:pt idx="4">
                  <c:v>0.33674917887087197</c:v>
                </c:pt>
                <c:pt idx="5">
                  <c:v>0.22714500979777374</c:v>
                </c:pt>
                <c:pt idx="6">
                  <c:v>0.15736532509299395</c:v>
                </c:pt>
                <c:pt idx="7">
                  <c:v>0.11168135845064549</c:v>
                </c:pt>
                <c:pt idx="8">
                  <c:v>8.1006547649277769E-2</c:v>
                </c:pt>
              </c:numCache>
            </c:numRef>
          </c:val>
          <c:extLst>
            <c:ext xmlns:c16="http://schemas.microsoft.com/office/drawing/2014/chart" uri="{C3380CC4-5D6E-409C-BE32-E72D297353CC}">
              <c16:uniqueId val="{00000001-FF98-41CC-AEF3-6A73FDD176EB}"/>
            </c:ext>
          </c:extLst>
        </c:ser>
        <c:ser>
          <c:idx val="3"/>
          <c:order val="4"/>
          <c:tx>
            <c:strRef>
              <c:f>'Energy Balance'!$E$7</c:f>
              <c:strCache>
                <c:ptCount val="1"/>
                <c:pt idx="0">
                  <c:v>YSZ Electrolyte Membrane IR [V]</c:v>
                </c:pt>
              </c:strCache>
            </c:strRef>
          </c:tx>
          <c:spPr>
            <a:solidFill>
              <a:schemeClr val="accent3"/>
            </a:solidFill>
          </c:spP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Balance'!$F$7:$N$7</c:f>
              <c:numCache>
                <c:formatCode>0.00</c:formatCode>
                <c:ptCount val="9"/>
                <c:pt idx="0">
                  <c:v>2.3563098511817082</c:v>
                </c:pt>
                <c:pt idx="1">
                  <c:v>1.8021695230529893</c:v>
                </c:pt>
                <c:pt idx="2">
                  <c:v>1.4076851377553965</c:v>
                </c:pt>
                <c:pt idx="3">
                  <c:v>1.1202759636069979</c:v>
                </c:pt>
                <c:pt idx="4">
                  <c:v>0.90650070340992828</c:v>
                </c:pt>
                <c:pt idx="5">
                  <c:v>0.74451500761959</c:v>
                </c:pt>
                <c:pt idx="6">
                  <c:v>0.61970198557360379</c:v>
                </c:pt>
                <c:pt idx="7">
                  <c:v>0.52206525690095684</c:v>
                </c:pt>
                <c:pt idx="8">
                  <c:v>0.44463147795055219</c:v>
                </c:pt>
              </c:numCache>
            </c:numRef>
          </c:val>
          <c:extLst>
            <c:ext xmlns:c16="http://schemas.microsoft.com/office/drawing/2014/chart" uri="{C3380CC4-5D6E-409C-BE32-E72D297353CC}">
              <c16:uniqueId val="{00000003-DAB6-4E2F-A98E-B68C88AE7D8D}"/>
            </c:ext>
          </c:extLst>
        </c:ser>
        <c:dLbls>
          <c:showLegendKey val="0"/>
          <c:showVal val="0"/>
          <c:showCatName val="0"/>
          <c:showSerName val="0"/>
          <c:showPercent val="0"/>
          <c:showBubbleSize val="0"/>
        </c:dLbls>
        <c:axId val="104798080"/>
        <c:axId val="104812928"/>
      </c:areaChart>
      <c:lineChart>
        <c:grouping val="stacked"/>
        <c:varyColors val="0"/>
        <c:ser>
          <c:idx val="8"/>
          <c:order val="5"/>
          <c:tx>
            <c:strRef>
              <c:f>'Energy Balance'!$E$19</c:f>
              <c:strCache>
                <c:ptCount val="1"/>
                <c:pt idx="0">
                  <c:v>SiO2 Dissociation Enthalpy [kWh/kg Si]</c:v>
                </c:pt>
              </c:strCache>
            </c:strRef>
          </c:tx>
          <c:spPr>
            <a:ln>
              <a:solidFill>
                <a:schemeClr val="tx1"/>
              </a:solidFill>
              <a:prstDash val="sysDot"/>
            </a:ln>
          </c:spPr>
          <c:marker>
            <c:symbol val="diamond"/>
            <c:size val="7"/>
            <c:spPr>
              <a:solidFill>
                <a:schemeClr val="tx1"/>
              </a:solidFill>
              <a:ln>
                <a:solidFill>
                  <a:schemeClr val="tx1"/>
                </a:solidFill>
              </a:ln>
            </c:spPr>
          </c:marke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Balance'!$F$19:$N$19</c:f>
              <c:numCache>
                <c:formatCode>0.00</c:formatCode>
                <c:ptCount val="9"/>
                <c:pt idx="0">
                  <c:v>8.7212571521871443</c:v>
                </c:pt>
                <c:pt idx="1">
                  <c:v>8.6239661849350426</c:v>
                </c:pt>
                <c:pt idx="2">
                  <c:v>8.4990807861679976</c:v>
                </c:pt>
                <c:pt idx="3">
                  <c:v>8.3409409931727492</c:v>
                </c:pt>
                <c:pt idx="4">
                  <c:v>8.1431781639026593</c:v>
                </c:pt>
                <c:pt idx="5">
                  <c:v>7.8986754963499566</c:v>
                </c:pt>
                <c:pt idx="6">
                  <c:v>7.5995285479182035</c:v>
                </c:pt>
                <c:pt idx="7">
                  <c:v>7.2370057547944686</c:v>
                </c:pt>
                <c:pt idx="8">
                  <c:v>6.8015089513217646</c:v>
                </c:pt>
              </c:numCache>
            </c:numRef>
          </c:val>
          <c:smooth val="0"/>
          <c:extLst>
            <c:ext xmlns:c16="http://schemas.microsoft.com/office/drawing/2014/chart" uri="{C3380CC4-5D6E-409C-BE32-E72D297353CC}">
              <c16:uniqueId val="{00000008-DAB6-4E2F-A98E-B68C88AE7D8D}"/>
            </c:ext>
          </c:extLst>
        </c:ser>
        <c:ser>
          <c:idx val="9"/>
          <c:order val="6"/>
          <c:tx>
            <c:strRef>
              <c:f>'Energy Balance'!$E$20</c:f>
              <c:strCache>
                <c:ptCount val="1"/>
                <c:pt idx="0">
                  <c:v>Total Theoretical Anode Heat Losses [kWh/kg Si]</c:v>
                </c:pt>
              </c:strCache>
            </c:strRef>
          </c:tx>
          <c:spPr>
            <a:ln>
              <a:solidFill>
                <a:srgbClr val="820000"/>
              </a:solidFill>
              <a:prstDash val="sysDot"/>
            </a:ln>
          </c:spPr>
          <c:marker>
            <c:symbol val="diamond"/>
            <c:size val="7"/>
            <c:spPr>
              <a:solidFill>
                <a:srgbClr val="820000"/>
              </a:solidFill>
              <a:ln>
                <a:solidFill>
                  <a:srgbClr val="820000"/>
                </a:solidFill>
              </a:ln>
            </c:spPr>
          </c:marke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Balance'!$F$20:$N$20</c:f>
              <c:numCache>
                <c:formatCode>0.00</c:formatCode>
                <c:ptCount val="9"/>
                <c:pt idx="0">
                  <c:v>1.2108386040078227</c:v>
                </c:pt>
                <c:pt idx="1">
                  <c:v>1.271210059770046</c:v>
                </c:pt>
                <c:pt idx="2">
                  <c:v>1.3315262597243192</c:v>
                </c:pt>
                <c:pt idx="3">
                  <c:v>1.3917943877528136</c:v>
                </c:pt>
                <c:pt idx="4">
                  <c:v>1.4520204297443422</c:v>
                </c:pt>
                <c:pt idx="5">
                  <c:v>1.5122094141287374</c:v>
                </c:pt>
                <c:pt idx="6">
                  <c:v>1.5723655965245924</c:v>
                </c:pt>
                <c:pt idx="7">
                  <c:v>1.6324926031252383</c:v>
                </c:pt>
                <c:pt idx="8">
                  <c:v>1.6925935432208812</c:v>
                </c:pt>
              </c:numCache>
            </c:numRef>
          </c:val>
          <c:smooth val="0"/>
          <c:extLst>
            <c:ext xmlns:c16="http://schemas.microsoft.com/office/drawing/2014/chart" uri="{C3380CC4-5D6E-409C-BE32-E72D297353CC}">
              <c16:uniqueId val="{00000009-DAB6-4E2F-A98E-B68C88AE7D8D}"/>
            </c:ext>
          </c:extLst>
        </c:ser>
        <c:ser>
          <c:idx val="10"/>
          <c:order val="7"/>
          <c:tx>
            <c:strRef>
              <c:f>'Energy Balance'!$E$21</c:f>
              <c:strCache>
                <c:ptCount val="1"/>
                <c:pt idx="0">
                  <c:v>Total Theoretical Cathode Heat Losses [kWh/kg Si]</c:v>
                </c:pt>
              </c:strCache>
            </c:strRef>
          </c:tx>
          <c:spPr>
            <a:ln>
              <a:solidFill>
                <a:srgbClr val="9A0067"/>
              </a:solidFill>
              <a:prstDash val="sysDot"/>
            </a:ln>
          </c:spPr>
          <c:marker>
            <c:symbol val="diamond"/>
            <c:size val="7"/>
            <c:spPr>
              <a:solidFill>
                <a:srgbClr val="9A0067"/>
              </a:solidFill>
              <a:ln>
                <a:solidFill>
                  <a:srgbClr val="9A0067"/>
                </a:solidFill>
              </a:ln>
            </c:spPr>
          </c:marke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Balance'!$F$21:$N$21</c:f>
              <c:numCache>
                <c:formatCode>0.00</c:formatCode>
                <c:ptCount val="9"/>
                <c:pt idx="0">
                  <c:v>1.2108386040078227</c:v>
                </c:pt>
                <c:pt idx="1">
                  <c:v>1.271210059770046</c:v>
                </c:pt>
                <c:pt idx="2">
                  <c:v>1.3315262597243192</c:v>
                </c:pt>
                <c:pt idx="3">
                  <c:v>1.3917943877528136</c:v>
                </c:pt>
                <c:pt idx="4">
                  <c:v>1.4520204297443422</c:v>
                </c:pt>
                <c:pt idx="5">
                  <c:v>1.5122094141287374</c:v>
                </c:pt>
                <c:pt idx="6">
                  <c:v>1.5723655965245924</c:v>
                </c:pt>
                <c:pt idx="7">
                  <c:v>1.6324926031252383</c:v>
                </c:pt>
                <c:pt idx="8">
                  <c:v>1.6925935432208812</c:v>
                </c:pt>
              </c:numCache>
            </c:numRef>
          </c:val>
          <c:smooth val="0"/>
          <c:extLst>
            <c:ext xmlns:c16="http://schemas.microsoft.com/office/drawing/2014/chart" uri="{C3380CC4-5D6E-409C-BE32-E72D297353CC}">
              <c16:uniqueId val="{0000000A-DAB6-4E2F-A98E-B68C88AE7D8D}"/>
            </c:ext>
          </c:extLst>
        </c:ser>
        <c:ser>
          <c:idx val="11"/>
          <c:order val="8"/>
          <c:tx>
            <c:strRef>
              <c:f>'Energy Balance'!$E$22</c:f>
              <c:strCache>
                <c:ptCount val="1"/>
                <c:pt idx="0">
                  <c:v>Specific Heat Silicon Oxide [kWh/kg Si]</c:v>
                </c:pt>
              </c:strCache>
            </c:strRef>
          </c:tx>
          <c:spPr>
            <a:ln>
              <a:solidFill>
                <a:srgbClr val="006260"/>
              </a:solidFill>
              <a:prstDash val="sysDot"/>
            </a:ln>
          </c:spPr>
          <c:marker>
            <c:symbol val="diamond"/>
            <c:size val="7"/>
            <c:spPr>
              <a:solidFill>
                <a:srgbClr val="006260"/>
              </a:solidFill>
              <a:ln>
                <a:solidFill>
                  <a:srgbClr val="006260"/>
                </a:solidFill>
              </a:ln>
            </c:spPr>
          </c:marker>
          <c:cat>
            <c:numRef>
              <c:f>'Energy Balance'!$F$27:$N$27</c:f>
              <c:numCache>
                <c:formatCode>General</c:formatCode>
                <c:ptCount val="9"/>
                <c:pt idx="0">
                  <c:v>900</c:v>
                </c:pt>
                <c:pt idx="1">
                  <c:v>950</c:v>
                </c:pt>
                <c:pt idx="2">
                  <c:v>1000</c:v>
                </c:pt>
                <c:pt idx="3">
                  <c:v>1050</c:v>
                </c:pt>
                <c:pt idx="4">
                  <c:v>1100</c:v>
                </c:pt>
                <c:pt idx="5">
                  <c:v>1150</c:v>
                </c:pt>
                <c:pt idx="6">
                  <c:v>1200</c:v>
                </c:pt>
                <c:pt idx="7">
                  <c:v>1250</c:v>
                </c:pt>
                <c:pt idx="8">
                  <c:v>1300</c:v>
                </c:pt>
              </c:numCache>
            </c:numRef>
          </c:cat>
          <c:val>
            <c:numRef>
              <c:f>'Energy Balance'!$F$22:$N$22</c:f>
              <c:numCache>
                <c:formatCode>0.00</c:formatCode>
                <c:ptCount val="9"/>
                <c:pt idx="0">
                  <c:v>0.26560188267495194</c:v>
                </c:pt>
                <c:pt idx="1">
                  <c:v>0.28200593652907235</c:v>
                </c:pt>
                <c:pt idx="2">
                  <c:v>0.29853482393845249</c:v>
                </c:pt>
                <c:pt idx="3">
                  <c:v>0.31515941707353157</c:v>
                </c:pt>
                <c:pt idx="4">
                  <c:v>0.33189636040834442</c:v>
                </c:pt>
                <c:pt idx="5">
                  <c:v>0.34875027740790054</c:v>
                </c:pt>
                <c:pt idx="6">
                  <c:v>0.3657415113182424</c:v>
                </c:pt>
                <c:pt idx="7">
                  <c:v>0.38294542461902648</c:v>
                </c:pt>
                <c:pt idx="8">
                  <c:v>0.40039900503032994</c:v>
                </c:pt>
              </c:numCache>
            </c:numRef>
          </c:val>
          <c:smooth val="0"/>
          <c:extLst>
            <c:ext xmlns:c16="http://schemas.microsoft.com/office/drawing/2014/chart" uri="{C3380CC4-5D6E-409C-BE32-E72D297353CC}">
              <c16:uniqueId val="{0000000B-DAB6-4E2F-A98E-B68C88AE7D8D}"/>
            </c:ext>
          </c:extLst>
        </c:ser>
        <c:dLbls>
          <c:showLegendKey val="0"/>
          <c:showVal val="0"/>
          <c:showCatName val="0"/>
          <c:showSerName val="0"/>
          <c:showPercent val="0"/>
          <c:showBubbleSize val="0"/>
        </c:dLbls>
        <c:marker val="1"/>
        <c:smooth val="0"/>
        <c:axId val="104825216"/>
        <c:axId val="104814848"/>
      </c:lineChart>
      <c:catAx>
        <c:axId val="104798080"/>
        <c:scaling>
          <c:orientation val="minMax"/>
        </c:scaling>
        <c:delete val="0"/>
        <c:axPos val="b"/>
        <c:majorGridlines>
          <c:spPr>
            <a:ln>
              <a:noFill/>
            </a:ln>
          </c:spPr>
        </c:majorGridlines>
        <c:title>
          <c:tx>
            <c:rich>
              <a:bodyPr/>
              <a:lstStyle/>
              <a:p>
                <a:pPr>
                  <a:defRPr sz="1100"/>
                </a:pPr>
                <a:r>
                  <a:rPr lang="en-US" sz="1100"/>
                  <a:t>Temperature, C</a:t>
                </a:r>
              </a:p>
            </c:rich>
          </c:tx>
          <c:overlay val="0"/>
        </c:title>
        <c:numFmt formatCode="General" sourceLinked="1"/>
        <c:majorTickMark val="out"/>
        <c:minorTickMark val="none"/>
        <c:tickLblPos val="nextTo"/>
        <c:spPr>
          <a:ln w="15875">
            <a:solidFill>
              <a:schemeClr val="tx1"/>
            </a:solidFill>
          </a:ln>
        </c:spPr>
        <c:txPr>
          <a:bodyPr rot="0" vert="horz"/>
          <a:lstStyle/>
          <a:p>
            <a:pPr>
              <a:defRPr sz="1100"/>
            </a:pPr>
            <a:endParaRPr lang="en-US"/>
          </a:p>
        </c:txPr>
        <c:crossAx val="104812928"/>
        <c:crosses val="autoZero"/>
        <c:auto val="0"/>
        <c:lblAlgn val="ctr"/>
        <c:lblOffset val="100"/>
        <c:noMultiLvlLbl val="0"/>
      </c:catAx>
      <c:valAx>
        <c:axId val="104812928"/>
        <c:scaling>
          <c:orientation val="minMax"/>
          <c:max val="5"/>
        </c:scaling>
        <c:delete val="0"/>
        <c:axPos val="l"/>
        <c:majorGridlines>
          <c:spPr>
            <a:ln>
              <a:noFill/>
            </a:ln>
          </c:spPr>
        </c:majorGridlines>
        <c:title>
          <c:tx>
            <c:rich>
              <a:bodyPr rot="-5400000" vert="horz"/>
              <a:lstStyle/>
              <a:p>
                <a:pPr>
                  <a:defRPr sz="1100"/>
                </a:pPr>
                <a:r>
                  <a:rPr lang="en-US" sz="1100"/>
                  <a:t>Cell</a:t>
                </a:r>
                <a:r>
                  <a:rPr lang="en-US" sz="1100" baseline="0"/>
                  <a:t> Free Energy [V]</a:t>
                </a:r>
                <a:endParaRPr lang="en-US" sz="1100"/>
              </a:p>
            </c:rich>
          </c:tx>
          <c:overlay val="0"/>
        </c:title>
        <c:numFmt formatCode="0.00" sourceLinked="0"/>
        <c:majorTickMark val="out"/>
        <c:minorTickMark val="none"/>
        <c:tickLblPos val="nextTo"/>
        <c:spPr>
          <a:ln w="15875">
            <a:solidFill>
              <a:schemeClr val="tx1"/>
            </a:solidFill>
          </a:ln>
        </c:spPr>
        <c:txPr>
          <a:bodyPr/>
          <a:lstStyle/>
          <a:p>
            <a:pPr>
              <a:defRPr sz="1100"/>
            </a:pPr>
            <a:endParaRPr lang="en-US"/>
          </a:p>
        </c:txPr>
        <c:crossAx val="104798080"/>
        <c:crosses val="autoZero"/>
        <c:crossBetween val="midCat"/>
      </c:valAx>
      <c:valAx>
        <c:axId val="104814848"/>
        <c:scaling>
          <c:orientation val="minMax"/>
          <c:max val="19"/>
          <c:min val="0"/>
        </c:scaling>
        <c:delete val="0"/>
        <c:axPos val="r"/>
        <c:title>
          <c:tx>
            <c:rich>
              <a:bodyPr rot="-5400000" vert="horz"/>
              <a:lstStyle/>
              <a:p>
                <a:pPr>
                  <a:defRPr sz="1100"/>
                </a:pPr>
                <a:r>
                  <a:rPr lang="en-US" sz="1100"/>
                  <a:t>Heat Enthalpy [kWh/kg Si]</a:t>
                </a:r>
              </a:p>
            </c:rich>
          </c:tx>
          <c:overlay val="0"/>
        </c:title>
        <c:numFmt formatCode="0.00" sourceLinked="1"/>
        <c:majorTickMark val="out"/>
        <c:minorTickMark val="none"/>
        <c:tickLblPos val="nextTo"/>
        <c:spPr>
          <a:ln w="15875">
            <a:solidFill>
              <a:schemeClr val="tx1"/>
            </a:solidFill>
          </a:ln>
        </c:spPr>
        <c:txPr>
          <a:bodyPr/>
          <a:lstStyle/>
          <a:p>
            <a:pPr>
              <a:defRPr sz="1100"/>
            </a:pPr>
            <a:endParaRPr lang="en-US"/>
          </a:p>
        </c:txPr>
        <c:crossAx val="104825216"/>
        <c:crosses val="max"/>
        <c:crossBetween val="midCat"/>
        <c:majorUnit val="2"/>
      </c:valAx>
      <c:catAx>
        <c:axId val="104825216"/>
        <c:scaling>
          <c:orientation val="minMax"/>
        </c:scaling>
        <c:delete val="1"/>
        <c:axPos val="t"/>
        <c:numFmt formatCode="General" sourceLinked="1"/>
        <c:majorTickMark val="out"/>
        <c:minorTickMark val="none"/>
        <c:tickLblPos val="nextTo"/>
        <c:crossAx val="104814848"/>
        <c:crosses val="max"/>
        <c:auto val="1"/>
        <c:lblAlgn val="ctr"/>
        <c:lblOffset val="100"/>
        <c:noMultiLvlLbl val="0"/>
      </c:catAx>
    </c:plotArea>
    <c:legend>
      <c:legendPos val="r"/>
      <c:layout>
        <c:manualLayout>
          <c:xMode val="edge"/>
          <c:yMode val="edge"/>
          <c:x val="0.69048036505573085"/>
          <c:y val="2.7483628064583588E-2"/>
          <c:w val="0.30625897092645271"/>
          <c:h val="0.7444994189458628"/>
        </c:manualLayout>
      </c:layout>
      <c:overlay val="0"/>
    </c:legend>
    <c:plotVisOnly val="1"/>
    <c:dispBlanksAs val="zero"/>
    <c:showDLblsOverMax val="0"/>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Operating Cost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2B-4656-8CAA-C65E252EAE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2B-4656-8CAA-C65E252EAE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2B-4656-8CAA-C65E252EAE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2B-4656-8CAA-C65E252EAE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DC-4359-B2B9-307921E110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Interview)'!$B$37:$B$41</c:f>
              <c:strCache>
                <c:ptCount val="5"/>
                <c:pt idx="0">
                  <c:v>Annual Raw Material</c:v>
                </c:pt>
                <c:pt idx="1">
                  <c:v>Energy Cost</c:v>
                </c:pt>
                <c:pt idx="2">
                  <c:v>Labor</c:v>
                </c:pt>
                <c:pt idx="3">
                  <c:v>Utilities (other than Electricity)</c:v>
                </c:pt>
                <c:pt idx="4">
                  <c:v>Overheads</c:v>
                </c:pt>
              </c:strCache>
            </c:strRef>
          </c:cat>
          <c:val>
            <c:numRef>
              <c:f>'Cost Analysis (Ref. Interview)'!$C$37:$C$41</c:f>
              <c:numCache>
                <c:formatCode>_("$"* #,##0.00_);_("$"* \(#,##0.00\);_("$"* "-"??_);_(@_)</c:formatCode>
                <c:ptCount val="5"/>
                <c:pt idx="0">
                  <c:v>887472820</c:v>
                </c:pt>
                <c:pt idx="1">
                  <c:v>68709221.348021671</c:v>
                </c:pt>
                <c:pt idx="2">
                  <c:v>58770400</c:v>
                </c:pt>
                <c:pt idx="3">
                  <c:v>13000000</c:v>
                </c:pt>
                <c:pt idx="4">
                  <c:v>256988110.00000003</c:v>
                </c:pt>
              </c:numCache>
            </c:numRef>
          </c:val>
          <c:extLst>
            <c:ext xmlns:c16="http://schemas.microsoft.com/office/drawing/2014/chart" uri="{C3380CC4-5D6E-409C-BE32-E72D297353CC}">
              <c16:uniqueId val="{00000000-27D7-4F68-B8A5-18226EE9C63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Analysis (Ref. Interview)'!$C$57</c:f>
              <c:strCache>
                <c:ptCount val="1"/>
                <c:pt idx="0">
                  <c:v>Net Revenue</c:v>
                </c:pt>
              </c:strCache>
            </c:strRef>
          </c:tx>
          <c:spPr>
            <a:solidFill>
              <a:schemeClr val="accent3"/>
            </a:solidFill>
            <a:ln>
              <a:noFill/>
            </a:ln>
            <a:effectLst/>
          </c:spPr>
          <c:invertIfNegative val="0"/>
          <c:cat>
            <c:numRef>
              <c:f>'Cost Analysis (Ref. Interview)'!$B$58:$B$78</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'Cost Analysis (Ref. Interview)'!$C$58:$C$78</c:f>
              <c:numCache>
                <c:formatCode>_("$"* #,##0_);_("$"* \(#,##0\);_("$"* "-"??_);_(@_)</c:formatCode>
                <c:ptCount val="21"/>
                <c:pt idx="0">
                  <c:v>0</c:v>
                </c:pt>
                <c:pt idx="1">
                  <c:v>0</c:v>
                </c:pt>
                <c:pt idx="2">
                  <c:v>0</c:v>
                </c:pt>
                <c:pt idx="3">
                  <c:v>360000000</c:v>
                </c:pt>
                <c:pt idx="4">
                  <c:v>352800000</c:v>
                </c:pt>
                <c:pt idx="5">
                  <c:v>691490000</c:v>
                </c:pt>
                <c:pt idx="6">
                  <c:v>677660000</c:v>
                </c:pt>
                <c:pt idx="7">
                  <c:v>664110000</c:v>
                </c:pt>
                <c:pt idx="8">
                  <c:v>650830000</c:v>
                </c:pt>
                <c:pt idx="9">
                  <c:v>637810000</c:v>
                </c:pt>
                <c:pt idx="10">
                  <c:v>625050000</c:v>
                </c:pt>
                <c:pt idx="11">
                  <c:v>612550000</c:v>
                </c:pt>
                <c:pt idx="12">
                  <c:v>600300000</c:v>
                </c:pt>
                <c:pt idx="13">
                  <c:v>588290000</c:v>
                </c:pt>
                <c:pt idx="14">
                  <c:v>576520000</c:v>
                </c:pt>
                <c:pt idx="15">
                  <c:v>564990000</c:v>
                </c:pt>
                <c:pt idx="16">
                  <c:v>553690000</c:v>
                </c:pt>
                <c:pt idx="17">
                  <c:v>542620000</c:v>
                </c:pt>
                <c:pt idx="18">
                  <c:v>531770000</c:v>
                </c:pt>
                <c:pt idx="19">
                  <c:v>521130000</c:v>
                </c:pt>
                <c:pt idx="20">
                  <c:v>510710000</c:v>
                </c:pt>
              </c:numCache>
            </c:numRef>
          </c:val>
          <c:extLst>
            <c:ext xmlns:c16="http://schemas.microsoft.com/office/drawing/2014/chart" uri="{C3380CC4-5D6E-409C-BE32-E72D297353CC}">
              <c16:uniqueId val="{00000001-88C8-404B-8F9B-A84E2C5AC965}"/>
            </c:ext>
          </c:extLst>
        </c:ser>
        <c:ser>
          <c:idx val="1"/>
          <c:order val="1"/>
          <c:tx>
            <c:strRef>
              <c:f>'Cost Analysis (Ref. Interview)'!$F$57</c:f>
              <c:strCache>
                <c:ptCount val="1"/>
                <c:pt idx="0">
                  <c:v>Net Spend</c:v>
                </c:pt>
              </c:strCache>
            </c:strRef>
          </c:tx>
          <c:spPr>
            <a:solidFill>
              <a:schemeClr val="accent2"/>
            </a:solidFill>
            <a:ln>
              <a:noFill/>
            </a:ln>
            <a:effectLst/>
          </c:spPr>
          <c:invertIfNegative val="0"/>
          <c:cat>
            <c:numRef>
              <c:f>'Cost Analysis (Ref. Interview)'!$B$58:$B$78</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'Cost Analysis (Ref. Interview)'!$F$58:$F$78</c:f>
              <c:numCache>
                <c:formatCode>_("$"* #,##0_);_("$"* \(#,##0\);_("$"* "-"??_);_(@_)</c:formatCode>
                <c:ptCount val="21"/>
                <c:pt idx="0">
                  <c:v>-32500800</c:v>
                </c:pt>
                <c:pt idx="1">
                  <c:v>-167623568.79451355</c:v>
                </c:pt>
                <c:pt idx="2">
                  <c:v>-1005741412.7670811</c:v>
                </c:pt>
                <c:pt idx="3">
                  <c:v>-1145340706.3835406</c:v>
                </c:pt>
                <c:pt idx="4">
                  <c:v>-655320000</c:v>
                </c:pt>
                <c:pt idx="5">
                  <c:v>-1336850000</c:v>
                </c:pt>
                <c:pt idx="6">
                  <c:v>-1363590000</c:v>
                </c:pt>
                <c:pt idx="7">
                  <c:v>-1390860000</c:v>
                </c:pt>
                <c:pt idx="8">
                  <c:v>-1418680000</c:v>
                </c:pt>
                <c:pt idx="9">
                  <c:v>-1447050000</c:v>
                </c:pt>
                <c:pt idx="10">
                  <c:v>-1475990000</c:v>
                </c:pt>
                <c:pt idx="11">
                  <c:v>-1505510000</c:v>
                </c:pt>
                <c:pt idx="12">
                  <c:v>-1535620000</c:v>
                </c:pt>
                <c:pt idx="13">
                  <c:v>-1566330000</c:v>
                </c:pt>
                <c:pt idx="14">
                  <c:v>-1597660000</c:v>
                </c:pt>
                <c:pt idx="15">
                  <c:v>-1629610000</c:v>
                </c:pt>
                <c:pt idx="16">
                  <c:v>-1662200000</c:v>
                </c:pt>
                <c:pt idx="17">
                  <c:v>-1695440000</c:v>
                </c:pt>
                <c:pt idx="18">
                  <c:v>-1729350000</c:v>
                </c:pt>
                <c:pt idx="19">
                  <c:v>-1763940000</c:v>
                </c:pt>
                <c:pt idx="20">
                  <c:v>-1799220000</c:v>
                </c:pt>
              </c:numCache>
            </c:numRef>
          </c:val>
          <c:extLst>
            <c:ext xmlns:c16="http://schemas.microsoft.com/office/drawing/2014/chart" uri="{C3380CC4-5D6E-409C-BE32-E72D297353CC}">
              <c16:uniqueId val="{00000002-88C8-404B-8F9B-A84E2C5AC965}"/>
            </c:ext>
          </c:extLst>
        </c:ser>
        <c:dLbls>
          <c:showLegendKey val="0"/>
          <c:showVal val="0"/>
          <c:showCatName val="0"/>
          <c:showSerName val="0"/>
          <c:showPercent val="0"/>
          <c:showBubbleSize val="0"/>
        </c:dLbls>
        <c:gapWidth val="150"/>
        <c:overlap val="100"/>
        <c:axId val="687918248"/>
        <c:axId val="685867760"/>
      </c:barChart>
      <c:lineChart>
        <c:grouping val="standard"/>
        <c:varyColors val="0"/>
        <c:ser>
          <c:idx val="2"/>
          <c:order val="2"/>
          <c:tx>
            <c:strRef>
              <c:f>'Cost Analysis (Ref. Interview)'!$G$57</c:f>
              <c:strCache>
                <c:ptCount val="1"/>
                <c:pt idx="0">
                  <c:v>Cumulative Cash</c:v>
                </c:pt>
              </c:strCache>
            </c:strRef>
          </c:tx>
          <c:spPr>
            <a:ln w="19050" cap="rnd">
              <a:solidFill>
                <a:schemeClr val="tx2"/>
              </a:solidFill>
              <a:round/>
            </a:ln>
            <a:effectLst/>
          </c:spPr>
          <c:marker>
            <c:symbol val="circle"/>
            <c:size val="5"/>
            <c:spPr>
              <a:solidFill>
                <a:schemeClr val="tx2"/>
              </a:solidFill>
              <a:ln w="9525">
                <a:solidFill>
                  <a:schemeClr val="tx2"/>
                </a:solidFill>
              </a:ln>
              <a:effectLst/>
            </c:spPr>
          </c:marker>
          <c:cat>
            <c:numRef>
              <c:f>'Cost Analysis (Ref. Interview)'!$B$58:$B$78</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'Cost Analysis (Ref. Interview)'!$G$58:$G$78</c:f>
              <c:numCache>
                <c:formatCode>_("$"* #,##0_);_("$"* \(#,##0\);_("$"* "-"??_);_(@_)</c:formatCode>
                <c:ptCount val="21"/>
                <c:pt idx="0">
                  <c:v>-32500800</c:v>
                </c:pt>
                <c:pt idx="1">
                  <c:v>-200124368.79451355</c:v>
                </c:pt>
                <c:pt idx="2">
                  <c:v>-1205865781.5615947</c:v>
                </c:pt>
                <c:pt idx="3">
                  <c:v>-1991206487.9451354</c:v>
                </c:pt>
                <c:pt idx="4">
                  <c:v>-2293726487.9451351</c:v>
                </c:pt>
                <c:pt idx="5">
                  <c:v>-2939086487.9451351</c:v>
                </c:pt>
                <c:pt idx="6">
                  <c:v>-3625016487.9451351</c:v>
                </c:pt>
                <c:pt idx="7">
                  <c:v>-4351766487.9451351</c:v>
                </c:pt>
                <c:pt idx="8">
                  <c:v>-5119616487.9451351</c:v>
                </c:pt>
                <c:pt idx="9">
                  <c:v>-5928856487.9451351</c:v>
                </c:pt>
                <c:pt idx="10">
                  <c:v>-6779796487.9451351</c:v>
                </c:pt>
                <c:pt idx="11">
                  <c:v>-7672756487.9451351</c:v>
                </c:pt>
                <c:pt idx="12">
                  <c:v>-8608076487.9451351</c:v>
                </c:pt>
                <c:pt idx="13">
                  <c:v>-9586116487.9451351</c:v>
                </c:pt>
                <c:pt idx="14">
                  <c:v>-10607256487.945135</c:v>
                </c:pt>
                <c:pt idx="15">
                  <c:v>-11671876487.945135</c:v>
                </c:pt>
                <c:pt idx="16">
                  <c:v>-12780386487.945135</c:v>
                </c:pt>
                <c:pt idx="17">
                  <c:v>-13933206487.945135</c:v>
                </c:pt>
                <c:pt idx="18">
                  <c:v>-15130786487.945135</c:v>
                </c:pt>
                <c:pt idx="19">
                  <c:v>-16373596487.945135</c:v>
                </c:pt>
                <c:pt idx="20">
                  <c:v>-17662106487.945137</c:v>
                </c:pt>
              </c:numCache>
            </c:numRef>
          </c:val>
          <c:smooth val="0"/>
          <c:extLst>
            <c:ext xmlns:c16="http://schemas.microsoft.com/office/drawing/2014/chart" uri="{C3380CC4-5D6E-409C-BE32-E72D297353CC}">
              <c16:uniqueId val="{00000003-88C8-404B-8F9B-A84E2C5AC965}"/>
            </c:ext>
          </c:extLst>
        </c:ser>
        <c:dLbls>
          <c:showLegendKey val="0"/>
          <c:showVal val="0"/>
          <c:showCatName val="0"/>
          <c:showSerName val="0"/>
          <c:showPercent val="0"/>
          <c:showBubbleSize val="0"/>
        </c:dLbls>
        <c:marker val="1"/>
        <c:smooth val="0"/>
        <c:axId val="687918248"/>
        <c:axId val="685867760"/>
      </c:lineChart>
      <c:catAx>
        <c:axId val="687918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Year</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85867760"/>
        <c:crosses val="autoZero"/>
        <c:auto val="1"/>
        <c:lblAlgn val="ctr"/>
        <c:lblOffset val="100"/>
        <c:noMultiLvlLbl val="0"/>
      </c:catAx>
      <c:valAx>
        <c:axId val="685867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Cash Flow</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7918248"/>
        <c:crosses val="autoZero"/>
        <c:crossBetween val="between"/>
      </c:valAx>
      <c:spPr>
        <a:noFill/>
        <a:ln>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Operating</a:t>
            </a:r>
            <a:r>
              <a:rPr lang="en-US" baseline="0"/>
              <a:t> Cost Sensitivity to Inputs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88497437706791"/>
          <c:y val="0.10005159071367155"/>
          <c:w val="0.76250509355535001"/>
          <c:h val="0.79264568283220826"/>
        </c:manualLayout>
      </c:layout>
      <c:barChart>
        <c:barDir val="bar"/>
        <c:grouping val="clustered"/>
        <c:varyColors val="0"/>
        <c:ser>
          <c:idx val="0"/>
          <c:order val="0"/>
          <c:tx>
            <c:strRef>
              <c:f>'Cost Analysis (Ref. Model)'!$H$7</c:f>
              <c:strCache>
                <c:ptCount val="1"/>
                <c:pt idx="0">
                  <c:v> Interview </c:v>
                </c:pt>
              </c:strCache>
            </c:strRef>
          </c:tx>
          <c:spPr>
            <a:solidFill>
              <a:schemeClr val="accent1"/>
            </a:solidFill>
            <a:ln>
              <a:noFill/>
            </a:ln>
            <a:effectLst/>
          </c:spPr>
          <c:invertIfNegative val="0"/>
          <c:cat>
            <c:strRef>
              <c:f>'Cost Analysis (Ref. Model)'!$G$8:$G$11</c:f>
              <c:strCache>
                <c:ptCount val="4"/>
                <c:pt idx="0">
                  <c:v> Annual Raw Material </c:v>
                </c:pt>
                <c:pt idx="1">
                  <c:v> Labor </c:v>
                </c:pt>
                <c:pt idx="2">
                  <c:v> Overheads </c:v>
                </c:pt>
                <c:pt idx="3">
                  <c:v> Utilities + Energy </c:v>
                </c:pt>
              </c:strCache>
            </c:strRef>
          </c:cat>
          <c:val>
            <c:numRef>
              <c:f>'Cost Analysis (Ref. Model)'!$H$8:$H$11</c:f>
              <c:numCache>
                <c:formatCode>_("$"* #,##0_);_("$"* \(#,##0\);_("$"* "-"??_);_(@_)</c:formatCode>
                <c:ptCount val="4"/>
                <c:pt idx="0">
                  <c:v>-887472820</c:v>
                </c:pt>
                <c:pt idx="1">
                  <c:v>-58770400</c:v>
                </c:pt>
                <c:pt idx="2">
                  <c:v>-256988110.00000003</c:v>
                </c:pt>
                <c:pt idx="3">
                  <c:v>-81709221.348021671</c:v>
                </c:pt>
              </c:numCache>
            </c:numRef>
          </c:val>
          <c:extLst>
            <c:ext xmlns:c16="http://schemas.microsoft.com/office/drawing/2014/chart" uri="{C3380CC4-5D6E-409C-BE32-E72D297353CC}">
              <c16:uniqueId val="{00000003-91DC-4E62-96C8-4FACBBCCB912}"/>
            </c:ext>
          </c:extLst>
        </c:ser>
        <c:ser>
          <c:idx val="1"/>
          <c:order val="1"/>
          <c:tx>
            <c:strRef>
              <c:f>'Cost Analysis (Ref. Model)'!$I$7</c:f>
              <c:strCache>
                <c:ptCount val="1"/>
                <c:pt idx="0">
                  <c:v> Cost Model </c:v>
                </c:pt>
              </c:strCache>
            </c:strRef>
          </c:tx>
          <c:spPr>
            <a:solidFill>
              <a:schemeClr val="accent2"/>
            </a:solidFill>
            <a:ln>
              <a:noFill/>
            </a:ln>
            <a:effectLst/>
          </c:spPr>
          <c:invertIfNegative val="0"/>
          <c:cat>
            <c:strRef>
              <c:f>'Cost Analysis (Ref. Model)'!$G$8:$G$11</c:f>
              <c:strCache>
                <c:ptCount val="4"/>
                <c:pt idx="0">
                  <c:v> Annual Raw Material </c:v>
                </c:pt>
                <c:pt idx="1">
                  <c:v> Labor </c:v>
                </c:pt>
                <c:pt idx="2">
                  <c:v> Overheads </c:v>
                </c:pt>
                <c:pt idx="3">
                  <c:v> Utilities + Energy </c:v>
                </c:pt>
              </c:strCache>
            </c:strRef>
          </c:cat>
          <c:val>
            <c:numRef>
              <c:f>'Cost Analysis (Ref. Model)'!$I$8:$I$11</c:f>
              <c:numCache>
                <c:formatCode>_("$"* #,##0_);_("$"* \(#,##0\);_("$"* "-"??_);_(@_)</c:formatCode>
                <c:ptCount val="4"/>
                <c:pt idx="0">
                  <c:v>975532514</c:v>
                </c:pt>
                <c:pt idx="1">
                  <c:v>70022124</c:v>
                </c:pt>
                <c:pt idx="2">
                  <c:v>0</c:v>
                </c:pt>
                <c:pt idx="3">
                  <c:v>81709221.348021671</c:v>
                </c:pt>
              </c:numCache>
            </c:numRef>
          </c:val>
          <c:extLst>
            <c:ext xmlns:c16="http://schemas.microsoft.com/office/drawing/2014/chart" uri="{C3380CC4-5D6E-409C-BE32-E72D297353CC}">
              <c16:uniqueId val="{00000004-91DC-4E62-96C8-4FACBBCCB912}"/>
            </c:ext>
          </c:extLst>
        </c:ser>
        <c:dLbls>
          <c:showLegendKey val="0"/>
          <c:showVal val="0"/>
          <c:showCatName val="0"/>
          <c:showSerName val="0"/>
          <c:showPercent val="0"/>
          <c:showBubbleSize val="0"/>
        </c:dLbls>
        <c:gapWidth val="326"/>
        <c:overlap val="100"/>
        <c:axId val="1154528144"/>
        <c:axId val="942968032"/>
      </c:barChart>
      <c:catAx>
        <c:axId val="1154528144"/>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968032"/>
        <c:crosses val="autoZero"/>
        <c:auto val="1"/>
        <c:lblAlgn val="ctr"/>
        <c:lblOffset val="100"/>
        <c:noMultiLvlLbl val="0"/>
      </c:catAx>
      <c:valAx>
        <c:axId val="9429680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quot;$&quot;###0" sourceLinked="0"/>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528144"/>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Operating Costs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E0-408F-93CB-8702204C652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E0-408F-93CB-8702204C652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5E0-408F-93CB-8702204C6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Model)'!$B$16,'Cost Analysis (Ref. Model)'!$B$24,'Cost Analysis (Ref. Model)'!$B$34)</c:f>
              <c:strCache>
                <c:ptCount val="3"/>
                <c:pt idx="0">
                  <c:v>Fixed Costs</c:v>
                </c:pt>
                <c:pt idx="1">
                  <c:v>Variable Costs</c:v>
                </c:pt>
                <c:pt idx="2">
                  <c:v>Indirect Costs</c:v>
                </c:pt>
              </c:strCache>
            </c:strRef>
          </c:cat>
          <c:val>
            <c:numRef>
              <c:f>('Cost Analysis (Ref. Model)'!$E$16,'Cost Analysis (Ref. Model)'!$E$24,'Cost Analysis (Ref. Model)'!$E$34)</c:f>
              <c:numCache>
                <c:formatCode>_("$"* #,##0_);_("$"* \(#,##0\);_("$"* "-"??_);_(@_)</c:formatCode>
                <c:ptCount val="3"/>
                <c:pt idx="0">
                  <c:v>219405353.32064933</c:v>
                </c:pt>
                <c:pt idx="1">
                  <c:v>1057241735.3480216</c:v>
                </c:pt>
                <c:pt idx="2">
                  <c:v>319161772.16716772</c:v>
                </c:pt>
              </c:numCache>
            </c:numRef>
          </c:val>
          <c:extLst>
            <c:ext xmlns:c16="http://schemas.microsoft.com/office/drawing/2014/chart" uri="{C3380CC4-5D6E-409C-BE32-E72D297353CC}">
              <c16:uniqueId val="{00000006-F5E0-408F-93CB-8702204C652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Operating Costs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5E0-408F-93CB-8702204C652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5E0-408F-93CB-8702204C652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5E0-408F-93CB-8702204C6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Model)'!$B$16,'Cost Analysis (Ref. Model)'!$B$24,'Cost Analysis (Ref. Model)'!$B$34)</c:f>
              <c:strCache>
                <c:ptCount val="3"/>
                <c:pt idx="0">
                  <c:v>Fixed Costs</c:v>
                </c:pt>
                <c:pt idx="1">
                  <c:v>Variable Costs</c:v>
                </c:pt>
                <c:pt idx="2">
                  <c:v>Indirect Costs</c:v>
                </c:pt>
              </c:strCache>
            </c:strRef>
          </c:cat>
          <c:val>
            <c:numRef>
              <c:f>('Cost Analysis (Ref. Model)'!$E$16,'Cost Analysis (Ref. Model)'!$E$24,'Cost Analysis (Ref. Model)'!$E$34)</c:f>
              <c:numCache>
                <c:formatCode>_("$"* #,##0_);_("$"* \(#,##0\);_("$"* "-"??_);_(@_)</c:formatCode>
                <c:ptCount val="3"/>
                <c:pt idx="0">
                  <c:v>219405353.32064933</c:v>
                </c:pt>
                <c:pt idx="1">
                  <c:v>1057241735.3480216</c:v>
                </c:pt>
                <c:pt idx="2">
                  <c:v>319161772.16716772</c:v>
                </c:pt>
              </c:numCache>
            </c:numRef>
          </c:val>
          <c:extLst>
            <c:ext xmlns:c16="http://schemas.microsoft.com/office/drawing/2014/chart" uri="{C3380CC4-5D6E-409C-BE32-E72D297353CC}">
              <c16:uniqueId val="{00000006-F5E0-408F-93CB-8702204C652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Fixed Costs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6C-4E61-B66D-238B644A3E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6C-4E61-B66D-238B644A3E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6C-4E61-B66D-238B644A3E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6C-4E61-B66D-238B644A3E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6C-4E61-B66D-238B644A3E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56C-4E61-B66D-238B644A3E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6C-4E61-B66D-238B644A3E6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Model)'!$B$17:$B$23</c:f>
              <c:strCache>
                <c:ptCount val="7"/>
                <c:pt idx="0">
                  <c:v>Maintenance</c:v>
                </c:pt>
                <c:pt idx="1">
                  <c:v>Operating Labor (OL)</c:v>
                </c:pt>
                <c:pt idx="2">
                  <c:v>Laboratory Costs</c:v>
                </c:pt>
                <c:pt idx="3">
                  <c:v>Supervision</c:v>
                </c:pt>
                <c:pt idx="4">
                  <c:v>Plant Overheads</c:v>
                </c:pt>
                <c:pt idx="5">
                  <c:v>Insurance</c:v>
                </c:pt>
                <c:pt idx="6">
                  <c:v>Royalties</c:v>
                </c:pt>
              </c:strCache>
            </c:strRef>
          </c:cat>
          <c:val>
            <c:numRef>
              <c:f>'Cost Analysis (Ref. Model)'!$E$17:$E$23</c:f>
              <c:numCache>
                <c:formatCode>_("$"* #,##0_);_("$"* \(#,##0\);_("$"* "-"??_);_(@_)</c:formatCode>
                <c:ptCount val="7"/>
                <c:pt idx="0">
                  <c:v>98400338.937354758</c:v>
                </c:pt>
                <c:pt idx="1">
                  <c:v>49485600</c:v>
                </c:pt>
                <c:pt idx="2">
                  <c:v>10639404.000000002</c:v>
                </c:pt>
                <c:pt idx="3">
                  <c:v>9897120</c:v>
                </c:pt>
                <c:pt idx="4">
                  <c:v>24742800</c:v>
                </c:pt>
                <c:pt idx="5">
                  <c:v>13120045.191647299</c:v>
                </c:pt>
                <c:pt idx="6">
                  <c:v>13120045.191647299</c:v>
                </c:pt>
              </c:numCache>
            </c:numRef>
          </c:val>
          <c:extLst>
            <c:ext xmlns:c16="http://schemas.microsoft.com/office/drawing/2014/chart" uri="{C3380CC4-5D6E-409C-BE32-E72D297353CC}">
              <c16:uniqueId val="{0000000E-756C-4E61-B66D-238B644A3E6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Analysis (Ref. Model)'!$C$61</c:f>
              <c:strCache>
                <c:ptCount val="1"/>
                <c:pt idx="0">
                  <c:v>Net Revenue</c:v>
                </c:pt>
              </c:strCache>
            </c:strRef>
          </c:tx>
          <c:spPr>
            <a:solidFill>
              <a:schemeClr val="accent3"/>
            </a:solidFill>
            <a:ln>
              <a:noFill/>
            </a:ln>
            <a:effectLst/>
          </c:spPr>
          <c:invertIfNegative val="0"/>
          <c:cat>
            <c:numRef>
              <c:f>'Cost Analysis (Ref. Model)'!$B$62:$B$82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'Cost Analysis (Ref. Model)'!$C$62:$C$82</c:f>
              <c:numCache>
                <c:formatCode>_("$"* #,##0.00_);_("$"* \(#,##0.00\);_("$"* "-"??_);_(@_)</c:formatCode>
                <c:ptCount val="21"/>
                <c:pt idx="0">
                  <c:v>0</c:v>
                </c:pt>
                <c:pt idx="1">
                  <c:v>0</c:v>
                </c:pt>
                <c:pt idx="2">
                  <c:v>0</c:v>
                </c:pt>
                <c:pt idx="3">
                  <c:v>480000000</c:v>
                </c:pt>
                <c:pt idx="4">
                  <c:v>470400000</c:v>
                </c:pt>
                <c:pt idx="5">
                  <c:v>921980000</c:v>
                </c:pt>
                <c:pt idx="6">
                  <c:v>903540000</c:v>
                </c:pt>
                <c:pt idx="7">
                  <c:v>885470000</c:v>
                </c:pt>
                <c:pt idx="8">
                  <c:v>867760000</c:v>
                </c:pt>
                <c:pt idx="9">
                  <c:v>850400000</c:v>
                </c:pt>
                <c:pt idx="10">
                  <c:v>833390000</c:v>
                </c:pt>
                <c:pt idx="11">
                  <c:v>816720000</c:v>
                </c:pt>
                <c:pt idx="12">
                  <c:v>800390000</c:v>
                </c:pt>
                <c:pt idx="13">
                  <c:v>784380000</c:v>
                </c:pt>
                <c:pt idx="14">
                  <c:v>768690000</c:v>
                </c:pt>
                <c:pt idx="15">
                  <c:v>753320000</c:v>
                </c:pt>
                <c:pt idx="16">
                  <c:v>738250000</c:v>
                </c:pt>
                <c:pt idx="17">
                  <c:v>723490000</c:v>
                </c:pt>
                <c:pt idx="18">
                  <c:v>709020000</c:v>
                </c:pt>
                <c:pt idx="19">
                  <c:v>694840000</c:v>
                </c:pt>
                <c:pt idx="20">
                  <c:v>680940000</c:v>
                </c:pt>
              </c:numCache>
            </c:numRef>
          </c:val>
          <c:extLst>
            <c:ext xmlns:c16="http://schemas.microsoft.com/office/drawing/2014/chart" uri="{C3380CC4-5D6E-409C-BE32-E72D297353CC}">
              <c16:uniqueId val="{00000000-AD59-4AF9-9251-0936F5E47508}"/>
            </c:ext>
          </c:extLst>
        </c:ser>
        <c:ser>
          <c:idx val="1"/>
          <c:order val="1"/>
          <c:tx>
            <c:strRef>
              <c:f>'Cost Analysis (Ref. Model)'!$F$61</c:f>
              <c:strCache>
                <c:ptCount val="1"/>
                <c:pt idx="0">
                  <c:v>Net Spend</c:v>
                </c:pt>
              </c:strCache>
            </c:strRef>
          </c:tx>
          <c:spPr>
            <a:solidFill>
              <a:schemeClr val="accent2"/>
            </a:solidFill>
            <a:ln>
              <a:noFill/>
            </a:ln>
            <a:effectLst/>
          </c:spPr>
          <c:invertIfNegative val="0"/>
          <c:cat>
            <c:numRef>
              <c:f>'Cost Analysis (Ref. Model)'!$B$62:$B$82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'Cost Analysis (Ref. Model)'!$F$62:$F$82</c:f>
              <c:numCache>
                <c:formatCode>_("$"* #,##0.00_);_("$"* \(#,##0.00\);_("$"* "-"??_);_(@_)</c:formatCode>
                <c:ptCount val="21"/>
                <c:pt idx="0">
                  <c:v>-19620464.920005873</c:v>
                </c:pt>
                <c:pt idx="1">
                  <c:v>-166283255.44295409</c:v>
                </c:pt>
                <c:pt idx="2">
                  <c:v>-997699532.6577245</c:v>
                </c:pt>
                <c:pt idx="3">
                  <c:v>-1296749766.3288622</c:v>
                </c:pt>
                <c:pt idx="4">
                  <c:v>-813860000</c:v>
                </c:pt>
                <c:pt idx="5">
                  <c:v>-1660270000</c:v>
                </c:pt>
                <c:pt idx="6">
                  <c:v>-1693480000</c:v>
                </c:pt>
                <c:pt idx="7">
                  <c:v>-1727350000</c:v>
                </c:pt>
                <c:pt idx="8">
                  <c:v>-1761900000</c:v>
                </c:pt>
                <c:pt idx="9">
                  <c:v>-1797140000</c:v>
                </c:pt>
                <c:pt idx="10">
                  <c:v>-1833080000</c:v>
                </c:pt>
                <c:pt idx="11">
                  <c:v>-1869740000</c:v>
                </c:pt>
                <c:pt idx="12">
                  <c:v>-1907130000</c:v>
                </c:pt>
                <c:pt idx="13">
                  <c:v>-1945270000</c:v>
                </c:pt>
                <c:pt idx="14">
                  <c:v>-1984180000</c:v>
                </c:pt>
                <c:pt idx="15">
                  <c:v>-2023860000</c:v>
                </c:pt>
                <c:pt idx="16">
                  <c:v>-2064340000</c:v>
                </c:pt>
                <c:pt idx="17">
                  <c:v>-2105630000</c:v>
                </c:pt>
                <c:pt idx="18">
                  <c:v>-2147740000</c:v>
                </c:pt>
                <c:pt idx="19">
                  <c:v>-2190690000</c:v>
                </c:pt>
                <c:pt idx="20">
                  <c:v>-2234500000</c:v>
                </c:pt>
              </c:numCache>
            </c:numRef>
          </c:val>
          <c:extLst>
            <c:ext xmlns:c16="http://schemas.microsoft.com/office/drawing/2014/chart" uri="{C3380CC4-5D6E-409C-BE32-E72D297353CC}">
              <c16:uniqueId val="{00000001-AD59-4AF9-9251-0936F5E47508}"/>
            </c:ext>
          </c:extLst>
        </c:ser>
        <c:dLbls>
          <c:showLegendKey val="0"/>
          <c:showVal val="0"/>
          <c:showCatName val="0"/>
          <c:showSerName val="0"/>
          <c:showPercent val="0"/>
          <c:showBubbleSize val="0"/>
        </c:dLbls>
        <c:gapWidth val="150"/>
        <c:overlap val="100"/>
        <c:axId val="687918248"/>
        <c:axId val="685867760"/>
      </c:barChart>
      <c:lineChart>
        <c:grouping val="standard"/>
        <c:varyColors val="0"/>
        <c:ser>
          <c:idx val="2"/>
          <c:order val="2"/>
          <c:tx>
            <c:strRef>
              <c:f>'Cost Analysis (Ref. Model)'!$G$61</c:f>
              <c:strCache>
                <c:ptCount val="1"/>
                <c:pt idx="0">
                  <c:v>Cumulative Cash</c:v>
                </c:pt>
              </c:strCache>
            </c:strRef>
          </c:tx>
          <c:spPr>
            <a:ln w="19050" cap="rnd">
              <a:solidFill>
                <a:schemeClr val="tx2"/>
              </a:solidFill>
              <a:round/>
            </a:ln>
            <a:effectLst/>
          </c:spPr>
          <c:marker>
            <c:symbol val="circle"/>
            <c:size val="5"/>
            <c:spPr>
              <a:solidFill>
                <a:schemeClr val="tx2"/>
              </a:solidFill>
              <a:ln w="9525">
                <a:solidFill>
                  <a:schemeClr val="tx2"/>
                </a:solidFill>
              </a:ln>
              <a:effectLst/>
            </c:spPr>
          </c:marker>
          <c:cat>
            <c:numRef>
              <c:f>'Cost Analysis (Ref. Model)'!$B$62:$B$82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'Cost Analysis (Ref. Model)'!$G$62:$G$82</c:f>
              <c:numCache>
                <c:formatCode>_("$"* #,##0.00_);_("$"* \(#,##0.00\);_("$"* "-"??_);_(@_)</c:formatCode>
                <c:ptCount val="21"/>
                <c:pt idx="0">
                  <c:v>-19620464.920005873</c:v>
                </c:pt>
                <c:pt idx="1">
                  <c:v>-185903720.36295998</c:v>
                </c:pt>
                <c:pt idx="2">
                  <c:v>-1183603253.0206845</c:v>
                </c:pt>
                <c:pt idx="3">
                  <c:v>-2000353019.3495467</c:v>
                </c:pt>
                <c:pt idx="4">
                  <c:v>-2343813019.3495464</c:v>
                </c:pt>
                <c:pt idx="5">
                  <c:v>-3082103019.3495464</c:v>
                </c:pt>
                <c:pt idx="6">
                  <c:v>-3872043019.3495464</c:v>
                </c:pt>
                <c:pt idx="7">
                  <c:v>-4713923019.3495464</c:v>
                </c:pt>
                <c:pt idx="8">
                  <c:v>-5608063019.3495464</c:v>
                </c:pt>
                <c:pt idx="9">
                  <c:v>-6554803019.3495464</c:v>
                </c:pt>
                <c:pt idx="10">
                  <c:v>-7554493019.3495464</c:v>
                </c:pt>
                <c:pt idx="11">
                  <c:v>-8607513019.3495464</c:v>
                </c:pt>
                <c:pt idx="12">
                  <c:v>-9714253019.3495464</c:v>
                </c:pt>
                <c:pt idx="13">
                  <c:v>-10875143019.349546</c:v>
                </c:pt>
                <c:pt idx="14">
                  <c:v>-12090633019.349546</c:v>
                </c:pt>
                <c:pt idx="15">
                  <c:v>-13361173019.349546</c:v>
                </c:pt>
                <c:pt idx="16">
                  <c:v>-14687263019.349546</c:v>
                </c:pt>
                <c:pt idx="17">
                  <c:v>-16069403019.349546</c:v>
                </c:pt>
                <c:pt idx="18">
                  <c:v>-17508123019.349548</c:v>
                </c:pt>
                <c:pt idx="19">
                  <c:v>-19003973019.349548</c:v>
                </c:pt>
                <c:pt idx="20">
                  <c:v>-20557533019.349548</c:v>
                </c:pt>
              </c:numCache>
            </c:numRef>
          </c:val>
          <c:smooth val="0"/>
          <c:extLst>
            <c:ext xmlns:c16="http://schemas.microsoft.com/office/drawing/2014/chart" uri="{C3380CC4-5D6E-409C-BE32-E72D297353CC}">
              <c16:uniqueId val="{00000002-AD59-4AF9-9251-0936F5E47508}"/>
            </c:ext>
          </c:extLst>
        </c:ser>
        <c:dLbls>
          <c:showLegendKey val="0"/>
          <c:showVal val="0"/>
          <c:showCatName val="0"/>
          <c:showSerName val="0"/>
          <c:showPercent val="0"/>
          <c:showBubbleSize val="0"/>
        </c:dLbls>
        <c:marker val="1"/>
        <c:smooth val="0"/>
        <c:axId val="687918248"/>
        <c:axId val="685867760"/>
      </c:lineChart>
      <c:catAx>
        <c:axId val="687918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Year</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85867760"/>
        <c:crosses val="autoZero"/>
        <c:auto val="1"/>
        <c:lblAlgn val="ctr"/>
        <c:lblOffset val="100"/>
        <c:noMultiLvlLbl val="0"/>
      </c:catAx>
      <c:valAx>
        <c:axId val="685867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Cash Flow</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_(&quot;$&quot;* #,##0.00_);_(&quot;$&quot;* \(#,##0.00\);_(&quot;$&quot;* &quot;-&quot;??_);_(@_)" sourceLinked="1"/>
        <c:majorTickMark val="cross"/>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7918248"/>
        <c:crosses val="autoZero"/>
        <c:crossBetween val="between"/>
      </c:valAx>
      <c:spPr>
        <a:noFill/>
        <a:ln>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Variable Costs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F9-4F5D-8517-91E3D4CC73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F9-4F5D-8517-91E3D4CC73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F9-4F5D-8517-91E3D4CC73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F9-4F5D-8517-91E3D4CC73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F9-4F5D-8517-91E3D4CC73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4F9-4F5D-8517-91E3D4CC73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4F9-4F5D-8517-91E3D4CC73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Model)'!$B$25,'Cost Analysis (Ref. Model)'!$B$32,'Cost Analysis (Ref. Model)'!$B$33)</c:f>
              <c:strCache>
                <c:ptCount val="3"/>
                <c:pt idx="0">
                  <c:v>Raw Materials (RM):</c:v>
                </c:pt>
                <c:pt idx="1">
                  <c:v>Miscellaneous Materials</c:v>
                </c:pt>
                <c:pt idx="2">
                  <c:v>Utilities (everything)</c:v>
                </c:pt>
              </c:strCache>
            </c:strRef>
          </c:cat>
          <c:val>
            <c:numRef>
              <c:f>('Cost Analysis (Ref. Model)'!$E$25,'Cost Analysis (Ref. Model)'!$E$32,'Cost Analysis (Ref. Model)'!$E$33)</c:f>
              <c:numCache>
                <c:formatCode>_("$"* #,##0_);_("$"* \(#,##0\);_("$"* "-"??_);_(@_)</c:formatCode>
                <c:ptCount val="3"/>
                <c:pt idx="0">
                  <c:v>886847740</c:v>
                </c:pt>
                <c:pt idx="1">
                  <c:v>88684774</c:v>
                </c:pt>
                <c:pt idx="2">
                  <c:v>81709221.348021671</c:v>
                </c:pt>
              </c:numCache>
            </c:numRef>
          </c:val>
          <c:extLst>
            <c:ext xmlns:c16="http://schemas.microsoft.com/office/drawing/2014/chart" uri="{C3380CC4-5D6E-409C-BE32-E72D297353CC}">
              <c16:uniqueId val="{0000000E-74F9-4F5D-8517-91E3D4CC73F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Raw Material Costs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BA-4D66-8378-82B73B80EC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BA-4D66-8378-82B73B80EC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BA-4D66-8378-82B73B80EC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5BA-4D66-8378-82B73B80EC7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5BA-4D66-8378-82B73B80EC7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5BA-4D66-8378-82B73B80EC7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5BA-4D66-8378-82B73B80EC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Model)'!$B$26:$B$31</c:f>
              <c:strCache>
                <c:ptCount val="6"/>
                <c:pt idx="0">
                  <c:v>Raw Silica In</c:v>
                </c:pt>
                <c:pt idx="1">
                  <c:v>Bath in (MgF2)</c:v>
                </c:pt>
                <c:pt idx="2">
                  <c:v>Bath in (CaF2)</c:v>
                </c:pt>
                <c:pt idx="3">
                  <c:v>Bath (YF3)</c:v>
                </c:pt>
                <c:pt idx="4">
                  <c:v>Bath (CaO)</c:v>
                </c:pt>
                <c:pt idx="5">
                  <c:v>Bath In (Y2O3)</c:v>
                </c:pt>
              </c:strCache>
            </c:strRef>
          </c:cat>
          <c:val>
            <c:numRef>
              <c:f>'Cost Analysis (Ref. Model)'!$E$26:$E$31</c:f>
              <c:numCache>
                <c:formatCode>_("$"* #,##0_);_("$"* \(#,##0\);_("$"* "-"??_);_(@_)</c:formatCode>
                <c:ptCount val="6"/>
                <c:pt idx="0">
                  <c:v>51705700</c:v>
                </c:pt>
                <c:pt idx="1">
                  <c:v>18826550</c:v>
                </c:pt>
                <c:pt idx="2">
                  <c:v>7530620</c:v>
                </c:pt>
                <c:pt idx="3">
                  <c:v>808694040</c:v>
                </c:pt>
                <c:pt idx="4">
                  <c:v>90830</c:v>
                </c:pt>
                <c:pt idx="5">
                  <c:v>0</c:v>
                </c:pt>
              </c:numCache>
            </c:numRef>
          </c:val>
          <c:extLst>
            <c:ext xmlns:c16="http://schemas.microsoft.com/office/drawing/2014/chart" uri="{C3380CC4-5D6E-409C-BE32-E72D297353CC}">
              <c16:uniqueId val="{0000000E-E5BA-4D66-8378-82B73B80EC7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Variable Costs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F9-4F5D-8517-91E3D4CC73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F9-4F5D-8517-91E3D4CC73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F9-4F5D-8517-91E3D4CC73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F9-4F5D-8517-91E3D4CC73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F9-4F5D-8517-91E3D4CC73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4F9-4F5D-8517-91E3D4CC73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4F9-4F5D-8517-91E3D4CC73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Model)'!$B$25,'Cost Analysis (Ref. Model)'!$B$32,'Cost Analysis (Ref. Model)'!$B$33)</c:f>
              <c:strCache>
                <c:ptCount val="3"/>
                <c:pt idx="0">
                  <c:v>Raw Materials (RM):</c:v>
                </c:pt>
                <c:pt idx="1">
                  <c:v>Miscellaneous Materials</c:v>
                </c:pt>
                <c:pt idx="2">
                  <c:v>Utilities (everything)</c:v>
                </c:pt>
              </c:strCache>
            </c:strRef>
          </c:cat>
          <c:val>
            <c:numRef>
              <c:f>('Cost Analysis (Ref. Model)'!$E$25,'Cost Analysis (Ref. Model)'!$E$32,'Cost Analysis (Ref. Model)'!$E$33)</c:f>
              <c:numCache>
                <c:formatCode>_("$"* #,##0_);_("$"* \(#,##0\);_("$"* "-"??_);_(@_)</c:formatCode>
                <c:ptCount val="3"/>
                <c:pt idx="0">
                  <c:v>886847740</c:v>
                </c:pt>
                <c:pt idx="1">
                  <c:v>88684774</c:v>
                </c:pt>
                <c:pt idx="2">
                  <c:v>81709221.348021671</c:v>
                </c:pt>
              </c:numCache>
            </c:numRef>
          </c:val>
          <c:extLst>
            <c:ext xmlns:c16="http://schemas.microsoft.com/office/drawing/2014/chart" uri="{C3380CC4-5D6E-409C-BE32-E72D297353CC}">
              <c16:uniqueId val="{0000000E-74F9-4F5D-8517-91E3D4CC73F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Annual Raw Material Costs Breakdown</a:t>
            </a:r>
          </a:p>
        </c:rich>
      </c:tx>
      <c:layout>
        <c:manualLayout>
          <c:xMode val="edge"/>
          <c:yMode val="edge"/>
          <c:x val="0.19209410905890056"/>
          <c:y val="1.795332136445242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BA-4D66-8378-82B73B80EC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BA-4D66-8378-82B73B80EC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BA-4D66-8378-82B73B80EC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5BA-4D66-8378-82B73B80EC7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5BA-4D66-8378-82B73B80EC7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5BA-4D66-8378-82B73B80EC7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5BA-4D66-8378-82B73B80EC7A}"/>
              </c:ext>
            </c:extLst>
          </c:dPt>
          <c:dLbls>
            <c:dLbl>
              <c:idx val="2"/>
              <c:layout>
                <c:manualLayout>
                  <c:x val="5.2297490890547825E-2"/>
                  <c:y val="0.1089907971557415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5BA-4D66-8378-82B73B80EC7A}"/>
                </c:ext>
              </c:extLst>
            </c:dLbl>
            <c:dLbl>
              <c:idx val="3"/>
              <c:layout>
                <c:manualLayout>
                  <c:x val="-0.1585168406661146"/>
                  <c:y val="-2.1376821838024286E-2"/>
                </c:manualLayout>
              </c:layou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5BA-4D66-8378-82B73B80EC7A}"/>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5BA-4D66-8378-82B73B80EC7A}"/>
                </c:ext>
              </c:extLst>
            </c:dLbl>
            <c:dLbl>
              <c:idx val="5"/>
              <c:layout>
                <c:manualLayout>
                  <c:x val="0.2193754048768157"/>
                  <c:y val="-3.63204879910657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5BA-4D66-8378-82B73B80EC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'Cost Analysis (Ref. Model)'!$B$26:$B$31</c:f>
              <c:strCache>
                <c:ptCount val="6"/>
                <c:pt idx="0">
                  <c:v>Raw Silica In</c:v>
                </c:pt>
                <c:pt idx="1">
                  <c:v>Bath in (MgF2)</c:v>
                </c:pt>
                <c:pt idx="2">
                  <c:v>Bath in (CaF2)</c:v>
                </c:pt>
                <c:pt idx="3">
                  <c:v>Bath (YF3)</c:v>
                </c:pt>
                <c:pt idx="4">
                  <c:v>Bath (CaO)</c:v>
                </c:pt>
                <c:pt idx="5">
                  <c:v>Bath In (Y2O3)</c:v>
                </c:pt>
              </c:strCache>
            </c:strRef>
          </c:cat>
          <c:val>
            <c:numRef>
              <c:f>'Cost Analysis (Ref. Model)'!$E$26:$E$31</c:f>
              <c:numCache>
                <c:formatCode>_("$"* #,##0_);_("$"* \(#,##0\);_("$"* "-"??_);_(@_)</c:formatCode>
                <c:ptCount val="6"/>
                <c:pt idx="0">
                  <c:v>51705700</c:v>
                </c:pt>
                <c:pt idx="1">
                  <c:v>18826550</c:v>
                </c:pt>
                <c:pt idx="2">
                  <c:v>7530620</c:v>
                </c:pt>
                <c:pt idx="3">
                  <c:v>808694040</c:v>
                </c:pt>
                <c:pt idx="4">
                  <c:v>90830</c:v>
                </c:pt>
                <c:pt idx="5">
                  <c:v>0</c:v>
                </c:pt>
              </c:numCache>
            </c:numRef>
          </c:val>
          <c:extLst>
            <c:ext xmlns:c16="http://schemas.microsoft.com/office/drawing/2014/chart" uri="{C3380CC4-5D6E-409C-BE32-E72D297353CC}">
              <c16:uniqueId val="{0000000E-E5BA-4D66-8378-82B73B80EC7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9004311041858"/>
          <c:y val="3.1555661602905696E-2"/>
          <c:w val="0.75160786567701154"/>
          <c:h val="0.82567427556403938"/>
        </c:manualLayout>
      </c:layout>
      <c:scatterChart>
        <c:scatterStyle val="lineMarker"/>
        <c:varyColors val="0"/>
        <c:ser>
          <c:idx val="0"/>
          <c:order val="0"/>
          <c:tx>
            <c:v>TCI for 1-line Rectifier Plant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'CAPEX1-Si'!$C$32:$C$43</c:f>
              <c:numCache>
                <c:formatCode>0</c:formatCode>
                <c:ptCount val="12"/>
                <c:pt idx="0">
                  <c:v>3.4163999999999999</c:v>
                </c:pt>
                <c:pt idx="1">
                  <c:v>17.082000000000001</c:v>
                </c:pt>
                <c:pt idx="2">
                  <c:v>46.463039999999999</c:v>
                </c:pt>
                <c:pt idx="3">
                  <c:v>66.961439999999996</c:v>
                </c:pt>
                <c:pt idx="4">
                  <c:v>102.492</c:v>
                </c:pt>
                <c:pt idx="5">
                  <c:v>159.88751999999999</c:v>
                </c:pt>
                <c:pt idx="6">
                  <c:v>288.34415999999999</c:v>
                </c:pt>
                <c:pt idx="7">
                  <c:v>457.79759999999999</c:v>
                </c:pt>
                <c:pt idx="8">
                  <c:v>532.95839999999998</c:v>
                </c:pt>
                <c:pt idx="9">
                  <c:v>625.20119999999997</c:v>
                </c:pt>
                <c:pt idx="10">
                  <c:v>819.93600000000004</c:v>
                </c:pt>
                <c:pt idx="11">
                  <c:v>901.92959999999994</c:v>
                </c:pt>
              </c:numCache>
            </c:numRef>
          </c:xVal>
          <c:yVal>
            <c:numRef>
              <c:f>'CAPEX1-Si'!$D$32:$D$43</c:f>
              <c:numCache>
                <c:formatCode>"$"#,##0</c:formatCode>
                <c:ptCount val="12"/>
                <c:pt idx="0">
                  <c:v>60015843.355918199</c:v>
                </c:pt>
                <c:pt idx="1">
                  <c:v>240276710.16534096</c:v>
                </c:pt>
                <c:pt idx="2">
                  <c:v>572286459.46182334</c:v>
                </c:pt>
                <c:pt idx="3">
                  <c:v>786557911.47596097</c:v>
                </c:pt>
                <c:pt idx="4">
                  <c:v>1140036381.6480274</c:v>
                </c:pt>
                <c:pt idx="5">
                  <c:v>1681418285.3557043</c:v>
                </c:pt>
                <c:pt idx="6">
                  <c:v>2818674564.7916427</c:v>
                </c:pt>
                <c:pt idx="7">
                  <c:v>4230648559.5316911</c:v>
                </c:pt>
                <c:pt idx="8">
                  <c:v>4836087097.8512335</c:v>
                </c:pt>
                <c:pt idx="9">
                  <c:v>5565952817.1375217</c:v>
                </c:pt>
                <c:pt idx="10">
                  <c:v>7068842113.0677805</c:v>
                </c:pt>
                <c:pt idx="11">
                  <c:v>7689030340.5896645</c:v>
                </c:pt>
              </c:numCache>
            </c:numRef>
          </c:yVal>
          <c:smooth val="0"/>
          <c:extLst>
            <c:ext xmlns:c16="http://schemas.microsoft.com/office/drawing/2014/chart" uri="{C3380CC4-5D6E-409C-BE32-E72D297353CC}">
              <c16:uniqueId val="{00000000-5AB1-4F22-9B87-73B430734996}"/>
            </c:ext>
          </c:extLst>
        </c:ser>
        <c:ser>
          <c:idx val="1"/>
          <c:order val="1"/>
          <c:tx>
            <c:v>TCI for 2-line Rectifier Plant</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'CAPEX1-Si'!$C$44:$C$49</c:f>
              <c:numCache>
                <c:formatCode>0</c:formatCode>
                <c:ptCount val="6"/>
                <c:pt idx="0">
                  <c:v>159.88751999999999</c:v>
                </c:pt>
                <c:pt idx="1">
                  <c:v>288.34415999999999</c:v>
                </c:pt>
                <c:pt idx="2">
                  <c:v>457.79759999999999</c:v>
                </c:pt>
                <c:pt idx="3">
                  <c:v>532.95839999999998</c:v>
                </c:pt>
                <c:pt idx="4">
                  <c:v>625.20119999999997</c:v>
                </c:pt>
                <c:pt idx="5">
                  <c:v>819.93600000000004</c:v>
                </c:pt>
              </c:numCache>
            </c:numRef>
          </c:xVal>
          <c:yVal>
            <c:numRef>
              <c:f>'CAPEX1-Si'!$D$44:$D$49</c:f>
              <c:numCache>
                <c:formatCode>"$"#,##0</c:formatCode>
                <c:ptCount val="6"/>
                <c:pt idx="0">
                  <c:v>1769603763.9420266</c:v>
                </c:pt>
                <c:pt idx="1">
                  <c:v>2977709915.0627027</c:v>
                </c:pt>
                <c:pt idx="2">
                  <c:v>4483145442.6634684</c:v>
                </c:pt>
                <c:pt idx="3">
                  <c:v>5130038693.1389751</c:v>
                </c:pt>
                <c:pt idx="4">
                  <c:v>5910780650.0712185</c:v>
                </c:pt>
                <c:pt idx="5">
                  <c:v>7521075336.5873823</c:v>
                </c:pt>
              </c:numCache>
            </c:numRef>
          </c:yVal>
          <c:smooth val="0"/>
          <c:extLst>
            <c:ext xmlns:c16="http://schemas.microsoft.com/office/drawing/2014/chart" uri="{C3380CC4-5D6E-409C-BE32-E72D297353CC}">
              <c16:uniqueId val="{00000002-5AB1-4F22-9B87-73B430734996}"/>
            </c:ext>
          </c:extLst>
        </c:ser>
        <c:dLbls>
          <c:showLegendKey val="0"/>
          <c:showVal val="0"/>
          <c:showCatName val="0"/>
          <c:showSerName val="0"/>
          <c:showPercent val="0"/>
          <c:showBubbleSize val="0"/>
        </c:dLbls>
        <c:axId val="491394120"/>
        <c:axId val="491395104"/>
      </c:scatterChart>
      <c:valAx>
        <c:axId val="491394120"/>
        <c:scaling>
          <c:orientation val="minMax"/>
          <c:min val="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Annual Production Capacity (kt)</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1395104"/>
        <c:crosses val="autoZero"/>
        <c:crossBetween val="midCat"/>
      </c:valAx>
      <c:valAx>
        <c:axId val="491395104"/>
        <c:scaling>
          <c:orientation val="minMax"/>
          <c:max val="9010000000"/>
          <c:min val="1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Cost</a:t>
                </a:r>
                <a:r>
                  <a:rPr lang="en-US" sz="1400" b="1" baseline="0"/>
                  <a:t> Per Plant </a:t>
                </a:r>
                <a:r>
                  <a:rPr lang="en-US" sz="1400" b="1"/>
                  <a:t>-2018 US Dollars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1394120"/>
        <c:crosses val="autoZero"/>
        <c:crossBetween val="midCat"/>
      </c:valAx>
      <c:spPr>
        <a:noFill/>
        <a:ln>
          <a:noFill/>
        </a:ln>
        <a:effectLst/>
      </c:spPr>
    </c:plotArea>
    <c:legend>
      <c:legendPos val="r"/>
      <c:layout>
        <c:manualLayout>
          <c:xMode val="edge"/>
          <c:yMode val="edge"/>
          <c:x val="0.21717750862145696"/>
          <c:y val="3.3210212359818657E-2"/>
          <c:w val="0.36417444613955541"/>
          <c:h val="0.1039497335560327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4316826099217"/>
          <c:y val="2.9629629629629631E-2"/>
          <c:w val="0.76982937463395584"/>
          <c:h val="0.83103496911370922"/>
        </c:manualLayout>
      </c:layout>
      <c:scatterChart>
        <c:scatterStyle val="lineMarker"/>
        <c:varyColors val="0"/>
        <c:ser>
          <c:idx val="0"/>
          <c:order val="0"/>
          <c:tx>
            <c:v>TCI/Cell for 1-line Rectifier</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'CAPEX1-Si'!$I$32:$I$43</c:f>
              <c:numCache>
                <c:formatCode>General</c:formatCode>
                <c:ptCount val="12"/>
                <c:pt idx="0">
                  <c:v>5</c:v>
                </c:pt>
                <c:pt idx="1">
                  <c:v>25</c:v>
                </c:pt>
                <c:pt idx="2">
                  <c:v>68</c:v>
                </c:pt>
                <c:pt idx="3">
                  <c:v>98</c:v>
                </c:pt>
                <c:pt idx="4">
                  <c:v>150</c:v>
                </c:pt>
                <c:pt idx="5">
                  <c:v>234</c:v>
                </c:pt>
                <c:pt idx="6">
                  <c:v>422</c:v>
                </c:pt>
                <c:pt idx="7">
                  <c:v>670</c:v>
                </c:pt>
                <c:pt idx="8">
                  <c:v>780</c:v>
                </c:pt>
                <c:pt idx="9">
                  <c:v>915</c:v>
                </c:pt>
                <c:pt idx="10">
                  <c:v>1200</c:v>
                </c:pt>
                <c:pt idx="11">
                  <c:v>1320</c:v>
                </c:pt>
              </c:numCache>
            </c:numRef>
          </c:xVal>
          <c:yVal>
            <c:numRef>
              <c:f>'CAPEX1-Si'!$F$32:$F$43</c:f>
              <c:numCache>
                <c:formatCode>"$"#,##0</c:formatCode>
                <c:ptCount val="12"/>
                <c:pt idx="0">
                  <c:v>12003168.67118364</c:v>
                </c:pt>
                <c:pt idx="1">
                  <c:v>9611068.4066136386</c:v>
                </c:pt>
                <c:pt idx="2">
                  <c:v>8415977.3450268134</c:v>
                </c:pt>
                <c:pt idx="3">
                  <c:v>8026101.1375098061</c:v>
                </c:pt>
                <c:pt idx="4">
                  <c:v>7600242.5443201829</c:v>
                </c:pt>
                <c:pt idx="5">
                  <c:v>7185548.2280158307</c:v>
                </c:pt>
                <c:pt idx="6">
                  <c:v>6679323.6132503385</c:v>
                </c:pt>
                <c:pt idx="7">
                  <c:v>6314400.8351219269</c:v>
                </c:pt>
                <c:pt idx="8">
                  <c:v>6200111.6639118381</c:v>
                </c:pt>
                <c:pt idx="9">
                  <c:v>6083008.5433196956</c:v>
                </c:pt>
                <c:pt idx="10">
                  <c:v>5890701.760889817</c:v>
                </c:pt>
                <c:pt idx="11">
                  <c:v>5825022.9852952007</c:v>
                </c:pt>
              </c:numCache>
            </c:numRef>
          </c:yVal>
          <c:smooth val="0"/>
          <c:extLst>
            <c:ext xmlns:c16="http://schemas.microsoft.com/office/drawing/2014/chart" uri="{C3380CC4-5D6E-409C-BE32-E72D297353CC}">
              <c16:uniqueId val="{00000000-2801-4077-97D2-C4CBF4116718}"/>
            </c:ext>
          </c:extLst>
        </c:ser>
        <c:ser>
          <c:idx val="1"/>
          <c:order val="1"/>
          <c:tx>
            <c:v>TCI/Cell for 2-line Rectifier</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'CAPEX1-Si'!$I$44:$I$49</c:f>
              <c:numCache>
                <c:formatCode>General</c:formatCode>
                <c:ptCount val="6"/>
                <c:pt idx="0">
                  <c:v>234</c:v>
                </c:pt>
                <c:pt idx="1">
                  <c:v>422</c:v>
                </c:pt>
                <c:pt idx="2">
                  <c:v>670</c:v>
                </c:pt>
                <c:pt idx="3">
                  <c:v>780</c:v>
                </c:pt>
                <c:pt idx="4">
                  <c:v>915</c:v>
                </c:pt>
                <c:pt idx="5">
                  <c:v>1200</c:v>
                </c:pt>
              </c:numCache>
            </c:numRef>
          </c:xVal>
          <c:yVal>
            <c:numRef>
              <c:f>'CAPEX1-Si'!$F$44:$F$49</c:f>
              <c:numCache>
                <c:formatCode>"$"#,##0</c:formatCode>
                <c:ptCount val="6"/>
                <c:pt idx="0">
                  <c:v>7562409.2476154985</c:v>
                </c:pt>
                <c:pt idx="1">
                  <c:v>7056184.6328500062</c:v>
                </c:pt>
                <c:pt idx="2">
                  <c:v>6691261.8547215946</c:v>
                </c:pt>
                <c:pt idx="3">
                  <c:v>6576972.6835115068</c:v>
                </c:pt>
                <c:pt idx="4">
                  <c:v>6459869.5629193643</c:v>
                </c:pt>
                <c:pt idx="5">
                  <c:v>6267562.7804894857</c:v>
                </c:pt>
              </c:numCache>
            </c:numRef>
          </c:yVal>
          <c:smooth val="0"/>
          <c:extLst>
            <c:ext xmlns:c16="http://schemas.microsoft.com/office/drawing/2014/chart" uri="{C3380CC4-5D6E-409C-BE32-E72D297353CC}">
              <c16:uniqueId val="{00000011-2801-4077-97D2-C4CBF4116718}"/>
            </c:ext>
          </c:extLst>
        </c:ser>
        <c:dLbls>
          <c:showLegendKey val="0"/>
          <c:showVal val="0"/>
          <c:showCatName val="0"/>
          <c:showSerName val="0"/>
          <c:showPercent val="0"/>
          <c:showBubbleSize val="0"/>
        </c:dLbls>
        <c:axId val="362493848"/>
        <c:axId val="362494176"/>
      </c:scatterChart>
      <c:valAx>
        <c:axId val="362493848"/>
        <c:scaling>
          <c:orientation val="minMax"/>
          <c:max val="140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t># of Cells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494176"/>
        <c:crosses val="autoZero"/>
        <c:crossBetween val="midCat"/>
      </c:valAx>
      <c:valAx>
        <c:axId val="362494176"/>
        <c:scaling>
          <c:orientation val="minMax"/>
          <c:min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600" b="1"/>
                  <a:t>USD per Cell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493848"/>
        <c:crosses val="autoZero"/>
        <c:crossBetween val="midCat"/>
      </c:valAx>
      <c:spPr>
        <a:noFill/>
        <a:ln>
          <a:noFill/>
        </a:ln>
        <a:effectLst/>
      </c:spPr>
    </c:plotArea>
    <c:legend>
      <c:legendPos val="r"/>
      <c:layout>
        <c:manualLayout>
          <c:xMode val="edge"/>
          <c:yMode val="edge"/>
          <c:x val="0.65201807023192726"/>
          <c:y val="3.16494074604311E-2"/>
          <c:w val="0.31328552332445431"/>
          <c:h val="9.09097271931917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68745216567862"/>
          <c:y val="3.5259259259259261E-2"/>
          <c:w val="0.80110002724124063"/>
          <c:h val="0.81881937485087086"/>
        </c:manualLayout>
      </c:layout>
      <c:scatterChart>
        <c:scatterStyle val="lineMarker"/>
        <c:varyColors val="0"/>
        <c:ser>
          <c:idx val="0"/>
          <c:order val="0"/>
          <c:tx>
            <c:v>TCI/tonne (annually) for 1-line Rectifier</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'CAPEX1-Si'!$I$32:$I$43</c:f>
              <c:numCache>
                <c:formatCode>General</c:formatCode>
                <c:ptCount val="12"/>
                <c:pt idx="0">
                  <c:v>5</c:v>
                </c:pt>
                <c:pt idx="1">
                  <c:v>25</c:v>
                </c:pt>
                <c:pt idx="2">
                  <c:v>68</c:v>
                </c:pt>
                <c:pt idx="3">
                  <c:v>98</c:v>
                </c:pt>
                <c:pt idx="4">
                  <c:v>150</c:v>
                </c:pt>
                <c:pt idx="5">
                  <c:v>234</c:v>
                </c:pt>
                <c:pt idx="6">
                  <c:v>422</c:v>
                </c:pt>
                <c:pt idx="7">
                  <c:v>670</c:v>
                </c:pt>
                <c:pt idx="8">
                  <c:v>780</c:v>
                </c:pt>
                <c:pt idx="9">
                  <c:v>915</c:v>
                </c:pt>
                <c:pt idx="10">
                  <c:v>1200</c:v>
                </c:pt>
                <c:pt idx="11">
                  <c:v>1320</c:v>
                </c:pt>
              </c:numCache>
            </c:numRef>
          </c:xVal>
          <c:yVal>
            <c:numRef>
              <c:f>'CAPEX1-Si'!$E$32:$E$43</c:f>
              <c:numCache>
                <c:formatCode>"$"#,##0</c:formatCode>
                <c:ptCount val="12"/>
                <c:pt idx="0">
                  <c:v>17566.983771197225</c:v>
                </c:pt>
                <c:pt idx="1">
                  <c:v>14066.075996097703</c:v>
                </c:pt>
                <c:pt idx="2">
                  <c:v>12317.02573619426</c:v>
                </c:pt>
                <c:pt idx="3">
                  <c:v>11746.430654358104</c:v>
                </c:pt>
                <c:pt idx="4">
                  <c:v>11123.174312610032</c:v>
                </c:pt>
                <c:pt idx="5">
                  <c:v>10516.257212293394</c:v>
                </c:pt>
                <c:pt idx="6">
                  <c:v>9775.3828785422356</c:v>
                </c:pt>
                <c:pt idx="7">
                  <c:v>9241.307860791956</c:v>
                </c:pt>
                <c:pt idx="8">
                  <c:v>9074.0423602503179</c:v>
                </c:pt>
                <c:pt idx="9">
                  <c:v>8902.658563575249</c:v>
                </c:pt>
                <c:pt idx="10">
                  <c:v>8621.2120373636244</c:v>
                </c:pt>
                <c:pt idx="11">
                  <c:v>8525.0892537396103</c:v>
                </c:pt>
              </c:numCache>
            </c:numRef>
          </c:yVal>
          <c:smooth val="0"/>
          <c:extLst>
            <c:ext xmlns:c16="http://schemas.microsoft.com/office/drawing/2014/chart" uri="{C3380CC4-5D6E-409C-BE32-E72D297353CC}">
              <c16:uniqueId val="{00000000-BB54-4344-A19F-FCA5AC50623C}"/>
            </c:ext>
          </c:extLst>
        </c:ser>
        <c:ser>
          <c:idx val="1"/>
          <c:order val="1"/>
          <c:tx>
            <c:v>TCI/tonne (annually) for 2-line Rectifier</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'CAPEX1-Si'!$I$44:$I$49</c:f>
              <c:numCache>
                <c:formatCode>General</c:formatCode>
                <c:ptCount val="6"/>
                <c:pt idx="0">
                  <c:v>234</c:v>
                </c:pt>
                <c:pt idx="1">
                  <c:v>422</c:v>
                </c:pt>
                <c:pt idx="2">
                  <c:v>670</c:v>
                </c:pt>
                <c:pt idx="3">
                  <c:v>780</c:v>
                </c:pt>
                <c:pt idx="4">
                  <c:v>915</c:v>
                </c:pt>
                <c:pt idx="5">
                  <c:v>1200</c:v>
                </c:pt>
              </c:numCache>
            </c:numRef>
          </c:xVal>
          <c:yVal>
            <c:numRef>
              <c:f>'CAPEX1-Si'!$E$44:$E$49</c:f>
              <c:numCache>
                <c:formatCode>"$"#,##0</c:formatCode>
                <c:ptCount val="6"/>
                <c:pt idx="0">
                  <c:v>11067.804190983928</c:v>
                </c:pt>
                <c:pt idx="1">
                  <c:v>10326.92985723277</c:v>
                </c:pt>
                <c:pt idx="2">
                  <c:v>9792.8548394824884</c:v>
                </c:pt>
                <c:pt idx="3">
                  <c:v>9625.5893389408538</c:v>
                </c:pt>
                <c:pt idx="4">
                  <c:v>9454.205542265785</c:v>
                </c:pt>
                <c:pt idx="5">
                  <c:v>9172.7590160541586</c:v>
                </c:pt>
              </c:numCache>
            </c:numRef>
          </c:yVal>
          <c:smooth val="0"/>
          <c:extLst>
            <c:ext xmlns:c16="http://schemas.microsoft.com/office/drawing/2014/chart" uri="{C3380CC4-5D6E-409C-BE32-E72D297353CC}">
              <c16:uniqueId val="{00000001-BB54-4344-A19F-FCA5AC50623C}"/>
            </c:ext>
          </c:extLst>
        </c:ser>
        <c:dLbls>
          <c:showLegendKey val="0"/>
          <c:showVal val="0"/>
          <c:showCatName val="0"/>
          <c:showSerName val="0"/>
          <c:showPercent val="0"/>
          <c:showBubbleSize val="0"/>
        </c:dLbls>
        <c:axId val="445008168"/>
        <c:axId val="445009152"/>
      </c:scatterChart>
      <c:valAx>
        <c:axId val="445008168"/>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i="0" baseline="0">
                    <a:effectLst/>
                  </a:rPr>
                  <a:t># of Cells</a:t>
                </a:r>
                <a:endParaRPr lang="en-US">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009152"/>
        <c:crosses val="autoZero"/>
        <c:crossBetween val="midCat"/>
      </c:valAx>
      <c:valAx>
        <c:axId val="445009152"/>
        <c:scaling>
          <c:orientation val="minMax"/>
          <c:max val="18000"/>
          <c:min val="8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1" i="0" baseline="0">
                    <a:effectLst/>
                  </a:rPr>
                  <a:t>USD per Ton (annually)</a:t>
                </a:r>
                <a:endParaRPr lang="en-US">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008168"/>
        <c:crosses val="autoZero"/>
        <c:crossBetween val="midCat"/>
      </c:valAx>
      <c:spPr>
        <a:noFill/>
        <a:ln>
          <a:noFill/>
        </a:ln>
        <a:effectLst/>
      </c:spPr>
    </c:plotArea>
    <c:legend>
      <c:legendPos val="r"/>
      <c:layout>
        <c:manualLayout>
          <c:xMode val="edge"/>
          <c:yMode val="edge"/>
          <c:x val="0.62643701969686216"/>
          <c:y val="3.4679392348683682E-2"/>
          <c:w val="0.33752694426710173"/>
          <c:h val="0.149496222063151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OPEX!$G$8:$R$8</c:f>
              <c:numCache>
                <c:formatCode>0</c:formatCode>
                <c:ptCount val="12"/>
                <c:pt idx="0">
                  <c:v>3416.4</c:v>
                </c:pt>
                <c:pt idx="1">
                  <c:v>17082</c:v>
                </c:pt>
                <c:pt idx="2">
                  <c:v>46463.040000000001</c:v>
                </c:pt>
                <c:pt idx="3">
                  <c:v>66961.440000000002</c:v>
                </c:pt>
                <c:pt idx="4">
                  <c:v>102492</c:v>
                </c:pt>
                <c:pt idx="5">
                  <c:v>159887.51999999999</c:v>
                </c:pt>
                <c:pt idx="6">
                  <c:v>288344.15999999997</c:v>
                </c:pt>
                <c:pt idx="7">
                  <c:v>457797.6</c:v>
                </c:pt>
                <c:pt idx="8">
                  <c:v>532958.4</c:v>
                </c:pt>
                <c:pt idx="9">
                  <c:v>625201.19999999995</c:v>
                </c:pt>
                <c:pt idx="10">
                  <c:v>819936</c:v>
                </c:pt>
                <c:pt idx="11">
                  <c:v>901929.6</c:v>
                </c:pt>
              </c:numCache>
            </c:numRef>
          </c:xVal>
          <c:yVal>
            <c:numRef>
              <c:f>OPEX!$G$30:$R$30</c:f>
              <c:numCache>
                <c:formatCode>_("$"* #,##0_);_("$"* \(#,##0\);_("$"* "-"??_);_(@_)</c:formatCode>
                <c:ptCount val="12"/>
                <c:pt idx="0">
                  <c:v>36305441.995620191</c:v>
                </c:pt>
                <c:pt idx="1">
                  <c:v>175989292.63352329</c:v>
                </c:pt>
                <c:pt idx="2">
                  <c:v>471165346.00974822</c:v>
                </c:pt>
                <c:pt idx="3">
                  <c:v>675494209.95771694</c:v>
                </c:pt>
                <c:pt idx="4">
                  <c:v>1028004363.8021038</c:v>
                </c:pt>
                <c:pt idx="5">
                  <c:v>1594700734.4996619</c:v>
                </c:pt>
                <c:pt idx="6">
                  <c:v>2856130729.22646</c:v>
                </c:pt>
                <c:pt idx="7">
                  <c:v>4511973829.339304</c:v>
                </c:pt>
                <c:pt idx="8">
                  <c:v>5244490486.7308769</c:v>
                </c:pt>
                <c:pt idx="9">
                  <c:v>6142268413.1626997</c:v>
                </c:pt>
                <c:pt idx="10">
                  <c:v>8034064101.2621746</c:v>
                </c:pt>
                <c:pt idx="11">
                  <c:v>8829442165.0723858</c:v>
                </c:pt>
              </c:numCache>
            </c:numRef>
          </c:yVal>
          <c:smooth val="1"/>
          <c:extLst>
            <c:ext xmlns:c16="http://schemas.microsoft.com/office/drawing/2014/chart" uri="{C3380CC4-5D6E-409C-BE32-E72D297353CC}">
              <c16:uniqueId val="{00000000-B4AC-4374-B0ED-56BCF86639A6}"/>
            </c:ext>
          </c:extLst>
        </c:ser>
        <c:dLbls>
          <c:showLegendKey val="0"/>
          <c:showVal val="0"/>
          <c:showCatName val="0"/>
          <c:showSerName val="0"/>
          <c:showPercent val="0"/>
          <c:showBubbleSize val="0"/>
        </c:dLbls>
        <c:axId val="480840240"/>
        <c:axId val="387959336"/>
      </c:scatterChart>
      <c:valAx>
        <c:axId val="4808402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Production</a:t>
                </a:r>
                <a:r>
                  <a:rPr lang="en-US" baseline="0"/>
                  <a:t> Capacity (ton/yr)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336"/>
        <c:crosses val="autoZero"/>
        <c:crossBetween val="midCat"/>
      </c:valAx>
      <c:valAx>
        <c:axId val="387959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Operating Cost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840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 Id="rId9"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6.png"/><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16</xdr:row>
      <xdr:rowOff>184150</xdr:rowOff>
    </xdr:from>
    <xdr:to>
      <xdr:col>3</xdr:col>
      <xdr:colOff>558800</xdr:colOff>
      <xdr:row>18</xdr:row>
      <xdr:rowOff>25400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17</xdr:row>
      <xdr:rowOff>184150</xdr:rowOff>
    </xdr:from>
    <xdr:to>
      <xdr:col>3</xdr:col>
      <xdr:colOff>558800</xdr:colOff>
      <xdr:row>19</xdr:row>
      <xdr:rowOff>25400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18</xdr:row>
      <xdr:rowOff>184150</xdr:rowOff>
    </xdr:from>
    <xdr:to>
      <xdr:col>3</xdr:col>
      <xdr:colOff>558800</xdr:colOff>
      <xdr:row>20</xdr:row>
      <xdr:rowOff>25400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19</xdr:row>
      <xdr:rowOff>184150</xdr:rowOff>
    </xdr:from>
    <xdr:to>
      <xdr:col>3</xdr:col>
      <xdr:colOff>558800</xdr:colOff>
      <xdr:row>21</xdr:row>
      <xdr:rowOff>25400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266700</xdr:colOff>
      <xdr:row>20</xdr:row>
      <xdr:rowOff>184150</xdr:rowOff>
    </xdr:from>
    <xdr:to>
      <xdr:col>3</xdr:col>
      <xdr:colOff>558800</xdr:colOff>
      <xdr:row>22</xdr:row>
      <xdr:rowOff>25400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400049</xdr:colOff>
      <xdr:row>7</xdr:row>
      <xdr:rowOff>123826</xdr:rowOff>
    </xdr:from>
    <xdr:to>
      <xdr:col>12</xdr:col>
      <xdr:colOff>200024</xdr:colOff>
      <xdr:row>12</xdr:row>
      <xdr:rowOff>47625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228849" y="1533526"/>
          <a:ext cx="5572125" cy="876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purpose of this workbook is to compile</a:t>
          </a:r>
          <a:r>
            <a:rPr lang="en-US" sz="1100" baseline="0"/>
            <a:t> the key inputs and outputs for a METALS process, and to facilitate the calculation of the costs of production.</a:t>
          </a:r>
        </a:p>
        <a:p>
          <a:endParaRPr lang="en-US" sz="1100"/>
        </a:p>
      </xdr:txBody>
    </xdr:sp>
    <xdr:clientData/>
  </xdr:twoCellAnchor>
  <xdr:twoCellAnchor>
    <xdr:from>
      <xdr:col>3</xdr:col>
      <xdr:colOff>226107</xdr:colOff>
      <xdr:row>75</xdr:row>
      <xdr:rowOff>156958</xdr:rowOff>
    </xdr:from>
    <xdr:to>
      <xdr:col>8</xdr:col>
      <xdr:colOff>463819</xdr:colOff>
      <xdr:row>80</xdr:row>
      <xdr:rowOff>80757</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064846" y="14519001"/>
          <a:ext cx="3583886" cy="876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Guides appear throughout this workbook to identify areas where corrections are needed or to facilitate progression between sheets.  A clickable hyperlink may facilitate progression through the workbook.</a:t>
          </a:r>
        </a:p>
      </xdr:txBody>
    </xdr:sp>
    <xdr:clientData/>
  </xdr:twoCellAnchor>
  <xdr:twoCellAnchor editAs="oneCell">
    <xdr:from>
      <xdr:col>3</xdr:col>
      <xdr:colOff>300405</xdr:colOff>
      <xdr:row>43</xdr:row>
      <xdr:rowOff>139212</xdr:rowOff>
    </xdr:from>
    <xdr:to>
      <xdr:col>12</xdr:col>
      <xdr:colOff>273296</xdr:colOff>
      <xdr:row>44</xdr:row>
      <xdr:rowOff>177312</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809" y="8403981"/>
          <a:ext cx="573185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80596</xdr:colOff>
      <xdr:row>37</xdr:row>
      <xdr:rowOff>76200</xdr:rowOff>
    </xdr:from>
    <xdr:to>
      <xdr:col>6</xdr:col>
      <xdr:colOff>139211</xdr:colOff>
      <xdr:row>42</xdr:row>
      <xdr:rowOff>19049</xdr:rowOff>
    </xdr:to>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1909396" y="7200900"/>
          <a:ext cx="2173165" cy="8953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Start here.  The process </a:t>
          </a:r>
          <a:r>
            <a:rPr lang="en-US" sz="1100" baseline="0"/>
            <a:t>flow diagram for the entire production plant is entered in the PFD tab.  Each unit operation should be presented.</a:t>
          </a:r>
        </a:p>
      </xdr:txBody>
    </xdr:sp>
    <xdr:clientData/>
  </xdr:twoCellAnchor>
  <xdr:twoCellAnchor>
    <xdr:from>
      <xdr:col>4</xdr:col>
      <xdr:colOff>271829</xdr:colOff>
      <xdr:row>42</xdr:row>
      <xdr:rowOff>19049</xdr:rowOff>
    </xdr:from>
    <xdr:to>
      <xdr:col>4</xdr:col>
      <xdr:colOff>300404</xdr:colOff>
      <xdr:row>43</xdr:row>
      <xdr:rowOff>80596</xdr:rowOff>
    </xdr:to>
    <xdr:cxnSp macro="">
      <xdr:nvCxnSpPr>
        <xdr:cNvPr id="4" name="Straight Arrow Connector 3">
          <a:extLst>
            <a:ext uri="{FF2B5EF4-FFF2-40B4-BE49-F238E27FC236}">
              <a16:creationId xmlns:a16="http://schemas.microsoft.com/office/drawing/2014/main" id="{00000000-0008-0000-0000-000004000000}"/>
            </a:ext>
          </a:extLst>
        </xdr:cNvPr>
        <xdr:cNvCxnSpPr>
          <a:stCxn id="16" idx="2"/>
        </xdr:cNvCxnSpPr>
      </xdr:nvCxnSpPr>
      <xdr:spPr>
        <a:xfrm>
          <a:off x="2995979" y="8096249"/>
          <a:ext cx="28575" cy="2520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117230</xdr:colOff>
      <xdr:row>46</xdr:row>
      <xdr:rowOff>146538</xdr:rowOff>
    </xdr:from>
    <xdr:to>
      <xdr:col>7</xdr:col>
      <xdr:colOff>439615</xdr:colOff>
      <xdr:row>54</xdr:row>
      <xdr:rowOff>7327</xdr:rowOff>
    </xdr:to>
    <xdr:sp macro="" textlink="">
      <xdr:nvSpPr>
        <xdr:cNvPr id="20" name="TextBox 1">
          <a:extLst>
            <a:ext uri="{FF2B5EF4-FFF2-40B4-BE49-F238E27FC236}">
              <a16:creationId xmlns:a16="http://schemas.microsoft.com/office/drawing/2014/main" id="{00000000-0008-0000-0000-000014000000}"/>
            </a:ext>
          </a:extLst>
        </xdr:cNvPr>
        <xdr:cNvSpPr txBox="1"/>
      </xdr:nvSpPr>
      <xdr:spPr>
        <a:xfrm>
          <a:off x="2835518" y="8982807"/>
          <a:ext cx="2146789" cy="138478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aseline="0"/>
            <a:t>Stream information and stream compositions are entered on these two tabs.  Toggling between sheets may be required if mass balances do not close.  'GUIDES' will suggest changes.</a:t>
          </a:r>
        </a:p>
      </xdr:txBody>
    </xdr:sp>
    <xdr:clientData/>
  </xdr:twoCellAnchor>
  <xdr:twoCellAnchor>
    <xdr:from>
      <xdr:col>4</xdr:col>
      <xdr:colOff>424960</xdr:colOff>
      <xdr:row>45</xdr:row>
      <xdr:rowOff>1</xdr:rowOff>
    </xdr:from>
    <xdr:to>
      <xdr:col>7</xdr:col>
      <xdr:colOff>139211</xdr:colOff>
      <xdr:row>46</xdr:row>
      <xdr:rowOff>95249</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rot="5400000">
          <a:off x="3769702" y="8019316"/>
          <a:ext cx="285748" cy="153865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400049</xdr:colOff>
      <xdr:row>107</xdr:row>
      <xdr:rowOff>123825</xdr:rowOff>
    </xdr:from>
    <xdr:to>
      <xdr:col>12</xdr:col>
      <xdr:colOff>200024</xdr:colOff>
      <xdr:row>114</xdr:row>
      <xdr:rowOff>117230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2224453" y="16770594"/>
          <a:ext cx="5558936" cy="1326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Equipment sizes must be determined from separate engineering calcuations by the performing team.  Results are entered on the 'Equipment' sheet.</a:t>
          </a:r>
        </a:p>
        <a:p>
          <a:endParaRPr lang="en-US" sz="1100" baseline="0"/>
        </a:p>
        <a:p>
          <a:r>
            <a:rPr lang="en-US" sz="1100" baseline="0"/>
            <a:t>Equipment costs may be obtained from  vendor quotes or interpolation of historical data.  In the absence of such data, two standard costing approaches are accepted: (1) the Individual Factor Method, and (2) the Module Factor Method.  References A1, A3, and A5 describe these methods (refer to the appendix).  </a:t>
          </a:r>
        </a:p>
        <a:p>
          <a:endParaRPr lang="en-US" sz="1100" baseline="0"/>
        </a:p>
        <a:p>
          <a:endParaRPr lang="en-US" sz="1100" baseline="0"/>
        </a:p>
      </xdr:txBody>
    </xdr:sp>
    <xdr:clientData/>
  </xdr:twoCellAnchor>
  <xdr:twoCellAnchor>
    <xdr:from>
      <xdr:col>6</xdr:col>
      <xdr:colOff>241786</xdr:colOff>
      <xdr:row>37</xdr:row>
      <xdr:rowOff>43962</xdr:rowOff>
    </xdr:from>
    <xdr:to>
      <xdr:col>9</xdr:col>
      <xdr:colOff>571500</xdr:colOff>
      <xdr:row>42</xdr:row>
      <xdr:rowOff>51289</xdr:rowOff>
    </xdr:to>
    <xdr:sp macro="" textlink="">
      <xdr:nvSpPr>
        <xdr:cNvPr id="35" name="TextBox 1">
          <a:extLst>
            <a:ext uri="{FF2B5EF4-FFF2-40B4-BE49-F238E27FC236}">
              <a16:creationId xmlns:a16="http://schemas.microsoft.com/office/drawing/2014/main" id="{00000000-0008-0000-0000-000023000000}"/>
            </a:ext>
          </a:extLst>
        </xdr:cNvPr>
        <xdr:cNvSpPr txBox="1"/>
      </xdr:nvSpPr>
      <xdr:spPr>
        <a:xfrm>
          <a:off x="4185136" y="7168662"/>
          <a:ext cx="2158514" cy="95982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An equipment</a:t>
          </a:r>
          <a:r>
            <a:rPr lang="en-US" sz="1100" baseline="0"/>
            <a:t> list with independently sized units is required on this sheet.  Equipment costs and utility use also are entered on this sheet.</a:t>
          </a:r>
        </a:p>
      </xdr:txBody>
    </xdr:sp>
    <xdr:clientData/>
  </xdr:twoCellAnchor>
  <xdr:twoCellAnchor>
    <xdr:from>
      <xdr:col>7</xdr:col>
      <xdr:colOff>578829</xdr:colOff>
      <xdr:row>42</xdr:row>
      <xdr:rowOff>51289</xdr:rowOff>
    </xdr:from>
    <xdr:to>
      <xdr:col>8</xdr:col>
      <xdr:colOff>101843</xdr:colOff>
      <xdr:row>43</xdr:row>
      <xdr:rowOff>124558</xdr:rowOff>
    </xdr:to>
    <xdr:cxnSp macro="">
      <xdr:nvCxnSpPr>
        <xdr:cNvPr id="31" name="Straight Arrow Connector 30">
          <a:extLst>
            <a:ext uri="{FF2B5EF4-FFF2-40B4-BE49-F238E27FC236}">
              <a16:creationId xmlns:a16="http://schemas.microsoft.com/office/drawing/2014/main" id="{00000000-0008-0000-0000-00001F000000}"/>
            </a:ext>
          </a:extLst>
        </xdr:cNvPr>
        <xdr:cNvCxnSpPr>
          <a:stCxn id="35" idx="2"/>
        </xdr:cNvCxnSpPr>
      </xdr:nvCxnSpPr>
      <xdr:spPr>
        <a:xfrm flipH="1">
          <a:off x="5131779" y="8128489"/>
          <a:ext cx="132614" cy="263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320917</xdr:colOff>
      <xdr:row>45</xdr:row>
      <xdr:rowOff>20516</xdr:rowOff>
    </xdr:from>
    <xdr:to>
      <xdr:col>11</xdr:col>
      <xdr:colOff>43960</xdr:colOff>
      <xdr:row>46</xdr:row>
      <xdr:rowOff>115764</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rot="5400000">
          <a:off x="6102594" y="8035435"/>
          <a:ext cx="285748" cy="154744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315058</xdr:colOff>
      <xdr:row>46</xdr:row>
      <xdr:rowOff>159727</xdr:rowOff>
    </xdr:from>
    <xdr:to>
      <xdr:col>11</xdr:col>
      <xdr:colOff>212481</xdr:colOff>
      <xdr:row>52</xdr:row>
      <xdr:rowOff>124558</xdr:rowOff>
    </xdr:to>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5465885" y="8995996"/>
          <a:ext cx="1721827" cy="110783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aseline="0"/>
            <a:t>Overviews of capital and operating expenses are presented here.  A financial model describes annual cash flows.</a:t>
          </a:r>
        </a:p>
      </xdr:txBody>
    </xdr:sp>
    <xdr:clientData/>
  </xdr:twoCellAnchor>
  <xdr:twoCellAnchor>
    <xdr:from>
      <xdr:col>10</xdr:col>
      <xdr:colOff>549519</xdr:colOff>
      <xdr:row>37</xdr:row>
      <xdr:rowOff>108439</xdr:rowOff>
    </xdr:from>
    <xdr:to>
      <xdr:col>12</xdr:col>
      <xdr:colOff>512885</xdr:colOff>
      <xdr:row>41</xdr:row>
      <xdr:rowOff>175846</xdr:rowOff>
    </xdr:to>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6916615" y="7230208"/>
          <a:ext cx="1179635" cy="82940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Costs and</a:t>
          </a:r>
          <a:r>
            <a:rPr lang="en-US" sz="1100" baseline="0"/>
            <a:t> plant performance are summarized on this sheet.</a:t>
          </a:r>
        </a:p>
      </xdr:txBody>
    </xdr:sp>
    <xdr:clientData/>
  </xdr:twoCellAnchor>
  <xdr:twoCellAnchor>
    <xdr:from>
      <xdr:col>11</xdr:col>
      <xdr:colOff>446942</xdr:colOff>
      <xdr:row>41</xdr:row>
      <xdr:rowOff>175846</xdr:rowOff>
    </xdr:from>
    <xdr:to>
      <xdr:col>11</xdr:col>
      <xdr:colOff>531202</xdr:colOff>
      <xdr:row>43</xdr:row>
      <xdr:rowOff>87923</xdr:rowOff>
    </xdr:to>
    <xdr:cxnSp macro="">
      <xdr:nvCxnSpPr>
        <xdr:cNvPr id="38" name="Straight Arrow Connector 37">
          <a:extLst>
            <a:ext uri="{FF2B5EF4-FFF2-40B4-BE49-F238E27FC236}">
              <a16:creationId xmlns:a16="http://schemas.microsoft.com/office/drawing/2014/main" id="{00000000-0008-0000-0000-000026000000}"/>
            </a:ext>
          </a:extLst>
        </xdr:cNvPr>
        <xdr:cNvCxnSpPr>
          <a:stCxn id="44" idx="2"/>
        </xdr:cNvCxnSpPr>
      </xdr:nvCxnSpPr>
      <xdr:spPr>
        <a:xfrm flipH="1">
          <a:off x="7422173" y="8059615"/>
          <a:ext cx="84260" cy="2930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29320</xdr:colOff>
      <xdr:row>63</xdr:row>
      <xdr:rowOff>74135</xdr:rowOff>
    </xdr:from>
    <xdr:to>
      <xdr:col>10</xdr:col>
      <xdr:colOff>505569</xdr:colOff>
      <xdr:row>64</xdr:row>
      <xdr:rowOff>102710</xdr:rowOff>
    </xdr:to>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46261" y="12154076"/>
          <a:ext cx="3501837"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1731</xdr:colOff>
      <xdr:row>57</xdr:row>
      <xdr:rowOff>182575</xdr:rowOff>
    </xdr:from>
    <xdr:to>
      <xdr:col>6</xdr:col>
      <xdr:colOff>439623</xdr:colOff>
      <xdr:row>61</xdr:row>
      <xdr:rowOff>59483</xdr:rowOff>
    </xdr:to>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2713555" y="11119516"/>
          <a:ext cx="1648127" cy="63890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Overview </a:t>
          </a:r>
          <a:r>
            <a:rPr lang="en-US" sz="1100" baseline="0"/>
            <a:t>of utility use and costs as compiled from the equipment list</a:t>
          </a:r>
        </a:p>
      </xdr:txBody>
    </xdr:sp>
    <xdr:clientData/>
  </xdr:twoCellAnchor>
  <xdr:twoCellAnchor>
    <xdr:from>
      <xdr:col>5</xdr:col>
      <xdr:colOff>223480</xdr:colOff>
      <xdr:row>61</xdr:row>
      <xdr:rowOff>59483</xdr:rowOff>
    </xdr:from>
    <xdr:to>
      <xdr:col>5</xdr:col>
      <xdr:colOff>359027</xdr:colOff>
      <xdr:row>63</xdr:row>
      <xdr:rowOff>37495</xdr:rowOff>
    </xdr:to>
    <xdr:cxnSp macro="">
      <xdr:nvCxnSpPr>
        <xdr:cNvPr id="46" name="Straight Arrow Connector 45">
          <a:extLst>
            <a:ext uri="{FF2B5EF4-FFF2-40B4-BE49-F238E27FC236}">
              <a16:creationId xmlns:a16="http://schemas.microsoft.com/office/drawing/2014/main" id="{00000000-0008-0000-0000-00002E000000}"/>
            </a:ext>
          </a:extLst>
        </xdr:cNvPr>
        <xdr:cNvCxnSpPr>
          <a:stCxn id="48" idx="2"/>
        </xdr:cNvCxnSpPr>
      </xdr:nvCxnSpPr>
      <xdr:spPr>
        <a:xfrm>
          <a:off x="3540421" y="11758424"/>
          <a:ext cx="135547" cy="3590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35181</xdr:colOff>
      <xdr:row>67</xdr:row>
      <xdr:rowOff>5263</xdr:rowOff>
    </xdr:from>
    <xdr:to>
      <xdr:col>7</xdr:col>
      <xdr:colOff>467469</xdr:colOff>
      <xdr:row>70</xdr:row>
      <xdr:rowOff>72671</xdr:rowOff>
    </xdr:to>
    <xdr:sp macro="" textlink="">
      <xdr:nvSpPr>
        <xdr:cNvPr id="55" name="TextBox 1">
          <a:extLst>
            <a:ext uri="{FF2B5EF4-FFF2-40B4-BE49-F238E27FC236}">
              <a16:creationId xmlns:a16="http://schemas.microsoft.com/office/drawing/2014/main" id="{00000000-0008-0000-0000-000037000000}"/>
            </a:ext>
          </a:extLst>
        </xdr:cNvPr>
        <xdr:cNvSpPr txBox="1"/>
      </xdr:nvSpPr>
      <xdr:spPr>
        <a:xfrm>
          <a:off x="3352122" y="12847204"/>
          <a:ext cx="1642523" cy="63890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t>Reference information </a:t>
          </a:r>
          <a:r>
            <a:rPr lang="en-US" sz="1100" baseline="0"/>
            <a:t>such as pricing, moleular weights, etc</a:t>
          </a:r>
        </a:p>
      </xdr:txBody>
    </xdr:sp>
    <xdr:clientData/>
  </xdr:twoCellAnchor>
  <xdr:twoCellAnchor>
    <xdr:from>
      <xdr:col>6</xdr:col>
      <xdr:colOff>251324</xdr:colOff>
      <xdr:row>64</xdr:row>
      <xdr:rowOff>184039</xdr:rowOff>
    </xdr:from>
    <xdr:to>
      <xdr:col>6</xdr:col>
      <xdr:colOff>395665</xdr:colOff>
      <xdr:row>67</xdr:row>
      <xdr:rowOff>5263</xdr:rowOff>
    </xdr:to>
    <xdr:cxnSp macro="">
      <xdr:nvCxnSpPr>
        <xdr:cNvPr id="51" name="Straight Arrow Connector 50">
          <a:extLst>
            <a:ext uri="{FF2B5EF4-FFF2-40B4-BE49-F238E27FC236}">
              <a16:creationId xmlns:a16="http://schemas.microsoft.com/office/drawing/2014/main" id="{00000000-0008-0000-0000-000033000000}"/>
            </a:ext>
          </a:extLst>
        </xdr:cNvPr>
        <xdr:cNvCxnSpPr>
          <a:stCxn id="55" idx="0"/>
        </xdr:cNvCxnSpPr>
      </xdr:nvCxnSpPr>
      <xdr:spPr>
        <a:xfrm flipV="1">
          <a:off x="4173383" y="12454480"/>
          <a:ext cx="144341" cy="3927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196370</xdr:colOff>
      <xdr:row>58</xdr:row>
      <xdr:rowOff>19918</xdr:rowOff>
    </xdr:from>
    <xdr:to>
      <xdr:col>9</xdr:col>
      <xdr:colOff>351698</xdr:colOff>
      <xdr:row>61</xdr:row>
      <xdr:rowOff>87326</xdr:rowOff>
    </xdr:to>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723546" y="11147359"/>
          <a:ext cx="1365564" cy="63890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aseline="0"/>
            <a:t>Overview of default parameters in this workbook</a:t>
          </a:r>
        </a:p>
      </xdr:txBody>
    </xdr:sp>
    <xdr:clientData/>
  </xdr:twoCellAnchor>
  <xdr:twoCellAnchor>
    <xdr:from>
      <xdr:col>8</xdr:col>
      <xdr:colOff>175852</xdr:colOff>
      <xdr:row>61</xdr:row>
      <xdr:rowOff>87326</xdr:rowOff>
    </xdr:from>
    <xdr:to>
      <xdr:col>8</xdr:col>
      <xdr:colOff>274034</xdr:colOff>
      <xdr:row>63</xdr:row>
      <xdr:rowOff>22841</xdr:rowOff>
    </xdr:to>
    <xdr:cxnSp macro="">
      <xdr:nvCxnSpPr>
        <xdr:cNvPr id="54" name="Straight Arrow Connector 53">
          <a:extLst>
            <a:ext uri="{FF2B5EF4-FFF2-40B4-BE49-F238E27FC236}">
              <a16:creationId xmlns:a16="http://schemas.microsoft.com/office/drawing/2014/main" id="{00000000-0008-0000-0000-000036000000}"/>
            </a:ext>
          </a:extLst>
        </xdr:cNvPr>
        <xdr:cNvCxnSpPr>
          <a:stCxn id="59" idx="2"/>
        </xdr:cNvCxnSpPr>
      </xdr:nvCxnSpPr>
      <xdr:spPr>
        <a:xfrm flipH="1">
          <a:off x="5308146" y="11786267"/>
          <a:ext cx="98182" cy="3165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136287</xdr:colOff>
      <xdr:row>66</xdr:row>
      <xdr:rowOff>121029</xdr:rowOff>
    </xdr:from>
    <xdr:to>
      <xdr:col>11</xdr:col>
      <xdr:colOff>21985</xdr:colOff>
      <xdr:row>69</xdr:row>
      <xdr:rowOff>188437</xdr:rowOff>
    </xdr:to>
    <xdr:sp macro="" textlink="">
      <xdr:nvSpPr>
        <xdr:cNvPr id="65" name="TextBox 1">
          <a:extLst>
            <a:ext uri="{FF2B5EF4-FFF2-40B4-BE49-F238E27FC236}">
              <a16:creationId xmlns:a16="http://schemas.microsoft.com/office/drawing/2014/main" id="{00000000-0008-0000-0000-000041000000}"/>
            </a:ext>
          </a:extLst>
        </xdr:cNvPr>
        <xdr:cNvSpPr txBox="1"/>
      </xdr:nvSpPr>
      <xdr:spPr>
        <a:xfrm>
          <a:off x="5873699" y="12772470"/>
          <a:ext cx="1095933" cy="63890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baseline="0"/>
            <a:t>Literature cited</a:t>
          </a:r>
        </a:p>
      </xdr:txBody>
    </xdr:sp>
    <xdr:clientData/>
  </xdr:twoCellAnchor>
  <xdr:twoCellAnchor>
    <xdr:from>
      <xdr:col>9</xdr:col>
      <xdr:colOff>373679</xdr:colOff>
      <xdr:row>64</xdr:row>
      <xdr:rowOff>162053</xdr:rowOff>
    </xdr:from>
    <xdr:to>
      <xdr:col>10</xdr:col>
      <xdr:colOff>79137</xdr:colOff>
      <xdr:row>66</xdr:row>
      <xdr:rowOff>121029</xdr:rowOff>
    </xdr:to>
    <xdr:cxnSp macro="">
      <xdr:nvCxnSpPr>
        <xdr:cNvPr id="61" name="Straight Arrow Connector 60">
          <a:extLst>
            <a:ext uri="{FF2B5EF4-FFF2-40B4-BE49-F238E27FC236}">
              <a16:creationId xmlns:a16="http://schemas.microsoft.com/office/drawing/2014/main" id="{00000000-0008-0000-0000-00003D000000}"/>
            </a:ext>
          </a:extLst>
        </xdr:cNvPr>
        <xdr:cNvCxnSpPr>
          <a:stCxn id="65" idx="0"/>
        </xdr:cNvCxnSpPr>
      </xdr:nvCxnSpPr>
      <xdr:spPr>
        <a:xfrm flipH="1" flipV="1">
          <a:off x="6111091" y="12432494"/>
          <a:ext cx="310575" cy="3399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74545</xdr:colOff>
      <xdr:row>75</xdr:row>
      <xdr:rowOff>140805</xdr:rowOff>
    </xdr:from>
    <xdr:to>
      <xdr:col>12</xdr:col>
      <xdr:colOff>257175</xdr:colOff>
      <xdr:row>78</xdr:row>
      <xdr:rowOff>75014</xdr:rowOff>
    </xdr:to>
    <xdr:pic>
      <xdr:nvPicPr>
        <xdr:cNvPr id="71" name="Picture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46695" y="14504505"/>
          <a:ext cx="2011430" cy="505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57979</xdr:colOff>
      <xdr:row>79</xdr:row>
      <xdr:rowOff>107674</xdr:rowOff>
    </xdr:from>
    <xdr:to>
      <xdr:col>11</xdr:col>
      <xdr:colOff>27931</xdr:colOff>
      <xdr:row>82</xdr:row>
      <xdr:rowOff>38100</xdr:rowOff>
    </xdr:to>
    <xdr:pic>
      <xdr:nvPicPr>
        <xdr:cNvPr id="72" name="Picture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30129" y="15233374"/>
          <a:ext cx="1189152" cy="50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400049</xdr:colOff>
      <xdr:row>119</xdr:row>
      <xdr:rowOff>123826</xdr:rowOff>
    </xdr:from>
    <xdr:to>
      <xdr:col>12</xdr:col>
      <xdr:colOff>200024</xdr:colOff>
      <xdr:row>125</xdr:row>
      <xdr:rowOff>14654</xdr:rowOff>
    </xdr:to>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2224453" y="19056595"/>
          <a:ext cx="5558936" cy="1033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Electricity, natural gas, and cooling water are the primary utility inputs to the process.  If another utility is required, please inform your technical POC.  </a:t>
          </a:r>
        </a:p>
        <a:p>
          <a:endParaRPr lang="en-US" sz="1100" baseline="0"/>
        </a:p>
        <a:p>
          <a:r>
            <a:rPr lang="en-US" sz="1100" baseline="0"/>
            <a:t>The default setting for electricity is offsite generation from a natural gas plant.  If onsite generation or a different fuel source is deemed necessary, please contact your technical POC.</a:t>
          </a:r>
        </a:p>
        <a:p>
          <a:endParaRPr lang="en-US" sz="1100" baseline="0"/>
        </a:p>
      </xdr:txBody>
    </xdr:sp>
    <xdr:clientData/>
  </xdr:twoCellAnchor>
  <xdr:twoCellAnchor>
    <xdr:from>
      <xdr:col>3</xdr:col>
      <xdr:colOff>400049</xdr:colOff>
      <xdr:row>87</xdr:row>
      <xdr:rowOff>123826</xdr:rowOff>
    </xdr:from>
    <xdr:to>
      <xdr:col>12</xdr:col>
      <xdr:colOff>200024</xdr:colOff>
      <xdr:row>91</xdr:row>
      <xdr:rowOff>19050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228849" y="16773526"/>
          <a:ext cx="55721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ysClr val="windowText" lastClr="000000"/>
              </a:solidFill>
            </a:rPr>
            <a:t>Each METALS process has a targeted annual production rate </a:t>
          </a:r>
          <a:r>
            <a:rPr lang="en-US" sz="1100" baseline="0"/>
            <a:t>.  Mass and energy balances performed by the team should use this targed rate as a basis for completing the tables on the 'Streams' , 'Compositions', and 'Equipment' sheets. </a:t>
          </a:r>
        </a:p>
      </xdr:txBody>
    </xdr:sp>
    <xdr:clientData/>
  </xdr:twoCellAnchor>
  <xdr:twoCellAnchor>
    <xdr:from>
      <xdr:col>3</xdr:col>
      <xdr:colOff>457200</xdr:colOff>
      <xdr:row>97</xdr:row>
      <xdr:rowOff>28575</xdr:rowOff>
    </xdr:from>
    <xdr:to>
      <xdr:col>12</xdr:col>
      <xdr:colOff>257175</xdr:colOff>
      <xdr:row>102</xdr:row>
      <xdr:rowOff>57150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286000" y="18583275"/>
          <a:ext cx="55721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If changes of scale are desired, then the team will need to re-enter the information on </a:t>
          </a:r>
          <a:r>
            <a:rPr lang="en-US" sz="1100" baseline="0">
              <a:solidFill>
                <a:schemeClr val="dk1"/>
              </a:solidFill>
              <a:effectLst/>
              <a:latin typeface="+mn-lt"/>
              <a:ea typeface="+mn-ea"/>
              <a:cs typeface="+mn-cs"/>
            </a:rPr>
            <a:t>the 'Streams' , 'Compositions', and 'Equipment' sheets.  </a:t>
          </a:r>
          <a:endParaRPr lang="en-US" sz="1100" baseline="0"/>
        </a:p>
        <a:p>
          <a:endParaRPr lang="en-US" sz="1100" baseline="0"/>
        </a:p>
        <a:p>
          <a:r>
            <a:rPr lang="en-US" sz="1100" baseline="0"/>
            <a:t>A plant capacity factor is suggested on the 'Opex' sheet.</a:t>
          </a:r>
        </a:p>
      </xdr:txBody>
    </xdr:sp>
    <xdr:clientData/>
  </xdr:twoCellAnchor>
  <xdr:twoCellAnchor editAs="oneCell">
    <xdr:from>
      <xdr:col>7</xdr:col>
      <xdr:colOff>295275</xdr:colOff>
      <xdr:row>91</xdr:row>
      <xdr:rowOff>33079</xdr:rowOff>
    </xdr:from>
    <xdr:to>
      <xdr:col>12</xdr:col>
      <xdr:colOff>552450</xdr:colOff>
      <xdr:row>96</xdr:row>
      <xdr:rowOff>28575</xdr:rowOff>
    </xdr:to>
    <xdr:pic>
      <xdr:nvPicPr>
        <xdr:cNvPr id="36" name="Pictur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48225" y="17444779"/>
          <a:ext cx="3305175" cy="947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37422</xdr:colOff>
      <xdr:row>91</xdr:row>
      <xdr:rowOff>150378</xdr:rowOff>
    </xdr:from>
    <xdr:to>
      <xdr:col>6</xdr:col>
      <xdr:colOff>469710</xdr:colOff>
      <xdr:row>96</xdr:row>
      <xdr:rowOff>57149</xdr:rowOff>
    </xdr:to>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2761572" y="17562078"/>
          <a:ext cx="1651488" cy="85927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i="0"/>
            <a:t>The spreadsheet</a:t>
          </a:r>
          <a:r>
            <a:rPr lang="en-US" sz="1100" i="0" baseline="0"/>
            <a:t> will indicate the departure from the targeted basis. E.g., for Ti production...</a:t>
          </a:r>
        </a:p>
      </xdr:txBody>
    </xdr:sp>
    <xdr:clientData/>
  </xdr:twoCellAnchor>
  <xdr:twoCellAnchor>
    <xdr:from>
      <xdr:col>6</xdr:col>
      <xdr:colOff>469710</xdr:colOff>
      <xdr:row>94</xdr:row>
      <xdr:rowOff>8514</xdr:rowOff>
    </xdr:from>
    <xdr:to>
      <xdr:col>7</xdr:col>
      <xdr:colOff>209550</xdr:colOff>
      <xdr:row>95</xdr:row>
      <xdr:rowOff>38100</xdr:rowOff>
    </xdr:to>
    <xdr:cxnSp macro="">
      <xdr:nvCxnSpPr>
        <xdr:cNvPr id="3" name="Straight Arrow Connector 2">
          <a:extLst>
            <a:ext uri="{FF2B5EF4-FFF2-40B4-BE49-F238E27FC236}">
              <a16:creationId xmlns:a16="http://schemas.microsoft.com/office/drawing/2014/main" id="{00000000-0008-0000-0000-000003000000}"/>
            </a:ext>
          </a:extLst>
        </xdr:cNvPr>
        <xdr:cNvCxnSpPr>
          <a:stCxn id="37" idx="3"/>
        </xdr:cNvCxnSpPr>
      </xdr:nvCxnSpPr>
      <xdr:spPr>
        <a:xfrm>
          <a:off x="4413060" y="17991714"/>
          <a:ext cx="349440" cy="220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400049</xdr:colOff>
      <xdr:row>131</xdr:row>
      <xdr:rowOff>123825</xdr:rowOff>
    </xdr:from>
    <xdr:to>
      <xdr:col>12</xdr:col>
      <xdr:colOff>276225</xdr:colOff>
      <xdr:row>146</xdr:row>
      <xdr:rowOff>152400</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228849" y="25155525"/>
          <a:ext cx="5648326" cy="288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solidFill>
                <a:schemeClr val="dk1"/>
              </a:solidFill>
              <a:effectLst/>
              <a:latin typeface="+mn-lt"/>
              <a:ea typeface="+mn-ea"/>
              <a:cs typeface="+mn-cs"/>
            </a:rPr>
            <a:t>STAGE 1.  The 'PFD', 'Streams', and 'Compositions' sheets are fully completed.  </a:t>
          </a:r>
          <a:r>
            <a:rPr lang="en-US" sz="1100" baseline="0"/>
            <a:t>Partial input on the 'Equipment' sheet is acceptible, p</a:t>
          </a:r>
          <a:r>
            <a:rPr lang="en-US" sz="1100" baseline="0">
              <a:solidFill>
                <a:schemeClr val="dk1"/>
              </a:solidFill>
              <a:effectLst/>
              <a:latin typeface="+mn-lt"/>
              <a:ea typeface="+mn-ea"/>
              <a:cs typeface="+mn-cs"/>
            </a:rPr>
            <a:t>rior to sizing individual equipment but after completing the first set of mass and energy balances </a:t>
          </a:r>
          <a:r>
            <a:rPr lang="en-US" sz="1100" baseline="0"/>
            <a:t>.  The user would enter;  a quantity of one (Qu=1) of all key equipment/operations, all utility requirements for each operation, and </a:t>
          </a:r>
          <a:r>
            <a:rPr lang="en-US" sz="1100" baseline="0">
              <a:solidFill>
                <a:schemeClr val="dk1"/>
              </a:solidFill>
              <a:effectLst/>
              <a:latin typeface="+mn-lt"/>
              <a:ea typeface="+mn-ea"/>
              <a:cs typeface="+mn-cs"/>
            </a:rPr>
            <a:t>sizing information where available.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STAGE 2. After sizing individual equipment, the capital costing areas of the 'Equipment' sheet can be completed.  This would require adjustment of equipment quantities, selection of the capital costing approach and entry of associated information.</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STAGE 3.  Upon iterating the process design to an appreciable extent, the specific auxiliary equipment and operations can be entered on the 'Equipment' sheet alongside the key process operations.</a:t>
          </a:r>
        </a:p>
        <a:p>
          <a:endParaRPr lang="en-US" sz="1100" baseline="0">
            <a:solidFill>
              <a:schemeClr val="dk1"/>
            </a:solidFill>
            <a:effectLst/>
            <a:latin typeface="+mn-lt"/>
            <a:ea typeface="+mn-ea"/>
            <a:cs typeface="+mn-cs"/>
          </a:endParaRPr>
        </a:p>
        <a:p>
          <a:r>
            <a:rPr lang="en-US" sz="1100" baseline="0"/>
            <a:t>Subsequent stages of analysis include sensitivity studies and will be discussed with your </a:t>
          </a:r>
          <a:r>
            <a:rPr lang="en-US" sz="1100" baseline="0">
              <a:solidFill>
                <a:schemeClr val="dk1"/>
              </a:solidFill>
              <a:effectLst/>
              <a:latin typeface="+mn-lt"/>
              <a:ea typeface="+mn-ea"/>
              <a:cs typeface="+mn-cs"/>
            </a:rPr>
            <a:t>program director and </a:t>
          </a:r>
          <a:r>
            <a:rPr lang="en-US" sz="1100" baseline="0"/>
            <a:t>technical POC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6</xdr:row>
      <xdr:rowOff>60960</xdr:rowOff>
    </xdr:from>
    <xdr:to>
      <xdr:col>34</xdr:col>
      <xdr:colOff>55346</xdr:colOff>
      <xdr:row>61</xdr:row>
      <xdr:rowOff>171339</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326967" y="1278043"/>
          <a:ext cx="17678712" cy="10587879"/>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AnoAT</a:t>
          </a:r>
        </a:p>
      </xdr:txBody>
    </xdr:sp>
    <xdr:clientData/>
  </xdr:twoCellAnchor>
  <xdr:twoCellAnchor>
    <xdr:from>
      <xdr:col>10</xdr:col>
      <xdr:colOff>96157</xdr:colOff>
      <xdr:row>17</xdr:row>
      <xdr:rowOff>25401</xdr:rowOff>
    </xdr:from>
    <xdr:to>
      <xdr:col>15</xdr:col>
      <xdr:colOff>462303</xdr:colOff>
      <xdr:row>42</xdr:row>
      <xdr:rowOff>156676</xdr:rowOff>
    </xdr:to>
    <xdr:sp macro="" textlink="">
      <xdr:nvSpPr>
        <xdr:cNvPr id="92" name="Rectangle: Rounded Corners 91">
          <a:extLst>
            <a:ext uri="{FF2B5EF4-FFF2-40B4-BE49-F238E27FC236}">
              <a16:creationId xmlns:a16="http://schemas.microsoft.com/office/drawing/2014/main" id="{00000000-0008-0000-0100-00005C000000}"/>
            </a:ext>
          </a:extLst>
        </xdr:cNvPr>
        <xdr:cNvSpPr/>
      </xdr:nvSpPr>
      <xdr:spPr>
        <a:xfrm rot="5400000">
          <a:off x="5001492" y="3717966"/>
          <a:ext cx="4576275" cy="3414146"/>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16933</xdr:colOff>
      <xdr:row>26</xdr:row>
      <xdr:rowOff>1267</xdr:rowOff>
    </xdr:from>
    <xdr:to>
      <xdr:col>6</xdr:col>
      <xdr:colOff>8466</xdr:colOff>
      <xdr:row>27</xdr:row>
      <xdr:rowOff>186265</xdr:rowOff>
    </xdr:to>
    <xdr:sp macro="" textlink="">
      <xdr:nvSpPr>
        <xdr:cNvPr id="4" name="Pentagon 2">
          <a:extLst>
            <a:ext uri="{FF2B5EF4-FFF2-40B4-BE49-F238E27FC236}">
              <a16:creationId xmlns:a16="http://schemas.microsoft.com/office/drawing/2014/main" id="{00000000-0008-0000-0100-000004000000}"/>
            </a:ext>
          </a:extLst>
        </xdr:cNvPr>
        <xdr:cNvSpPr/>
      </xdr:nvSpPr>
      <xdr:spPr>
        <a:xfrm>
          <a:off x="4563533" y="4928867"/>
          <a:ext cx="2159000" cy="37126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Anodes Zirconia Tube Material</a:t>
          </a:r>
        </a:p>
      </xdr:txBody>
    </xdr:sp>
    <xdr:clientData/>
  </xdr:twoCellAnchor>
  <xdr:twoCellAnchor>
    <xdr:from>
      <xdr:col>37</xdr:col>
      <xdr:colOff>15240</xdr:colOff>
      <xdr:row>26</xdr:row>
      <xdr:rowOff>163904</xdr:rowOff>
    </xdr:from>
    <xdr:to>
      <xdr:col>38</xdr:col>
      <xdr:colOff>711200</xdr:colOff>
      <xdr:row>31</xdr:row>
      <xdr:rowOff>50800</xdr:rowOff>
    </xdr:to>
    <xdr:sp macro="" textlink="">
      <xdr:nvSpPr>
        <xdr:cNvPr id="25" name="Pentagon 2">
          <a:extLst>
            <a:ext uri="{FF2B5EF4-FFF2-40B4-BE49-F238E27FC236}">
              <a16:creationId xmlns:a16="http://schemas.microsoft.com/office/drawing/2014/main" id="{00000000-0008-0000-0100-000019000000}"/>
            </a:ext>
          </a:extLst>
        </xdr:cNvPr>
        <xdr:cNvSpPr/>
      </xdr:nvSpPr>
      <xdr:spPr>
        <a:xfrm>
          <a:off x="28183840" y="5091504"/>
          <a:ext cx="1601893" cy="818229"/>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Spent Anode</a:t>
          </a:r>
          <a:r>
            <a:rPr lang="en-US" sz="1100" b="1" baseline="0">
              <a:solidFill>
                <a:schemeClr val="bg1"/>
              </a:solidFill>
            </a:rPr>
            <a:t> Material (Zirconia)</a:t>
          </a:r>
          <a:endParaRPr lang="en-US" sz="1100" b="1">
            <a:solidFill>
              <a:schemeClr val="bg1"/>
            </a:solidFill>
          </a:endParaRPr>
        </a:p>
      </xdr:txBody>
    </xdr:sp>
    <xdr:clientData/>
  </xdr:twoCellAnchor>
  <xdr:twoCellAnchor>
    <xdr:from>
      <xdr:col>16</xdr:col>
      <xdr:colOff>577668</xdr:colOff>
      <xdr:row>29</xdr:row>
      <xdr:rowOff>161471</xdr:rowOff>
    </xdr:from>
    <xdr:to>
      <xdr:col>24</xdr:col>
      <xdr:colOff>524442</xdr:colOff>
      <xdr:row>51</xdr:row>
      <xdr:rowOff>95690</xdr:rowOff>
    </xdr:to>
    <xdr:sp macro="" textlink="">
      <xdr:nvSpPr>
        <xdr:cNvPr id="11" name="Rectangle: Rounded Corners 10">
          <a:extLst>
            <a:ext uri="{FF2B5EF4-FFF2-40B4-BE49-F238E27FC236}">
              <a16:creationId xmlns:a16="http://schemas.microsoft.com/office/drawing/2014/main" id="{00000000-0008-0000-0100-00000B000000}"/>
            </a:ext>
          </a:extLst>
        </xdr:cNvPr>
        <xdr:cNvSpPr/>
      </xdr:nvSpPr>
      <xdr:spPr>
        <a:xfrm>
          <a:off x="15028454" y="5504542"/>
          <a:ext cx="4809059" cy="394379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206669</xdr:colOff>
      <xdr:row>40</xdr:row>
      <xdr:rowOff>76201</xdr:rowOff>
    </xdr:from>
    <xdr:to>
      <xdr:col>23</xdr:col>
      <xdr:colOff>392675</xdr:colOff>
      <xdr:row>48</xdr:row>
      <xdr:rowOff>21537</xdr:rowOff>
    </xdr:to>
    <xdr:sp macro="" textlink="">
      <xdr:nvSpPr>
        <xdr:cNvPr id="12" name="Rounded Rectangle 24">
          <a:extLst>
            <a:ext uri="{FF2B5EF4-FFF2-40B4-BE49-F238E27FC236}">
              <a16:creationId xmlns:a16="http://schemas.microsoft.com/office/drawing/2014/main" id="{00000000-0008-0000-0100-00000C000000}"/>
            </a:ext>
          </a:extLst>
        </xdr:cNvPr>
        <xdr:cNvSpPr/>
      </xdr:nvSpPr>
      <xdr:spPr>
        <a:xfrm>
          <a:off x="10569869" y="7482841"/>
          <a:ext cx="3234006" cy="1408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Reactor</a:t>
          </a:r>
        </a:p>
      </xdr:txBody>
    </xdr:sp>
    <xdr:clientData/>
  </xdr:twoCellAnchor>
  <xdr:twoCellAnchor>
    <xdr:from>
      <xdr:col>17</xdr:col>
      <xdr:colOff>201436</xdr:colOff>
      <xdr:row>31</xdr:row>
      <xdr:rowOff>18290</xdr:rowOff>
    </xdr:from>
    <xdr:to>
      <xdr:col>19</xdr:col>
      <xdr:colOff>347138</xdr:colOff>
      <xdr:row>33</xdr:row>
      <xdr:rowOff>30479</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9955036" y="5779010"/>
          <a:ext cx="1364902" cy="377949"/>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t>MSE Unit</a:t>
          </a:r>
        </a:p>
      </xdr:txBody>
    </xdr:sp>
    <xdr:clientData/>
  </xdr:twoCellAnchor>
  <xdr:twoCellAnchor>
    <xdr:from>
      <xdr:col>18</xdr:col>
      <xdr:colOff>444500</xdr:colOff>
      <xdr:row>11</xdr:row>
      <xdr:rowOff>45722</xdr:rowOff>
    </xdr:from>
    <xdr:to>
      <xdr:col>23</xdr:col>
      <xdr:colOff>317500</xdr:colOff>
      <xdr:row>25</xdr:row>
      <xdr:rowOff>15242</xdr:rowOff>
    </xdr:to>
    <xdr:sp macro="" textlink="">
      <xdr:nvSpPr>
        <xdr:cNvPr id="15" name="Rectangle: Rounded Corners 14">
          <a:extLst>
            <a:ext uri="{FF2B5EF4-FFF2-40B4-BE49-F238E27FC236}">
              <a16:creationId xmlns:a16="http://schemas.microsoft.com/office/drawing/2014/main" id="{00000000-0008-0000-0100-00000F000000}"/>
            </a:ext>
          </a:extLst>
        </xdr:cNvPr>
        <xdr:cNvSpPr/>
      </xdr:nvSpPr>
      <xdr:spPr>
        <a:xfrm rot="5400000">
          <a:off x="11038840" y="1859282"/>
          <a:ext cx="2458720" cy="2921000"/>
        </a:xfrm>
        <a:prstGeom prst="round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119549</xdr:colOff>
      <xdr:row>16</xdr:row>
      <xdr:rowOff>112161</xdr:rowOff>
    </xdr:from>
    <xdr:to>
      <xdr:col>21</xdr:col>
      <xdr:colOff>551180</xdr:colOff>
      <xdr:row>21</xdr:row>
      <xdr:rowOff>68460</xdr:rowOff>
    </xdr:to>
    <xdr:sp macro="" textlink="">
      <xdr:nvSpPr>
        <xdr:cNvPr id="17" name="Rounded Rectangle 32">
          <a:extLst>
            <a:ext uri="{FF2B5EF4-FFF2-40B4-BE49-F238E27FC236}">
              <a16:creationId xmlns:a16="http://schemas.microsoft.com/office/drawing/2014/main" id="{00000000-0008-0000-0100-000011000000}"/>
            </a:ext>
          </a:extLst>
        </xdr:cNvPr>
        <xdr:cNvSpPr/>
      </xdr:nvSpPr>
      <xdr:spPr>
        <a:xfrm>
          <a:off x="11701949" y="3045861"/>
          <a:ext cx="1041231" cy="84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Pre-process</a:t>
          </a:r>
          <a:r>
            <a:rPr lang="en-US" sz="1100" b="1" baseline="0"/>
            <a:t> Heater</a:t>
          </a:r>
          <a:endParaRPr lang="en-US" sz="1100" b="1"/>
        </a:p>
      </xdr:txBody>
    </xdr:sp>
    <xdr:clientData/>
  </xdr:twoCellAnchor>
  <xdr:twoCellAnchor>
    <xdr:from>
      <xdr:col>18</xdr:col>
      <xdr:colOff>604212</xdr:colOff>
      <xdr:row>12</xdr:row>
      <xdr:rowOff>51673</xdr:rowOff>
    </xdr:from>
    <xdr:to>
      <xdr:col>22</xdr:col>
      <xdr:colOff>215900</xdr:colOff>
      <xdr:row>14</xdr:row>
      <xdr:rowOff>105532</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10967412" y="2274173"/>
          <a:ext cx="2050088" cy="409459"/>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t>Silica Preparation</a:t>
          </a:r>
        </a:p>
      </xdr:txBody>
    </xdr:sp>
    <xdr:clientData/>
  </xdr:twoCellAnchor>
  <xdr:twoCellAnchor>
    <xdr:from>
      <xdr:col>6</xdr:col>
      <xdr:colOff>8466</xdr:colOff>
      <xdr:row>23</xdr:row>
      <xdr:rowOff>150904</xdr:rowOff>
    </xdr:from>
    <xdr:to>
      <xdr:col>10</xdr:col>
      <xdr:colOff>342443</xdr:colOff>
      <xdr:row>27</xdr:row>
      <xdr:rowOff>633</xdr:rowOff>
    </xdr:to>
    <xdr:cxnSp macro="">
      <xdr:nvCxnSpPr>
        <xdr:cNvPr id="20" name="Connector: Elbow 19">
          <a:extLst>
            <a:ext uri="{FF2B5EF4-FFF2-40B4-BE49-F238E27FC236}">
              <a16:creationId xmlns:a16="http://schemas.microsoft.com/office/drawing/2014/main" id="{00000000-0008-0000-0100-000014000000}"/>
            </a:ext>
          </a:extLst>
        </xdr:cNvPr>
        <xdr:cNvCxnSpPr>
          <a:stCxn id="4" idx="3"/>
          <a:endCxn id="71" idx="1"/>
        </xdr:cNvCxnSpPr>
      </xdr:nvCxnSpPr>
      <xdr:spPr>
        <a:xfrm flipV="1">
          <a:off x="6722533" y="4519704"/>
          <a:ext cx="3161843" cy="594796"/>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30480</xdr:colOff>
      <xdr:row>29</xdr:row>
      <xdr:rowOff>20320</xdr:rowOff>
    </xdr:from>
    <xdr:to>
      <xdr:col>28</xdr:col>
      <xdr:colOff>198120</xdr:colOff>
      <xdr:row>37</xdr:row>
      <xdr:rowOff>120650</xdr:rowOff>
    </xdr:to>
    <xdr:cxnSp macro="">
      <xdr:nvCxnSpPr>
        <xdr:cNvPr id="36" name="Connector: Elbow 35">
          <a:extLst>
            <a:ext uri="{FF2B5EF4-FFF2-40B4-BE49-F238E27FC236}">
              <a16:creationId xmlns:a16="http://schemas.microsoft.com/office/drawing/2014/main" id="{00000000-0008-0000-0100-000024000000}"/>
            </a:ext>
          </a:extLst>
        </xdr:cNvPr>
        <xdr:cNvCxnSpPr>
          <a:stCxn id="83" idx="6"/>
          <a:endCxn id="77" idx="1"/>
        </xdr:cNvCxnSpPr>
      </xdr:nvCxnSpPr>
      <xdr:spPr>
        <a:xfrm flipV="1">
          <a:off x="13441680" y="5265420"/>
          <a:ext cx="3215640" cy="1522730"/>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177803</xdr:colOff>
      <xdr:row>21</xdr:row>
      <xdr:rowOff>101600</xdr:rowOff>
    </xdr:from>
    <xdr:to>
      <xdr:col>22</xdr:col>
      <xdr:colOff>121920</xdr:colOff>
      <xdr:row>34</xdr:row>
      <xdr:rowOff>172720</xdr:rowOff>
    </xdr:to>
    <xdr:cxnSp macro="">
      <xdr:nvCxnSpPr>
        <xdr:cNvPr id="52" name="Connector: Elbow 51">
          <a:extLst>
            <a:ext uri="{FF2B5EF4-FFF2-40B4-BE49-F238E27FC236}">
              <a16:creationId xmlns:a16="http://schemas.microsoft.com/office/drawing/2014/main" id="{00000000-0008-0000-0100-000034000000}"/>
            </a:ext>
          </a:extLst>
        </xdr:cNvPr>
        <xdr:cNvCxnSpPr>
          <a:stCxn id="83" idx="0"/>
        </xdr:cNvCxnSpPr>
      </xdr:nvCxnSpPr>
      <xdr:spPr>
        <a:xfrm rot="16200000" flipV="1">
          <a:off x="11455402" y="4838701"/>
          <a:ext cx="2382520" cy="553717"/>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603060</xdr:colOff>
      <xdr:row>48</xdr:row>
      <xdr:rowOff>21537</xdr:rowOff>
    </xdr:from>
    <xdr:to>
      <xdr:col>37</xdr:col>
      <xdr:colOff>7055</xdr:colOff>
      <xdr:row>53</xdr:row>
      <xdr:rowOff>91723</xdr:rowOff>
    </xdr:to>
    <xdr:cxnSp macro="">
      <xdr:nvCxnSpPr>
        <xdr:cNvPr id="204" name="Connector: Elbow 61">
          <a:extLst>
            <a:ext uri="{FF2B5EF4-FFF2-40B4-BE49-F238E27FC236}">
              <a16:creationId xmlns:a16="http://schemas.microsoft.com/office/drawing/2014/main" id="{00000000-0008-0000-0100-0000CC000000}"/>
            </a:ext>
          </a:extLst>
        </xdr:cNvPr>
        <xdr:cNvCxnSpPr>
          <a:cxnSpLocks/>
          <a:stCxn id="12" idx="2"/>
        </xdr:cNvCxnSpPr>
      </xdr:nvCxnSpPr>
      <xdr:spPr>
        <a:xfrm rot="16200000" flipH="1">
          <a:off x="22463215" y="3942382"/>
          <a:ext cx="987408" cy="10953939"/>
        </a:xfrm>
        <a:prstGeom prst="bentConnector2">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xdr:colOff>
      <xdr:row>12</xdr:row>
      <xdr:rowOff>49288</xdr:rowOff>
    </xdr:from>
    <xdr:to>
      <xdr:col>20</xdr:col>
      <xdr:colOff>141623</xdr:colOff>
      <xdr:row>20</xdr:row>
      <xdr:rowOff>97266</xdr:rowOff>
    </xdr:to>
    <xdr:cxnSp macro="">
      <xdr:nvCxnSpPr>
        <xdr:cNvPr id="205" name="Connector: Elbow 65">
          <a:extLst>
            <a:ext uri="{FF2B5EF4-FFF2-40B4-BE49-F238E27FC236}">
              <a16:creationId xmlns:a16="http://schemas.microsoft.com/office/drawing/2014/main" id="{00000000-0008-0000-0100-0000CD000000}"/>
            </a:ext>
          </a:extLst>
        </xdr:cNvPr>
        <xdr:cNvCxnSpPr>
          <a:cxnSpLocks/>
        </xdr:cNvCxnSpPr>
      </xdr:nvCxnSpPr>
      <xdr:spPr>
        <a:xfrm>
          <a:off x="6558643" y="2416931"/>
          <a:ext cx="9938766" cy="1571978"/>
        </a:xfrm>
        <a:prstGeom prst="bentConnector3">
          <a:avLst>
            <a:gd name="adj1" fmla="val 75376"/>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342443</xdr:colOff>
      <xdr:row>21</xdr:row>
      <xdr:rowOff>75625</xdr:rowOff>
    </xdr:from>
    <xdr:to>
      <xdr:col>12</xdr:col>
      <xdr:colOff>83363</xdr:colOff>
      <xdr:row>26</xdr:row>
      <xdr:rowOff>39915</xdr:rowOff>
    </xdr:to>
    <xdr:sp macro="" textlink="">
      <xdr:nvSpPr>
        <xdr:cNvPr id="71" name="Rounded Rectangle 27">
          <a:extLst>
            <a:ext uri="{FF2B5EF4-FFF2-40B4-BE49-F238E27FC236}">
              <a16:creationId xmlns:a16="http://schemas.microsoft.com/office/drawing/2014/main" id="{00000000-0008-0000-0100-000047000000}"/>
            </a:ext>
          </a:extLst>
        </xdr:cNvPr>
        <xdr:cNvSpPr/>
      </xdr:nvSpPr>
      <xdr:spPr>
        <a:xfrm>
          <a:off x="5828843" y="3898325"/>
          <a:ext cx="960120" cy="8532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Zirconia Material Mixing and Milling</a:t>
          </a:r>
        </a:p>
      </xdr:txBody>
    </xdr:sp>
    <xdr:clientData/>
  </xdr:twoCellAnchor>
  <xdr:twoCellAnchor>
    <xdr:from>
      <xdr:col>15</xdr:col>
      <xdr:colOff>299934</xdr:colOff>
      <xdr:row>37</xdr:row>
      <xdr:rowOff>117213</xdr:rowOff>
    </xdr:from>
    <xdr:to>
      <xdr:col>21</xdr:col>
      <xdr:colOff>213360</xdr:colOff>
      <xdr:row>37</xdr:row>
      <xdr:rowOff>120650</xdr:rowOff>
    </xdr:to>
    <xdr:cxnSp macro="">
      <xdr:nvCxnSpPr>
        <xdr:cNvPr id="74" name="Connector: Elbow 73">
          <a:extLst>
            <a:ext uri="{FF2B5EF4-FFF2-40B4-BE49-F238E27FC236}">
              <a16:creationId xmlns:a16="http://schemas.microsoft.com/office/drawing/2014/main" id="{00000000-0008-0000-0100-00004A000000}"/>
            </a:ext>
          </a:extLst>
        </xdr:cNvPr>
        <xdr:cNvCxnSpPr>
          <a:stCxn id="75" idx="3"/>
          <a:endCxn id="83" idx="2"/>
        </xdr:cNvCxnSpPr>
      </xdr:nvCxnSpPr>
      <xdr:spPr>
        <a:xfrm>
          <a:off x="8834334" y="6784713"/>
          <a:ext cx="3571026" cy="3437"/>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198120</xdr:colOff>
      <xdr:row>26</xdr:row>
      <xdr:rowOff>167640</xdr:rowOff>
    </xdr:from>
    <xdr:to>
      <xdr:col>29</xdr:col>
      <xdr:colOff>502920</xdr:colOff>
      <xdr:row>31</xdr:row>
      <xdr:rowOff>50800</xdr:rowOff>
    </xdr:to>
    <xdr:sp macro="" textlink="">
      <xdr:nvSpPr>
        <xdr:cNvPr id="77" name="Rounded Rectangle 44">
          <a:extLst>
            <a:ext uri="{FF2B5EF4-FFF2-40B4-BE49-F238E27FC236}">
              <a16:creationId xmlns:a16="http://schemas.microsoft.com/office/drawing/2014/main" id="{00000000-0008-0000-0100-00004D000000}"/>
            </a:ext>
          </a:extLst>
        </xdr:cNvPr>
        <xdr:cNvSpPr/>
      </xdr:nvSpPr>
      <xdr:spPr>
        <a:xfrm>
          <a:off x="16657320" y="4879340"/>
          <a:ext cx="914400" cy="7721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Tube Processing</a:t>
          </a:r>
        </a:p>
      </xdr:txBody>
    </xdr:sp>
    <xdr:clientData/>
  </xdr:twoCellAnchor>
  <xdr:twoCellAnchor>
    <xdr:from>
      <xdr:col>29</xdr:col>
      <xdr:colOff>502920</xdr:colOff>
      <xdr:row>29</xdr:row>
      <xdr:rowOff>12102</xdr:rowOff>
    </xdr:from>
    <xdr:to>
      <xdr:col>37</xdr:col>
      <xdr:colOff>15240</xdr:colOff>
      <xdr:row>29</xdr:row>
      <xdr:rowOff>13970</xdr:rowOff>
    </xdr:to>
    <xdr:cxnSp macro="">
      <xdr:nvCxnSpPr>
        <xdr:cNvPr id="80" name="Connector: Elbow 79">
          <a:extLst>
            <a:ext uri="{FF2B5EF4-FFF2-40B4-BE49-F238E27FC236}">
              <a16:creationId xmlns:a16="http://schemas.microsoft.com/office/drawing/2014/main" id="{00000000-0008-0000-0100-000050000000}"/>
            </a:ext>
          </a:extLst>
        </xdr:cNvPr>
        <xdr:cNvCxnSpPr>
          <a:stCxn id="77" idx="3"/>
          <a:endCxn id="25" idx="1"/>
        </xdr:cNvCxnSpPr>
      </xdr:nvCxnSpPr>
      <xdr:spPr>
        <a:xfrm flipV="1">
          <a:off x="22954706" y="5618245"/>
          <a:ext cx="4873534" cy="1868"/>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213360</xdr:colOff>
      <xdr:row>34</xdr:row>
      <xdr:rowOff>172720</xdr:rowOff>
    </xdr:from>
    <xdr:to>
      <xdr:col>23</xdr:col>
      <xdr:colOff>30480</xdr:colOff>
      <xdr:row>40</xdr:row>
      <xdr:rowOff>68580</xdr:rowOff>
    </xdr:to>
    <xdr:sp macro="" textlink="">
      <xdr:nvSpPr>
        <xdr:cNvPr id="83" name="Oval 82">
          <a:extLst>
            <a:ext uri="{FF2B5EF4-FFF2-40B4-BE49-F238E27FC236}">
              <a16:creationId xmlns:a16="http://schemas.microsoft.com/office/drawing/2014/main" id="{00000000-0008-0000-0100-000053000000}"/>
            </a:ext>
          </a:extLst>
        </xdr:cNvPr>
        <xdr:cNvSpPr/>
      </xdr:nvSpPr>
      <xdr:spPr>
        <a:xfrm>
          <a:off x="12405360" y="6482080"/>
          <a:ext cx="1036320" cy="99314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 Tubes</a:t>
          </a:r>
        </a:p>
      </xdr:txBody>
    </xdr:sp>
    <xdr:clientData/>
  </xdr:twoCellAnchor>
  <xdr:twoCellAnchor>
    <xdr:from>
      <xdr:col>20</xdr:col>
      <xdr:colOff>604473</xdr:colOff>
      <xdr:row>35</xdr:row>
      <xdr:rowOff>135282</xdr:rowOff>
    </xdr:from>
    <xdr:to>
      <xdr:col>21</xdr:col>
      <xdr:colOff>365127</xdr:colOff>
      <xdr:row>40</xdr:row>
      <xdr:rowOff>76201</xdr:rowOff>
    </xdr:to>
    <xdr:cxnSp macro="">
      <xdr:nvCxnSpPr>
        <xdr:cNvPr id="90" name="Connector: Elbow 89">
          <a:extLst>
            <a:ext uri="{FF2B5EF4-FFF2-40B4-BE49-F238E27FC236}">
              <a16:creationId xmlns:a16="http://schemas.microsoft.com/office/drawing/2014/main" id="{00000000-0008-0000-0100-00005A000000}"/>
            </a:ext>
          </a:extLst>
        </xdr:cNvPr>
        <xdr:cNvCxnSpPr>
          <a:stCxn id="12" idx="0"/>
          <a:endCxn id="83" idx="1"/>
        </xdr:cNvCxnSpPr>
      </xdr:nvCxnSpPr>
      <xdr:spPr>
        <a:xfrm rot="5400000" flipH="1" flipV="1">
          <a:off x="11944340" y="6870055"/>
          <a:ext cx="855319" cy="370254"/>
        </a:xfrm>
        <a:prstGeom prst="bentConnector3">
          <a:avLst>
            <a:gd name="adj1" fmla="val 99838"/>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573743</xdr:colOff>
      <xdr:row>21</xdr:row>
      <xdr:rowOff>38102</xdr:rowOff>
    </xdr:from>
    <xdr:to>
      <xdr:col>20</xdr:col>
      <xdr:colOff>393701</xdr:colOff>
      <xdr:row>40</xdr:row>
      <xdr:rowOff>89647</xdr:rowOff>
    </xdr:to>
    <xdr:cxnSp macro="">
      <xdr:nvCxnSpPr>
        <xdr:cNvPr id="96" name="Connector: Elbow 95">
          <a:extLst>
            <a:ext uri="{FF2B5EF4-FFF2-40B4-BE49-F238E27FC236}">
              <a16:creationId xmlns:a16="http://schemas.microsoft.com/office/drawing/2014/main" id="{00000000-0008-0000-0100-000060000000}"/>
            </a:ext>
          </a:extLst>
        </xdr:cNvPr>
        <xdr:cNvCxnSpPr/>
      </xdr:nvCxnSpPr>
      <xdr:spPr>
        <a:xfrm rot="5400000">
          <a:off x="10046449" y="5360896"/>
          <a:ext cx="3429745" cy="429558"/>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551180</xdr:colOff>
      <xdr:row>18</xdr:row>
      <xdr:rowOff>183444</xdr:rowOff>
    </xdr:from>
    <xdr:to>
      <xdr:col>36</xdr:col>
      <xdr:colOff>660400</xdr:colOff>
      <xdr:row>19</xdr:row>
      <xdr:rowOff>0</xdr:rowOff>
    </xdr:to>
    <xdr:cxnSp macro="">
      <xdr:nvCxnSpPr>
        <xdr:cNvPr id="16" name="Connector: Elbow 110">
          <a:extLst>
            <a:ext uri="{FF2B5EF4-FFF2-40B4-BE49-F238E27FC236}">
              <a16:creationId xmlns:a16="http://schemas.microsoft.com/office/drawing/2014/main" id="{00000000-0008-0000-0100-000010000000}"/>
            </a:ext>
          </a:extLst>
        </xdr:cNvPr>
        <xdr:cNvCxnSpPr>
          <a:cxnSpLocks/>
          <a:stCxn id="17" idx="3"/>
        </xdr:cNvCxnSpPr>
      </xdr:nvCxnSpPr>
      <xdr:spPr>
        <a:xfrm>
          <a:off x="17823180" y="3620911"/>
          <a:ext cx="10336953" cy="2822"/>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198120</xdr:colOff>
      <xdr:row>37</xdr:row>
      <xdr:rowOff>25401</xdr:rowOff>
    </xdr:from>
    <xdr:to>
      <xdr:col>30</xdr:col>
      <xdr:colOff>139700</xdr:colOff>
      <xdr:row>41</xdr:row>
      <xdr:rowOff>50800</xdr:rowOff>
    </xdr:to>
    <xdr:sp macro="" textlink="">
      <xdr:nvSpPr>
        <xdr:cNvPr id="117" name="Rounded Rectangle 27">
          <a:extLst>
            <a:ext uri="{FF2B5EF4-FFF2-40B4-BE49-F238E27FC236}">
              <a16:creationId xmlns:a16="http://schemas.microsoft.com/office/drawing/2014/main" id="{00000000-0008-0000-0100-000075000000}"/>
            </a:ext>
          </a:extLst>
        </xdr:cNvPr>
        <xdr:cNvSpPr/>
      </xdr:nvSpPr>
      <xdr:spPr>
        <a:xfrm>
          <a:off x="16657320" y="6692901"/>
          <a:ext cx="1160780" cy="736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Silicon</a:t>
          </a:r>
          <a:r>
            <a:rPr lang="en-US" sz="1100" b="1" baseline="0"/>
            <a:t> Refining Process</a:t>
          </a:r>
          <a:endParaRPr lang="en-US" sz="1100" b="1"/>
        </a:p>
      </xdr:txBody>
    </xdr:sp>
    <xdr:clientData/>
  </xdr:twoCellAnchor>
  <xdr:twoCellAnchor>
    <xdr:from>
      <xdr:col>23</xdr:col>
      <xdr:colOff>405375</xdr:colOff>
      <xdr:row>39</xdr:row>
      <xdr:rowOff>38101</xdr:rowOff>
    </xdr:from>
    <xdr:to>
      <xdr:col>28</xdr:col>
      <xdr:colOff>198120</xdr:colOff>
      <xdr:row>42</xdr:row>
      <xdr:rowOff>125071</xdr:rowOff>
    </xdr:to>
    <xdr:cxnSp macro="">
      <xdr:nvCxnSpPr>
        <xdr:cNvPr id="118" name="Connector: Elbow 117">
          <a:extLst>
            <a:ext uri="{FF2B5EF4-FFF2-40B4-BE49-F238E27FC236}">
              <a16:creationId xmlns:a16="http://schemas.microsoft.com/office/drawing/2014/main" id="{00000000-0008-0000-0100-000076000000}"/>
            </a:ext>
          </a:extLst>
        </xdr:cNvPr>
        <xdr:cNvCxnSpPr>
          <a:endCxn id="117" idx="1"/>
        </xdr:cNvCxnSpPr>
      </xdr:nvCxnSpPr>
      <xdr:spPr>
        <a:xfrm flipV="1">
          <a:off x="13816575" y="7061201"/>
          <a:ext cx="2840745" cy="620370"/>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139700</xdr:colOff>
      <xdr:row>39</xdr:row>
      <xdr:rowOff>25400</xdr:rowOff>
    </xdr:from>
    <xdr:to>
      <xdr:col>37</xdr:col>
      <xdr:colOff>0</xdr:colOff>
      <xdr:row>39</xdr:row>
      <xdr:rowOff>38100</xdr:rowOff>
    </xdr:to>
    <xdr:cxnSp macro="">
      <xdr:nvCxnSpPr>
        <xdr:cNvPr id="10" name="Connector: Elbow 123">
          <a:extLst>
            <a:ext uri="{FF2B5EF4-FFF2-40B4-BE49-F238E27FC236}">
              <a16:creationId xmlns:a16="http://schemas.microsoft.com/office/drawing/2014/main" id="{00000000-0008-0000-0100-00000A000000}"/>
            </a:ext>
          </a:extLst>
        </xdr:cNvPr>
        <xdr:cNvCxnSpPr>
          <a:stCxn id="117" idx="3"/>
        </xdr:cNvCxnSpPr>
      </xdr:nvCxnSpPr>
      <xdr:spPr>
        <a:xfrm flipV="1">
          <a:off x="23524633" y="7374467"/>
          <a:ext cx="4643967" cy="12700"/>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139700</xdr:colOff>
      <xdr:row>39</xdr:row>
      <xdr:rowOff>21167</xdr:rowOff>
    </xdr:from>
    <xdr:to>
      <xdr:col>37</xdr:col>
      <xdr:colOff>35278</xdr:colOff>
      <xdr:row>39</xdr:row>
      <xdr:rowOff>38101</xdr:rowOff>
    </xdr:to>
    <xdr:cxnSp macro="">
      <xdr:nvCxnSpPr>
        <xdr:cNvPr id="208" name="Connector: Elbow 123">
          <a:extLst>
            <a:ext uri="{FF2B5EF4-FFF2-40B4-BE49-F238E27FC236}">
              <a16:creationId xmlns:a16="http://schemas.microsoft.com/office/drawing/2014/main" id="{00000000-0008-0000-0100-0000D0000000}"/>
            </a:ext>
          </a:extLst>
        </xdr:cNvPr>
        <xdr:cNvCxnSpPr>
          <a:stCxn id="117" idx="3"/>
        </xdr:cNvCxnSpPr>
      </xdr:nvCxnSpPr>
      <xdr:spPr>
        <a:xfrm flipV="1">
          <a:off x="23761700" y="7260167"/>
          <a:ext cx="4700411" cy="16934"/>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337578</xdr:colOff>
      <xdr:row>11</xdr:row>
      <xdr:rowOff>77167</xdr:rowOff>
    </xdr:from>
    <xdr:to>
      <xdr:col>7</xdr:col>
      <xdr:colOff>258839</xdr:colOff>
      <xdr:row>12</xdr:row>
      <xdr:rowOff>173045</xdr:rowOff>
    </xdr:to>
    <xdr:sp macro="" textlink="">
      <xdr:nvSpPr>
        <xdr:cNvPr id="206" name="TextBox 163">
          <a:extLst>
            <a:ext uri="{FF2B5EF4-FFF2-40B4-BE49-F238E27FC236}">
              <a16:creationId xmlns:a16="http://schemas.microsoft.com/office/drawing/2014/main" id="{00000000-0008-0000-0100-0000CE000000}"/>
            </a:ext>
          </a:extLst>
        </xdr:cNvPr>
        <xdr:cNvSpPr txBox="1"/>
      </xdr:nvSpPr>
      <xdr:spPr>
        <a:xfrm>
          <a:off x="6882614" y="2254310"/>
          <a:ext cx="724082" cy="28637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1</a:t>
          </a:r>
        </a:p>
        <a:p>
          <a:endParaRPr lang="en-US" sz="1100"/>
        </a:p>
      </xdr:txBody>
    </xdr:sp>
    <xdr:clientData/>
  </xdr:twoCellAnchor>
  <xdr:twoCellAnchor>
    <xdr:from>
      <xdr:col>6</xdr:col>
      <xdr:colOff>375074</xdr:colOff>
      <xdr:row>26</xdr:row>
      <xdr:rowOff>40648</xdr:rowOff>
    </xdr:from>
    <xdr:to>
      <xdr:col>7</xdr:col>
      <xdr:colOff>279401</xdr:colOff>
      <xdr:row>27</xdr:row>
      <xdr:rowOff>118533</xdr:rowOff>
    </xdr:to>
    <xdr:sp macro="" textlink="">
      <xdr:nvSpPr>
        <xdr:cNvPr id="165" name="TextBox 164">
          <a:extLst>
            <a:ext uri="{FF2B5EF4-FFF2-40B4-BE49-F238E27FC236}">
              <a16:creationId xmlns:a16="http://schemas.microsoft.com/office/drawing/2014/main" id="{00000000-0008-0000-0100-0000A5000000}"/>
            </a:ext>
          </a:extLst>
        </xdr:cNvPr>
        <xdr:cNvSpPr txBox="1"/>
      </xdr:nvSpPr>
      <xdr:spPr>
        <a:xfrm>
          <a:off x="7089141" y="4968248"/>
          <a:ext cx="725593" cy="2641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2</a:t>
          </a:r>
        </a:p>
        <a:p>
          <a:endParaRPr lang="en-US" sz="1100"/>
        </a:p>
      </xdr:txBody>
    </xdr:sp>
    <xdr:clientData/>
  </xdr:twoCellAnchor>
  <xdr:twoCellAnchor>
    <xdr:from>
      <xdr:col>34</xdr:col>
      <xdr:colOff>458228</xdr:colOff>
      <xdr:row>18</xdr:row>
      <xdr:rowOff>32051</xdr:rowOff>
    </xdr:from>
    <xdr:to>
      <xdr:col>36</xdr:col>
      <xdr:colOff>15770</xdr:colOff>
      <xdr:row>19</xdr:row>
      <xdr:rowOff>119462</xdr:rowOff>
    </xdr:to>
    <xdr:sp macro="" textlink="">
      <xdr:nvSpPr>
        <xdr:cNvPr id="170" name="TextBox 169">
          <a:extLst>
            <a:ext uri="{FF2B5EF4-FFF2-40B4-BE49-F238E27FC236}">
              <a16:creationId xmlns:a16="http://schemas.microsoft.com/office/drawing/2014/main" id="{00000000-0008-0000-0100-0000AA000000}"/>
            </a:ext>
          </a:extLst>
        </xdr:cNvPr>
        <xdr:cNvSpPr txBox="1"/>
      </xdr:nvSpPr>
      <xdr:spPr>
        <a:xfrm>
          <a:off x="26393442" y="3542694"/>
          <a:ext cx="782185" cy="2779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6</a:t>
          </a:r>
        </a:p>
        <a:p>
          <a:endParaRPr lang="en-US" sz="1100"/>
        </a:p>
      </xdr:txBody>
    </xdr:sp>
    <xdr:clientData/>
  </xdr:twoCellAnchor>
  <xdr:twoCellAnchor>
    <xdr:from>
      <xdr:col>34</xdr:col>
      <xdr:colOff>607907</xdr:colOff>
      <xdr:row>28</xdr:row>
      <xdr:rowOff>58431</xdr:rowOff>
    </xdr:from>
    <xdr:to>
      <xdr:col>36</xdr:col>
      <xdr:colOff>165449</xdr:colOff>
      <xdr:row>29</xdr:row>
      <xdr:rowOff>145842</xdr:rowOff>
    </xdr:to>
    <xdr:sp macro="" textlink="">
      <xdr:nvSpPr>
        <xdr:cNvPr id="171" name="TextBox 170">
          <a:extLst>
            <a:ext uri="{FF2B5EF4-FFF2-40B4-BE49-F238E27FC236}">
              <a16:creationId xmlns:a16="http://schemas.microsoft.com/office/drawing/2014/main" id="{00000000-0008-0000-0100-0000AB000000}"/>
            </a:ext>
          </a:extLst>
        </xdr:cNvPr>
        <xdr:cNvSpPr txBox="1"/>
      </xdr:nvSpPr>
      <xdr:spPr>
        <a:xfrm>
          <a:off x="20724707" y="5125731"/>
          <a:ext cx="776742" cy="2652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7</a:t>
          </a:r>
        </a:p>
        <a:p>
          <a:endParaRPr lang="en-US" sz="1100"/>
        </a:p>
      </xdr:txBody>
    </xdr:sp>
    <xdr:clientData/>
  </xdr:twoCellAnchor>
  <xdr:twoCellAnchor>
    <xdr:from>
      <xdr:col>35</xdr:col>
      <xdr:colOff>11007</xdr:colOff>
      <xdr:row>38</xdr:row>
      <xdr:rowOff>93990</xdr:rowOff>
    </xdr:from>
    <xdr:to>
      <xdr:col>36</xdr:col>
      <xdr:colOff>178149</xdr:colOff>
      <xdr:row>39</xdr:row>
      <xdr:rowOff>172934</xdr:rowOff>
    </xdr:to>
    <xdr:sp macro="" textlink="">
      <xdr:nvSpPr>
        <xdr:cNvPr id="172" name="TextBox 171">
          <a:extLst>
            <a:ext uri="{FF2B5EF4-FFF2-40B4-BE49-F238E27FC236}">
              <a16:creationId xmlns:a16="http://schemas.microsoft.com/office/drawing/2014/main" id="{00000000-0008-0000-0100-0000AC000000}"/>
            </a:ext>
          </a:extLst>
        </xdr:cNvPr>
        <xdr:cNvSpPr txBox="1"/>
      </xdr:nvSpPr>
      <xdr:spPr>
        <a:xfrm>
          <a:off x="20737407" y="6939290"/>
          <a:ext cx="776742" cy="2567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8</a:t>
          </a:r>
        </a:p>
        <a:p>
          <a:endParaRPr lang="en-US" sz="1100"/>
        </a:p>
      </xdr:txBody>
    </xdr:sp>
    <xdr:clientData/>
  </xdr:twoCellAnchor>
  <xdr:twoCellAnchor>
    <xdr:from>
      <xdr:col>34</xdr:col>
      <xdr:colOff>505601</xdr:colOff>
      <xdr:row>52</xdr:row>
      <xdr:rowOff>136019</xdr:rowOff>
    </xdr:from>
    <xdr:to>
      <xdr:col>36</xdr:col>
      <xdr:colOff>63143</xdr:colOff>
      <xdr:row>54</xdr:row>
      <xdr:rowOff>44220</xdr:rowOff>
    </xdr:to>
    <xdr:sp macro="" textlink="">
      <xdr:nvSpPr>
        <xdr:cNvPr id="214" name="TextBox 172">
          <a:extLst>
            <a:ext uri="{FF2B5EF4-FFF2-40B4-BE49-F238E27FC236}">
              <a16:creationId xmlns:a16="http://schemas.microsoft.com/office/drawing/2014/main" id="{00000000-0008-0000-0100-0000D6000000}"/>
            </a:ext>
          </a:extLst>
        </xdr:cNvPr>
        <xdr:cNvSpPr txBox="1"/>
      </xdr:nvSpPr>
      <xdr:spPr>
        <a:xfrm>
          <a:off x="27034490" y="9773908"/>
          <a:ext cx="771097" cy="27509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9</a:t>
          </a:r>
        </a:p>
        <a:p>
          <a:endParaRPr lang="en-US" sz="1100"/>
        </a:p>
      </xdr:txBody>
    </xdr:sp>
    <xdr:clientData/>
  </xdr:twoCellAnchor>
  <xdr:twoCellAnchor>
    <xdr:from>
      <xdr:col>20</xdr:col>
      <xdr:colOff>254000</xdr:colOff>
      <xdr:row>33</xdr:row>
      <xdr:rowOff>118533</xdr:rowOff>
    </xdr:from>
    <xdr:to>
      <xdr:col>21</xdr:col>
      <xdr:colOff>280825</xdr:colOff>
      <xdr:row>35</xdr:row>
      <xdr:rowOff>49452</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11836400" y="6350000"/>
          <a:ext cx="636425" cy="303452"/>
        </a:xfrm>
        <a:prstGeom prst="rect">
          <a:avLst/>
        </a:prstGeom>
        <a:noFill/>
        <a:ln w="9525">
          <a:solidFill>
            <a:srgbClr val="6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Oxygen</a:t>
          </a:r>
        </a:p>
      </xdr:txBody>
    </xdr:sp>
    <xdr:clientData/>
  </xdr:twoCellAnchor>
  <xdr:twoCellAnchor>
    <xdr:from>
      <xdr:col>26</xdr:col>
      <xdr:colOff>33867</xdr:colOff>
      <xdr:row>16</xdr:row>
      <xdr:rowOff>177800</xdr:rowOff>
    </xdr:from>
    <xdr:to>
      <xdr:col>28</xdr:col>
      <xdr:colOff>372533</xdr:colOff>
      <xdr:row>18</xdr:row>
      <xdr:rowOff>92229</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15273867" y="3242733"/>
          <a:ext cx="1557866" cy="286963"/>
        </a:xfrm>
        <a:prstGeom prst="rect">
          <a:avLst/>
        </a:prstGeom>
        <a:noFill/>
        <a:ln w="9525">
          <a:solidFill>
            <a:srgbClr val="6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Oxygen Exhausted Gas</a:t>
          </a:r>
        </a:p>
      </xdr:txBody>
    </xdr:sp>
    <xdr:clientData/>
  </xdr:twoCellAnchor>
  <xdr:twoCellAnchor>
    <xdr:from>
      <xdr:col>25</xdr:col>
      <xdr:colOff>558800</xdr:colOff>
      <xdr:row>34</xdr:row>
      <xdr:rowOff>143934</xdr:rowOff>
    </xdr:from>
    <xdr:to>
      <xdr:col>27</xdr:col>
      <xdr:colOff>338667</xdr:colOff>
      <xdr:row>36</xdr:row>
      <xdr:rowOff>74852</xdr:rowOff>
    </xdr:to>
    <xdr:sp macro="" textlink="">
      <xdr:nvSpPr>
        <xdr:cNvPr id="177" name="Rectangle 176">
          <a:extLst>
            <a:ext uri="{FF2B5EF4-FFF2-40B4-BE49-F238E27FC236}">
              <a16:creationId xmlns:a16="http://schemas.microsoft.com/office/drawing/2014/main" id="{00000000-0008-0000-0100-0000B1000000}"/>
            </a:ext>
          </a:extLst>
        </xdr:cNvPr>
        <xdr:cNvSpPr/>
      </xdr:nvSpPr>
      <xdr:spPr>
        <a:xfrm>
          <a:off x="15189200" y="6561667"/>
          <a:ext cx="999067" cy="303452"/>
        </a:xfrm>
        <a:prstGeom prst="rect">
          <a:avLst/>
        </a:prstGeom>
        <a:noFill/>
        <a:ln w="9525">
          <a:solidFill>
            <a:srgbClr val="6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Worn Anodes</a:t>
          </a:r>
        </a:p>
      </xdr:txBody>
    </xdr:sp>
    <xdr:clientData/>
  </xdr:twoCellAnchor>
  <xdr:twoCellAnchor>
    <xdr:from>
      <xdr:col>15</xdr:col>
      <xdr:colOff>516705</xdr:colOff>
      <xdr:row>35</xdr:row>
      <xdr:rowOff>106031</xdr:rowOff>
    </xdr:from>
    <xdr:to>
      <xdr:col>16</xdr:col>
      <xdr:colOff>543530</xdr:colOff>
      <xdr:row>37</xdr:row>
      <xdr:rowOff>36950</xdr:rowOff>
    </xdr:to>
    <xdr:sp macro="" textlink="">
      <xdr:nvSpPr>
        <xdr:cNvPr id="178" name="Rectangle 177">
          <a:extLst>
            <a:ext uri="{FF2B5EF4-FFF2-40B4-BE49-F238E27FC236}">
              <a16:creationId xmlns:a16="http://schemas.microsoft.com/office/drawing/2014/main" id="{00000000-0008-0000-0100-0000B2000000}"/>
            </a:ext>
          </a:extLst>
        </xdr:cNvPr>
        <xdr:cNvSpPr/>
      </xdr:nvSpPr>
      <xdr:spPr>
        <a:xfrm>
          <a:off x="9090985" y="6664928"/>
          <a:ext cx="639274" cy="301237"/>
        </a:xfrm>
        <a:prstGeom prst="rect">
          <a:avLst/>
        </a:prstGeom>
        <a:noFill/>
        <a:ln w="9525">
          <a:solidFill>
            <a:srgbClr val="6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Anodes</a:t>
          </a:r>
        </a:p>
      </xdr:txBody>
    </xdr:sp>
    <xdr:clientData/>
  </xdr:twoCellAnchor>
  <xdr:twoCellAnchor>
    <xdr:from>
      <xdr:col>13</xdr:col>
      <xdr:colOff>802217</xdr:colOff>
      <xdr:row>10</xdr:row>
      <xdr:rowOff>143934</xdr:rowOff>
    </xdr:from>
    <xdr:to>
      <xdr:col>15</xdr:col>
      <xdr:colOff>414793</xdr:colOff>
      <xdr:row>12</xdr:row>
      <xdr:rowOff>37457</xdr:rowOff>
    </xdr:to>
    <xdr:sp macro="" textlink="">
      <xdr:nvSpPr>
        <xdr:cNvPr id="181" name="TextBox 180">
          <a:extLst>
            <a:ext uri="{FF2B5EF4-FFF2-40B4-BE49-F238E27FC236}">
              <a16:creationId xmlns:a16="http://schemas.microsoft.com/office/drawing/2014/main" id="{00000000-0008-0000-0100-0000B5000000}"/>
            </a:ext>
          </a:extLst>
        </xdr:cNvPr>
        <xdr:cNvSpPr txBox="1"/>
      </xdr:nvSpPr>
      <xdr:spPr>
        <a:xfrm>
          <a:off x="12655550" y="2123017"/>
          <a:ext cx="1051910" cy="27452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a:t>
          </a:r>
        </a:p>
        <a:p>
          <a:endParaRPr lang="en-US" sz="1100"/>
        </a:p>
      </xdr:txBody>
    </xdr:sp>
    <xdr:clientData/>
  </xdr:twoCellAnchor>
  <xdr:twoCellAnchor>
    <xdr:from>
      <xdr:col>19</xdr:col>
      <xdr:colOff>76200</xdr:colOff>
      <xdr:row>26</xdr:row>
      <xdr:rowOff>110066</xdr:rowOff>
    </xdr:from>
    <xdr:to>
      <xdr:col>20</xdr:col>
      <xdr:colOff>243342</xdr:colOff>
      <xdr:row>28</xdr:row>
      <xdr:rowOff>7824</xdr:rowOff>
    </xdr:to>
    <xdr:sp macro="" textlink="">
      <xdr:nvSpPr>
        <xdr:cNvPr id="183" name="TextBox 182">
          <a:extLst>
            <a:ext uri="{FF2B5EF4-FFF2-40B4-BE49-F238E27FC236}">
              <a16:creationId xmlns:a16="http://schemas.microsoft.com/office/drawing/2014/main" id="{00000000-0008-0000-0100-0000B7000000}"/>
            </a:ext>
          </a:extLst>
        </xdr:cNvPr>
        <xdr:cNvSpPr txBox="1"/>
      </xdr:nvSpPr>
      <xdr:spPr>
        <a:xfrm>
          <a:off x="11049000" y="4821766"/>
          <a:ext cx="776742" cy="25335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10</a:t>
          </a:r>
        </a:p>
        <a:p>
          <a:endParaRPr lang="en-US" sz="1100"/>
        </a:p>
      </xdr:txBody>
    </xdr:sp>
    <xdr:clientData/>
  </xdr:twoCellAnchor>
  <xdr:twoCellAnchor>
    <xdr:from>
      <xdr:col>8</xdr:col>
      <xdr:colOff>612053</xdr:colOff>
      <xdr:row>22</xdr:row>
      <xdr:rowOff>9970</xdr:rowOff>
    </xdr:from>
    <xdr:to>
      <xdr:col>10</xdr:col>
      <xdr:colOff>17195</xdr:colOff>
      <xdr:row>23</xdr:row>
      <xdr:rowOff>101353</xdr:rowOff>
    </xdr:to>
    <xdr:sp macro="" textlink="">
      <xdr:nvSpPr>
        <xdr:cNvPr id="184" name="TextBox 183">
          <a:extLst>
            <a:ext uri="{FF2B5EF4-FFF2-40B4-BE49-F238E27FC236}">
              <a16:creationId xmlns:a16="http://schemas.microsoft.com/office/drawing/2014/main" id="{00000000-0008-0000-0100-0000B8000000}"/>
            </a:ext>
          </a:extLst>
        </xdr:cNvPr>
        <xdr:cNvSpPr txBox="1"/>
      </xdr:nvSpPr>
      <xdr:spPr>
        <a:xfrm>
          <a:off x="8638453" y="4192503"/>
          <a:ext cx="920675" cy="27765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2</a:t>
          </a:r>
        </a:p>
        <a:p>
          <a:endParaRPr lang="en-US" sz="1100"/>
        </a:p>
      </xdr:txBody>
    </xdr:sp>
    <xdr:clientData/>
  </xdr:twoCellAnchor>
  <xdr:twoCellAnchor>
    <xdr:from>
      <xdr:col>17</xdr:col>
      <xdr:colOff>127909</xdr:colOff>
      <xdr:row>35</xdr:row>
      <xdr:rowOff>110460</xdr:rowOff>
    </xdr:from>
    <xdr:to>
      <xdr:col>18</xdr:col>
      <xdr:colOff>295052</xdr:colOff>
      <xdr:row>37</xdr:row>
      <xdr:rowOff>9325</xdr:rowOff>
    </xdr:to>
    <xdr:sp macro="" textlink="">
      <xdr:nvSpPr>
        <xdr:cNvPr id="186" name="TextBox 185">
          <a:extLst>
            <a:ext uri="{FF2B5EF4-FFF2-40B4-BE49-F238E27FC236}">
              <a16:creationId xmlns:a16="http://schemas.microsoft.com/office/drawing/2014/main" id="{00000000-0008-0000-0100-0000BA000000}"/>
            </a:ext>
          </a:extLst>
        </xdr:cNvPr>
        <xdr:cNvSpPr txBox="1"/>
      </xdr:nvSpPr>
      <xdr:spPr>
        <a:xfrm>
          <a:off x="9927087" y="6669357"/>
          <a:ext cx="779591" cy="26918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9</a:t>
          </a:r>
        </a:p>
        <a:p>
          <a:endParaRPr lang="en-US" sz="1100"/>
        </a:p>
      </xdr:txBody>
    </xdr:sp>
    <xdr:clientData/>
  </xdr:twoCellAnchor>
  <xdr:twoCellAnchor>
    <xdr:from>
      <xdr:col>26</xdr:col>
      <xdr:colOff>93133</xdr:colOff>
      <xdr:row>40</xdr:row>
      <xdr:rowOff>12699</xdr:rowOff>
    </xdr:from>
    <xdr:to>
      <xdr:col>27</xdr:col>
      <xdr:colOff>260275</xdr:colOff>
      <xdr:row>41</xdr:row>
      <xdr:rowOff>96724</xdr:rowOff>
    </xdr:to>
    <xdr:sp macro="" textlink="">
      <xdr:nvSpPr>
        <xdr:cNvPr id="187" name="TextBox 186">
          <a:extLst>
            <a:ext uri="{FF2B5EF4-FFF2-40B4-BE49-F238E27FC236}">
              <a16:creationId xmlns:a16="http://schemas.microsoft.com/office/drawing/2014/main" id="{00000000-0008-0000-0100-0000BB000000}"/>
            </a:ext>
          </a:extLst>
        </xdr:cNvPr>
        <xdr:cNvSpPr txBox="1"/>
      </xdr:nvSpPr>
      <xdr:spPr>
        <a:xfrm>
          <a:off x="15333133" y="7213599"/>
          <a:ext cx="776742" cy="26182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16</a:t>
          </a:r>
        </a:p>
        <a:p>
          <a:endParaRPr lang="en-US" sz="1100"/>
        </a:p>
      </xdr:txBody>
    </xdr:sp>
    <xdr:clientData/>
  </xdr:twoCellAnchor>
  <xdr:twoCellAnchor>
    <xdr:from>
      <xdr:col>25</xdr:col>
      <xdr:colOff>127000</xdr:colOff>
      <xdr:row>50</xdr:row>
      <xdr:rowOff>93132</xdr:rowOff>
    </xdr:from>
    <xdr:to>
      <xdr:col>26</xdr:col>
      <xdr:colOff>294142</xdr:colOff>
      <xdr:row>51</xdr:row>
      <xdr:rowOff>177157</xdr:rowOff>
    </xdr:to>
    <xdr:sp macro="" textlink="">
      <xdr:nvSpPr>
        <xdr:cNvPr id="188" name="TextBox 187">
          <a:extLst>
            <a:ext uri="{FF2B5EF4-FFF2-40B4-BE49-F238E27FC236}">
              <a16:creationId xmlns:a16="http://schemas.microsoft.com/office/drawing/2014/main" id="{00000000-0008-0000-0100-0000BC000000}"/>
            </a:ext>
          </a:extLst>
        </xdr:cNvPr>
        <xdr:cNvSpPr txBox="1"/>
      </xdr:nvSpPr>
      <xdr:spPr>
        <a:xfrm>
          <a:off x="14757400" y="9072032"/>
          <a:ext cx="776742" cy="26182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19</a:t>
          </a:r>
        </a:p>
        <a:p>
          <a:endParaRPr lang="en-US" sz="1100"/>
        </a:p>
      </xdr:txBody>
    </xdr:sp>
    <xdr:clientData/>
  </xdr:twoCellAnchor>
  <xdr:twoCellAnchor>
    <xdr:from>
      <xdr:col>31</xdr:col>
      <xdr:colOff>520700</xdr:colOff>
      <xdr:row>37</xdr:row>
      <xdr:rowOff>76967</xdr:rowOff>
    </xdr:from>
    <xdr:to>
      <xdr:col>33</xdr:col>
      <xdr:colOff>78242</xdr:colOff>
      <xdr:row>38</xdr:row>
      <xdr:rowOff>167920</xdr:rowOff>
    </xdr:to>
    <xdr:sp macro="" textlink="">
      <xdr:nvSpPr>
        <xdr:cNvPr id="189" name="TextBox 188">
          <a:extLst>
            <a:ext uri="{FF2B5EF4-FFF2-40B4-BE49-F238E27FC236}">
              <a16:creationId xmlns:a16="http://schemas.microsoft.com/office/drawing/2014/main" id="{00000000-0008-0000-0100-0000BD000000}"/>
            </a:ext>
          </a:extLst>
        </xdr:cNvPr>
        <xdr:cNvSpPr txBox="1"/>
      </xdr:nvSpPr>
      <xdr:spPr>
        <a:xfrm>
          <a:off x="18762518" y="6996543"/>
          <a:ext cx="773663" cy="27568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18</a:t>
          </a:r>
        </a:p>
        <a:p>
          <a:endParaRPr lang="en-US" sz="1100"/>
        </a:p>
      </xdr:txBody>
    </xdr:sp>
    <xdr:clientData/>
  </xdr:twoCellAnchor>
  <xdr:twoCellAnchor>
    <xdr:from>
      <xdr:col>31</xdr:col>
      <xdr:colOff>465667</xdr:colOff>
      <xdr:row>27</xdr:row>
      <xdr:rowOff>76199</xdr:rowOff>
    </xdr:from>
    <xdr:to>
      <xdr:col>33</xdr:col>
      <xdr:colOff>23209</xdr:colOff>
      <xdr:row>28</xdr:row>
      <xdr:rowOff>160224</xdr:rowOff>
    </xdr:to>
    <xdr:sp macro="" textlink="">
      <xdr:nvSpPr>
        <xdr:cNvPr id="192" name="TextBox 191">
          <a:extLst>
            <a:ext uri="{FF2B5EF4-FFF2-40B4-BE49-F238E27FC236}">
              <a16:creationId xmlns:a16="http://schemas.microsoft.com/office/drawing/2014/main" id="{00000000-0008-0000-0100-0000C0000000}"/>
            </a:ext>
          </a:extLst>
        </xdr:cNvPr>
        <xdr:cNvSpPr txBox="1"/>
      </xdr:nvSpPr>
      <xdr:spPr>
        <a:xfrm>
          <a:off x="18753667" y="5190066"/>
          <a:ext cx="776742" cy="27029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15</a:t>
          </a:r>
        </a:p>
        <a:p>
          <a:endParaRPr lang="en-US" sz="1100"/>
        </a:p>
      </xdr:txBody>
    </xdr:sp>
    <xdr:clientData/>
  </xdr:twoCellAnchor>
  <xdr:twoCellAnchor>
    <xdr:from>
      <xdr:col>31</xdr:col>
      <xdr:colOff>465667</xdr:colOff>
      <xdr:row>17</xdr:row>
      <xdr:rowOff>8466</xdr:rowOff>
    </xdr:from>
    <xdr:to>
      <xdr:col>33</xdr:col>
      <xdr:colOff>23209</xdr:colOff>
      <xdr:row>18</xdr:row>
      <xdr:rowOff>92490</xdr:rowOff>
    </xdr:to>
    <xdr:sp macro="" textlink="">
      <xdr:nvSpPr>
        <xdr:cNvPr id="193" name="TextBox 192">
          <a:extLst>
            <a:ext uri="{FF2B5EF4-FFF2-40B4-BE49-F238E27FC236}">
              <a16:creationId xmlns:a16="http://schemas.microsoft.com/office/drawing/2014/main" id="{00000000-0008-0000-0100-0000C1000000}"/>
            </a:ext>
          </a:extLst>
        </xdr:cNvPr>
        <xdr:cNvSpPr txBox="1"/>
      </xdr:nvSpPr>
      <xdr:spPr>
        <a:xfrm>
          <a:off x="18753667" y="3259666"/>
          <a:ext cx="776742" cy="27029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13</a:t>
          </a:r>
        </a:p>
        <a:p>
          <a:endParaRPr lang="en-US" sz="1100"/>
        </a:p>
      </xdr:txBody>
    </xdr:sp>
    <xdr:clientData/>
  </xdr:twoCellAnchor>
  <xdr:twoCellAnchor>
    <xdr:from>
      <xdr:col>25</xdr:col>
      <xdr:colOff>567267</xdr:colOff>
      <xdr:row>32</xdr:row>
      <xdr:rowOff>25400</xdr:rowOff>
    </xdr:from>
    <xdr:to>
      <xdr:col>27</xdr:col>
      <xdr:colOff>124809</xdr:colOff>
      <xdr:row>33</xdr:row>
      <xdr:rowOff>109424</xdr:rowOff>
    </xdr:to>
    <xdr:sp macro="" textlink="">
      <xdr:nvSpPr>
        <xdr:cNvPr id="194" name="TextBox 193">
          <a:extLst>
            <a:ext uri="{FF2B5EF4-FFF2-40B4-BE49-F238E27FC236}">
              <a16:creationId xmlns:a16="http://schemas.microsoft.com/office/drawing/2014/main" id="{00000000-0008-0000-0100-0000C2000000}"/>
            </a:ext>
          </a:extLst>
        </xdr:cNvPr>
        <xdr:cNvSpPr txBox="1"/>
      </xdr:nvSpPr>
      <xdr:spPr>
        <a:xfrm>
          <a:off x="15197667" y="6070600"/>
          <a:ext cx="776742" cy="27029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14</a:t>
          </a:r>
        </a:p>
        <a:p>
          <a:endParaRPr lang="en-US" sz="1100"/>
        </a:p>
      </xdr:txBody>
    </xdr:sp>
    <xdr:clientData/>
  </xdr:twoCellAnchor>
  <xdr:twoCellAnchor>
    <xdr:from>
      <xdr:col>21</xdr:col>
      <xdr:colOff>283634</xdr:colOff>
      <xdr:row>26</xdr:row>
      <xdr:rowOff>21167</xdr:rowOff>
    </xdr:from>
    <xdr:to>
      <xdr:col>22</xdr:col>
      <xdr:colOff>450776</xdr:colOff>
      <xdr:row>27</xdr:row>
      <xdr:rowOff>96725</xdr:rowOff>
    </xdr:to>
    <xdr:sp macro="" textlink="">
      <xdr:nvSpPr>
        <xdr:cNvPr id="195" name="TextBox 194">
          <a:extLst>
            <a:ext uri="{FF2B5EF4-FFF2-40B4-BE49-F238E27FC236}">
              <a16:creationId xmlns:a16="http://schemas.microsoft.com/office/drawing/2014/main" id="{00000000-0008-0000-0100-0000C3000000}"/>
            </a:ext>
          </a:extLst>
        </xdr:cNvPr>
        <xdr:cNvSpPr txBox="1"/>
      </xdr:nvSpPr>
      <xdr:spPr>
        <a:xfrm>
          <a:off x="12475634" y="4732867"/>
          <a:ext cx="776742" cy="25335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12</a:t>
          </a:r>
        </a:p>
        <a:p>
          <a:endParaRPr lang="en-US" sz="1100"/>
        </a:p>
      </xdr:txBody>
    </xdr:sp>
    <xdr:clientData/>
  </xdr:twoCellAnchor>
  <xdr:twoCellAnchor>
    <xdr:from>
      <xdr:col>20</xdr:col>
      <xdr:colOff>203200</xdr:colOff>
      <xdr:row>31</xdr:row>
      <xdr:rowOff>169334</xdr:rowOff>
    </xdr:from>
    <xdr:to>
      <xdr:col>21</xdr:col>
      <xdr:colOff>370342</xdr:colOff>
      <xdr:row>33</xdr:row>
      <xdr:rowOff>67091</xdr:rowOff>
    </xdr:to>
    <xdr:sp macro="" textlink="">
      <xdr:nvSpPr>
        <xdr:cNvPr id="196" name="TextBox 195">
          <a:extLst>
            <a:ext uri="{FF2B5EF4-FFF2-40B4-BE49-F238E27FC236}">
              <a16:creationId xmlns:a16="http://schemas.microsoft.com/office/drawing/2014/main" id="{00000000-0008-0000-0100-0000C4000000}"/>
            </a:ext>
          </a:extLst>
        </xdr:cNvPr>
        <xdr:cNvSpPr txBox="1"/>
      </xdr:nvSpPr>
      <xdr:spPr>
        <a:xfrm>
          <a:off x="11785600" y="6028267"/>
          <a:ext cx="776742" cy="270291"/>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11</a:t>
          </a:r>
        </a:p>
        <a:p>
          <a:endParaRPr lang="en-US" sz="1100"/>
        </a:p>
      </xdr:txBody>
    </xdr:sp>
    <xdr:clientData/>
  </xdr:twoCellAnchor>
  <xdr:twoCellAnchor>
    <xdr:from>
      <xdr:col>23</xdr:col>
      <xdr:colOff>406403</xdr:colOff>
      <xdr:row>41</xdr:row>
      <xdr:rowOff>50801</xdr:rowOff>
    </xdr:from>
    <xdr:to>
      <xdr:col>29</xdr:col>
      <xdr:colOff>168910</xdr:colOff>
      <xdr:row>45</xdr:row>
      <xdr:rowOff>127001</xdr:rowOff>
    </xdr:to>
    <xdr:cxnSp macro="">
      <xdr:nvCxnSpPr>
        <xdr:cNvPr id="84" name="Connector: Elbow 83">
          <a:extLst>
            <a:ext uri="{FF2B5EF4-FFF2-40B4-BE49-F238E27FC236}">
              <a16:creationId xmlns:a16="http://schemas.microsoft.com/office/drawing/2014/main" id="{00000000-0008-0000-0100-000054000000}"/>
            </a:ext>
          </a:extLst>
        </xdr:cNvPr>
        <xdr:cNvCxnSpPr>
          <a:stCxn id="117" idx="2"/>
        </xdr:cNvCxnSpPr>
      </xdr:nvCxnSpPr>
      <xdr:spPr>
        <a:xfrm rot="5400000">
          <a:off x="15133957" y="6113147"/>
          <a:ext cx="787400" cy="3420107"/>
        </a:xfrm>
        <a:prstGeom prst="bentConnector2">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403706</xdr:colOff>
      <xdr:row>43</xdr:row>
      <xdr:rowOff>157018</xdr:rowOff>
    </xdr:from>
    <xdr:to>
      <xdr:col>28</xdr:col>
      <xdr:colOff>570848</xdr:colOff>
      <xdr:row>45</xdr:row>
      <xdr:rowOff>63244</xdr:rowOff>
    </xdr:to>
    <xdr:sp macro="" textlink="">
      <xdr:nvSpPr>
        <xdr:cNvPr id="86" name="TextBox 85">
          <a:extLst>
            <a:ext uri="{FF2B5EF4-FFF2-40B4-BE49-F238E27FC236}">
              <a16:creationId xmlns:a16="http://schemas.microsoft.com/office/drawing/2014/main" id="{00000000-0008-0000-0100-000056000000}"/>
            </a:ext>
          </a:extLst>
        </xdr:cNvPr>
        <xdr:cNvSpPr txBox="1"/>
      </xdr:nvSpPr>
      <xdr:spPr>
        <a:xfrm>
          <a:off x="16253306" y="7891318"/>
          <a:ext cx="776742" cy="261826"/>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17</a:t>
          </a:r>
        </a:p>
        <a:p>
          <a:endParaRPr lang="en-US" sz="1100"/>
        </a:p>
      </xdr:txBody>
    </xdr:sp>
    <xdr:clientData/>
  </xdr:twoCellAnchor>
  <xdr:twoCellAnchor>
    <xdr:from>
      <xdr:col>27</xdr:col>
      <xdr:colOff>272087</xdr:colOff>
      <xdr:row>46</xdr:row>
      <xdr:rowOff>20011</xdr:rowOff>
    </xdr:from>
    <xdr:to>
      <xdr:col>29</xdr:col>
      <xdr:colOff>195888</xdr:colOff>
      <xdr:row>47</xdr:row>
      <xdr:rowOff>147011</xdr:rowOff>
    </xdr:to>
    <xdr:sp macro="" textlink="">
      <xdr:nvSpPr>
        <xdr:cNvPr id="87" name="Rectangle 86">
          <a:extLst>
            <a:ext uri="{FF2B5EF4-FFF2-40B4-BE49-F238E27FC236}">
              <a16:creationId xmlns:a16="http://schemas.microsoft.com/office/drawing/2014/main" id="{00000000-0008-0000-0100-000057000000}"/>
            </a:ext>
          </a:extLst>
        </xdr:cNvPr>
        <xdr:cNvSpPr/>
      </xdr:nvSpPr>
      <xdr:spPr>
        <a:xfrm>
          <a:off x="16121687" y="8287711"/>
          <a:ext cx="1143001" cy="304800"/>
        </a:xfrm>
        <a:prstGeom prst="rect">
          <a:avLst/>
        </a:prstGeom>
        <a:noFill/>
        <a:ln w="9525">
          <a:solidFill>
            <a:srgbClr val="6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solidFill>
                <a:sysClr val="windowText" lastClr="000000"/>
              </a:solidFill>
            </a:rPr>
            <a:t>Silicon Residues</a:t>
          </a:r>
        </a:p>
      </xdr:txBody>
    </xdr:sp>
    <xdr:clientData/>
  </xdr:twoCellAnchor>
  <xdr:twoCellAnchor>
    <xdr:from>
      <xdr:col>11</xdr:col>
      <xdr:colOff>101600</xdr:colOff>
      <xdr:row>17</xdr:row>
      <xdr:rowOff>165100</xdr:rowOff>
    </xdr:from>
    <xdr:to>
      <xdr:col>14</xdr:col>
      <xdr:colOff>190500</xdr:colOff>
      <xdr:row>20</xdr:row>
      <xdr:rowOff>25400</xdr:rowOff>
    </xdr:to>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6197600" y="3276600"/>
          <a:ext cx="1917700" cy="393700"/>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Anode</a:t>
          </a:r>
          <a:r>
            <a:rPr lang="en-US" sz="1800" baseline="0"/>
            <a:t> Fabrication</a:t>
          </a:r>
          <a:endParaRPr lang="en-US" sz="1800"/>
        </a:p>
      </xdr:txBody>
    </xdr:sp>
    <xdr:clientData/>
  </xdr:twoCellAnchor>
  <xdr:twoCellAnchor>
    <xdr:from>
      <xdr:col>13</xdr:col>
      <xdr:colOff>539362</xdr:colOff>
      <xdr:row>21</xdr:row>
      <xdr:rowOff>72571</xdr:rowOff>
    </xdr:from>
    <xdr:to>
      <xdr:col>15</xdr:col>
      <xdr:colOff>280282</xdr:colOff>
      <xdr:row>26</xdr:row>
      <xdr:rowOff>36861</xdr:rowOff>
    </xdr:to>
    <xdr:sp macro="" textlink="">
      <xdr:nvSpPr>
        <xdr:cNvPr id="97" name="Rounded Rectangle 27">
          <a:extLst>
            <a:ext uri="{FF2B5EF4-FFF2-40B4-BE49-F238E27FC236}">
              <a16:creationId xmlns:a16="http://schemas.microsoft.com/office/drawing/2014/main" id="{00000000-0008-0000-0100-000061000000}"/>
            </a:ext>
          </a:extLst>
        </xdr:cNvPr>
        <xdr:cNvSpPr/>
      </xdr:nvSpPr>
      <xdr:spPr>
        <a:xfrm>
          <a:off x="7854562" y="3895271"/>
          <a:ext cx="960120" cy="8532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 Tube Slip Casting</a:t>
          </a:r>
        </a:p>
      </xdr:txBody>
    </xdr:sp>
    <xdr:clientData/>
  </xdr:twoCellAnchor>
  <xdr:twoCellAnchor>
    <xdr:from>
      <xdr:col>13</xdr:col>
      <xdr:colOff>543301</xdr:colOff>
      <xdr:row>28</xdr:row>
      <xdr:rowOff>45899</xdr:rowOff>
    </xdr:from>
    <xdr:to>
      <xdr:col>15</xdr:col>
      <xdr:colOff>284221</xdr:colOff>
      <xdr:row>33</xdr:row>
      <xdr:rowOff>10189</xdr:rowOff>
    </xdr:to>
    <xdr:sp macro="" textlink="">
      <xdr:nvSpPr>
        <xdr:cNvPr id="98" name="Rounded Rectangle 27">
          <a:extLst>
            <a:ext uri="{FF2B5EF4-FFF2-40B4-BE49-F238E27FC236}">
              <a16:creationId xmlns:a16="http://schemas.microsoft.com/office/drawing/2014/main" id="{00000000-0008-0000-0100-000062000000}"/>
            </a:ext>
          </a:extLst>
        </xdr:cNvPr>
        <xdr:cNvSpPr/>
      </xdr:nvSpPr>
      <xdr:spPr>
        <a:xfrm>
          <a:off x="7858501" y="5113199"/>
          <a:ext cx="960120" cy="8532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 Tube Drying</a:t>
          </a:r>
        </a:p>
      </xdr:txBody>
    </xdr:sp>
    <xdr:clientData/>
  </xdr:twoCellAnchor>
  <xdr:twoCellAnchor>
    <xdr:from>
      <xdr:col>10</xdr:col>
      <xdr:colOff>330314</xdr:colOff>
      <xdr:row>28</xdr:row>
      <xdr:rowOff>50664</xdr:rowOff>
    </xdr:from>
    <xdr:to>
      <xdr:col>12</xdr:col>
      <xdr:colOff>71234</xdr:colOff>
      <xdr:row>33</xdr:row>
      <xdr:rowOff>7697</xdr:rowOff>
    </xdr:to>
    <xdr:sp macro="" textlink="">
      <xdr:nvSpPr>
        <xdr:cNvPr id="101" name="Rounded Rectangle 27">
          <a:extLst>
            <a:ext uri="{FF2B5EF4-FFF2-40B4-BE49-F238E27FC236}">
              <a16:creationId xmlns:a16="http://schemas.microsoft.com/office/drawing/2014/main" id="{00000000-0008-0000-0100-000065000000}"/>
            </a:ext>
          </a:extLst>
        </xdr:cNvPr>
        <xdr:cNvSpPr/>
      </xdr:nvSpPr>
      <xdr:spPr>
        <a:xfrm>
          <a:off x="5816714" y="5117964"/>
          <a:ext cx="960120" cy="8460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 Tube Firing</a:t>
          </a:r>
        </a:p>
      </xdr:txBody>
    </xdr:sp>
    <xdr:clientData/>
  </xdr:twoCellAnchor>
  <xdr:twoCellAnchor>
    <xdr:from>
      <xdr:col>12</xdr:col>
      <xdr:colOff>83363</xdr:colOff>
      <xdr:row>23</xdr:row>
      <xdr:rowOff>147295</xdr:rowOff>
    </xdr:from>
    <xdr:to>
      <xdr:col>13</xdr:col>
      <xdr:colOff>539362</xdr:colOff>
      <xdr:row>23</xdr:row>
      <xdr:rowOff>150349</xdr:rowOff>
    </xdr:to>
    <xdr:cxnSp macro="">
      <xdr:nvCxnSpPr>
        <xdr:cNvPr id="105" name="Connector: Elbow 104">
          <a:extLst>
            <a:ext uri="{FF2B5EF4-FFF2-40B4-BE49-F238E27FC236}">
              <a16:creationId xmlns:a16="http://schemas.microsoft.com/office/drawing/2014/main" id="{00000000-0008-0000-0100-000069000000}"/>
            </a:ext>
          </a:extLst>
        </xdr:cNvPr>
        <xdr:cNvCxnSpPr>
          <a:stCxn id="71" idx="3"/>
          <a:endCxn id="97" idx="1"/>
        </xdr:cNvCxnSpPr>
      </xdr:nvCxnSpPr>
      <xdr:spPr>
        <a:xfrm flipV="1">
          <a:off x="6788963" y="4325595"/>
          <a:ext cx="1065599" cy="3054"/>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409821</xdr:colOff>
      <xdr:row>26</xdr:row>
      <xdr:rowOff>36861</xdr:rowOff>
    </xdr:from>
    <xdr:to>
      <xdr:col>14</xdr:col>
      <xdr:colOff>413760</xdr:colOff>
      <xdr:row>28</xdr:row>
      <xdr:rowOff>45899</xdr:rowOff>
    </xdr:to>
    <xdr:cxnSp macro="">
      <xdr:nvCxnSpPr>
        <xdr:cNvPr id="108" name="Connector: Elbow 107">
          <a:extLst>
            <a:ext uri="{FF2B5EF4-FFF2-40B4-BE49-F238E27FC236}">
              <a16:creationId xmlns:a16="http://schemas.microsoft.com/office/drawing/2014/main" id="{00000000-0008-0000-0100-00006C000000}"/>
            </a:ext>
          </a:extLst>
        </xdr:cNvPr>
        <xdr:cNvCxnSpPr>
          <a:stCxn id="97" idx="2"/>
          <a:endCxn id="98" idx="0"/>
        </xdr:cNvCxnSpPr>
      </xdr:nvCxnSpPr>
      <xdr:spPr>
        <a:xfrm rot="16200000" flipH="1">
          <a:off x="8154272" y="4928910"/>
          <a:ext cx="364638" cy="3939"/>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71235</xdr:colOff>
      <xdr:row>30</xdr:row>
      <xdr:rowOff>120622</xdr:rowOff>
    </xdr:from>
    <xdr:to>
      <xdr:col>13</xdr:col>
      <xdr:colOff>543302</xdr:colOff>
      <xdr:row>30</xdr:row>
      <xdr:rowOff>121759</xdr:rowOff>
    </xdr:to>
    <xdr:cxnSp macro="">
      <xdr:nvCxnSpPr>
        <xdr:cNvPr id="112" name="Connector: Elbow 111">
          <a:extLst>
            <a:ext uri="{FF2B5EF4-FFF2-40B4-BE49-F238E27FC236}">
              <a16:creationId xmlns:a16="http://schemas.microsoft.com/office/drawing/2014/main" id="{00000000-0008-0000-0100-000070000000}"/>
            </a:ext>
          </a:extLst>
        </xdr:cNvPr>
        <xdr:cNvCxnSpPr>
          <a:stCxn id="98" idx="1"/>
          <a:endCxn id="101" idx="3"/>
        </xdr:cNvCxnSpPr>
      </xdr:nvCxnSpPr>
      <xdr:spPr>
        <a:xfrm rot="10800000" flipV="1">
          <a:off x="6776835" y="5543522"/>
          <a:ext cx="1081667" cy="1137"/>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206161</xdr:colOff>
      <xdr:row>22</xdr:row>
      <xdr:rowOff>3677</xdr:rowOff>
    </xdr:from>
    <xdr:to>
      <xdr:col>13</xdr:col>
      <xdr:colOff>376152</xdr:colOff>
      <xdr:row>23</xdr:row>
      <xdr:rowOff>80342</xdr:rowOff>
    </xdr:to>
    <xdr:sp macro="" textlink="">
      <xdr:nvSpPr>
        <xdr:cNvPr id="119" name="TextBox 118">
          <a:extLst>
            <a:ext uri="{FF2B5EF4-FFF2-40B4-BE49-F238E27FC236}">
              <a16:creationId xmlns:a16="http://schemas.microsoft.com/office/drawing/2014/main" id="{00000000-0008-0000-0100-000077000000}"/>
            </a:ext>
          </a:extLst>
        </xdr:cNvPr>
        <xdr:cNvSpPr txBox="1"/>
      </xdr:nvSpPr>
      <xdr:spPr>
        <a:xfrm>
          <a:off x="6911761" y="4004177"/>
          <a:ext cx="779591" cy="25446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4</a:t>
          </a:r>
        </a:p>
        <a:p>
          <a:endParaRPr lang="en-US" sz="1100"/>
        </a:p>
      </xdr:txBody>
    </xdr:sp>
    <xdr:clientData/>
  </xdr:twoCellAnchor>
  <xdr:twoCellAnchor>
    <xdr:from>
      <xdr:col>14</xdr:col>
      <xdr:colOff>521768</xdr:colOff>
      <xdr:row>26</xdr:row>
      <xdr:rowOff>90443</xdr:rowOff>
    </xdr:from>
    <xdr:to>
      <xdr:col>16</xdr:col>
      <xdr:colOff>76462</xdr:colOff>
      <xdr:row>27</xdr:row>
      <xdr:rowOff>174467</xdr:rowOff>
    </xdr:to>
    <xdr:sp macro="" textlink="">
      <xdr:nvSpPr>
        <xdr:cNvPr id="120" name="TextBox 119">
          <a:extLst>
            <a:ext uri="{FF2B5EF4-FFF2-40B4-BE49-F238E27FC236}">
              <a16:creationId xmlns:a16="http://schemas.microsoft.com/office/drawing/2014/main" id="{00000000-0008-0000-0100-000078000000}"/>
            </a:ext>
          </a:extLst>
        </xdr:cNvPr>
        <xdr:cNvSpPr txBox="1"/>
      </xdr:nvSpPr>
      <xdr:spPr>
        <a:xfrm>
          <a:off x="8446568" y="4802143"/>
          <a:ext cx="773894" cy="261824"/>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5</a:t>
          </a:r>
        </a:p>
        <a:p>
          <a:endParaRPr lang="en-US" sz="1100"/>
        </a:p>
      </xdr:txBody>
    </xdr:sp>
    <xdr:clientData/>
  </xdr:twoCellAnchor>
  <xdr:twoCellAnchor>
    <xdr:from>
      <xdr:col>12</xdr:col>
      <xdr:colOff>209965</xdr:colOff>
      <xdr:row>28</xdr:row>
      <xdr:rowOff>143379</xdr:rowOff>
    </xdr:from>
    <xdr:to>
      <xdr:col>13</xdr:col>
      <xdr:colOff>377108</xdr:colOff>
      <xdr:row>30</xdr:row>
      <xdr:rowOff>42243</xdr:rowOff>
    </xdr:to>
    <xdr:sp macro="" textlink="">
      <xdr:nvSpPr>
        <xdr:cNvPr id="121" name="TextBox 120">
          <a:extLst>
            <a:ext uri="{FF2B5EF4-FFF2-40B4-BE49-F238E27FC236}">
              <a16:creationId xmlns:a16="http://schemas.microsoft.com/office/drawing/2014/main" id="{00000000-0008-0000-0100-000079000000}"/>
            </a:ext>
          </a:extLst>
        </xdr:cNvPr>
        <xdr:cNvSpPr txBox="1"/>
      </xdr:nvSpPr>
      <xdr:spPr>
        <a:xfrm>
          <a:off x="6915565" y="5210679"/>
          <a:ext cx="776743" cy="254464"/>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6</a:t>
          </a:r>
        </a:p>
        <a:p>
          <a:endParaRPr lang="en-US" sz="1100"/>
        </a:p>
      </xdr:txBody>
    </xdr:sp>
    <xdr:clientData/>
  </xdr:twoCellAnchor>
  <xdr:twoCellAnchor>
    <xdr:from>
      <xdr:col>10</xdr:col>
      <xdr:colOff>247138</xdr:colOff>
      <xdr:row>35</xdr:row>
      <xdr:rowOff>53107</xdr:rowOff>
    </xdr:from>
    <xdr:to>
      <xdr:col>12</xdr:col>
      <xdr:colOff>160050</xdr:colOff>
      <xdr:row>40</xdr:row>
      <xdr:rowOff>10138</xdr:rowOff>
    </xdr:to>
    <xdr:sp macro="" textlink="">
      <xdr:nvSpPr>
        <xdr:cNvPr id="73" name="Rounded Rectangle 27">
          <a:extLst>
            <a:ext uri="{FF2B5EF4-FFF2-40B4-BE49-F238E27FC236}">
              <a16:creationId xmlns:a16="http://schemas.microsoft.com/office/drawing/2014/main" id="{00000000-0008-0000-0100-000049000000}"/>
            </a:ext>
          </a:extLst>
        </xdr:cNvPr>
        <xdr:cNvSpPr/>
      </xdr:nvSpPr>
      <xdr:spPr>
        <a:xfrm>
          <a:off x="5733538" y="6365007"/>
          <a:ext cx="1132112" cy="8460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 Tube Finishing and Inspection</a:t>
          </a:r>
        </a:p>
      </xdr:txBody>
    </xdr:sp>
    <xdr:clientData/>
  </xdr:twoCellAnchor>
  <xdr:twoCellAnchor>
    <xdr:from>
      <xdr:col>13</xdr:col>
      <xdr:colOff>455183</xdr:colOff>
      <xdr:row>35</xdr:row>
      <xdr:rowOff>49848</xdr:rowOff>
    </xdr:from>
    <xdr:to>
      <xdr:col>15</xdr:col>
      <xdr:colOff>299934</xdr:colOff>
      <xdr:row>40</xdr:row>
      <xdr:rowOff>6777</xdr:rowOff>
    </xdr:to>
    <xdr:sp macro="" textlink="">
      <xdr:nvSpPr>
        <xdr:cNvPr id="75" name="Rounded Rectangle 27">
          <a:extLst>
            <a:ext uri="{FF2B5EF4-FFF2-40B4-BE49-F238E27FC236}">
              <a16:creationId xmlns:a16="http://schemas.microsoft.com/office/drawing/2014/main" id="{00000000-0008-0000-0100-00004B000000}"/>
            </a:ext>
          </a:extLst>
        </xdr:cNvPr>
        <xdr:cNvSpPr/>
      </xdr:nvSpPr>
      <xdr:spPr>
        <a:xfrm>
          <a:off x="7770383" y="6361748"/>
          <a:ext cx="1063951" cy="8459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Anode Tube Assembly</a:t>
          </a:r>
        </a:p>
      </xdr:txBody>
    </xdr:sp>
    <xdr:clientData/>
  </xdr:twoCellAnchor>
  <xdr:twoCellAnchor>
    <xdr:from>
      <xdr:col>11</xdr:col>
      <xdr:colOff>200774</xdr:colOff>
      <xdr:row>33</xdr:row>
      <xdr:rowOff>7697</xdr:rowOff>
    </xdr:from>
    <xdr:to>
      <xdr:col>11</xdr:col>
      <xdr:colOff>203594</xdr:colOff>
      <xdr:row>35</xdr:row>
      <xdr:rowOff>53107</xdr:rowOff>
    </xdr:to>
    <xdr:cxnSp macro="">
      <xdr:nvCxnSpPr>
        <xdr:cNvPr id="99" name="Connector: Elbow 98">
          <a:extLst>
            <a:ext uri="{FF2B5EF4-FFF2-40B4-BE49-F238E27FC236}">
              <a16:creationId xmlns:a16="http://schemas.microsoft.com/office/drawing/2014/main" id="{00000000-0008-0000-0100-000063000000}"/>
            </a:ext>
          </a:extLst>
        </xdr:cNvPr>
        <xdr:cNvCxnSpPr>
          <a:stCxn id="101" idx="2"/>
          <a:endCxn id="73" idx="0"/>
        </xdr:cNvCxnSpPr>
      </xdr:nvCxnSpPr>
      <xdr:spPr>
        <a:xfrm rot="16200000" flipH="1">
          <a:off x="6097679" y="6163092"/>
          <a:ext cx="401010" cy="2820"/>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160050</xdr:colOff>
      <xdr:row>37</xdr:row>
      <xdr:rowOff>117213</xdr:rowOff>
    </xdr:from>
    <xdr:to>
      <xdr:col>13</xdr:col>
      <xdr:colOff>455183</xdr:colOff>
      <xdr:row>37</xdr:row>
      <xdr:rowOff>120523</xdr:rowOff>
    </xdr:to>
    <xdr:cxnSp macro="">
      <xdr:nvCxnSpPr>
        <xdr:cNvPr id="100" name="Connector: Elbow 99">
          <a:extLst>
            <a:ext uri="{FF2B5EF4-FFF2-40B4-BE49-F238E27FC236}">
              <a16:creationId xmlns:a16="http://schemas.microsoft.com/office/drawing/2014/main" id="{00000000-0008-0000-0100-000064000000}"/>
            </a:ext>
          </a:extLst>
        </xdr:cNvPr>
        <xdr:cNvCxnSpPr>
          <a:stCxn id="73" idx="3"/>
          <a:endCxn id="75" idx="1"/>
        </xdr:cNvCxnSpPr>
      </xdr:nvCxnSpPr>
      <xdr:spPr>
        <a:xfrm flipV="1">
          <a:off x="6865650" y="6784713"/>
          <a:ext cx="904733" cy="3310"/>
        </a:xfrm>
        <a:prstGeom prst="bentConnector3">
          <a:avLst>
            <a:gd name="adj1" fmla="val 5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533518</xdr:colOff>
      <xdr:row>33</xdr:row>
      <xdr:rowOff>56973</xdr:rowOff>
    </xdr:from>
    <xdr:to>
      <xdr:col>11</xdr:col>
      <xdr:colOff>88212</xdr:colOff>
      <xdr:row>34</xdr:row>
      <xdr:rowOff>140997</xdr:rowOff>
    </xdr:to>
    <xdr:sp macro="" textlink="">
      <xdr:nvSpPr>
        <xdr:cNvPr id="106" name="TextBox 105">
          <a:extLst>
            <a:ext uri="{FF2B5EF4-FFF2-40B4-BE49-F238E27FC236}">
              <a16:creationId xmlns:a16="http://schemas.microsoft.com/office/drawing/2014/main" id="{00000000-0008-0000-0100-00006A000000}"/>
            </a:ext>
          </a:extLst>
        </xdr:cNvPr>
        <xdr:cNvSpPr txBox="1"/>
      </xdr:nvSpPr>
      <xdr:spPr>
        <a:xfrm>
          <a:off x="5410318" y="6013273"/>
          <a:ext cx="773894" cy="261824"/>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7</a:t>
          </a:r>
        </a:p>
        <a:p>
          <a:endParaRPr lang="en-US" sz="1100"/>
        </a:p>
      </xdr:txBody>
    </xdr:sp>
    <xdr:clientData/>
  </xdr:twoCellAnchor>
  <xdr:twoCellAnchor>
    <xdr:from>
      <xdr:col>12</xdr:col>
      <xdr:colOff>227295</xdr:colOff>
      <xdr:row>35</xdr:row>
      <xdr:rowOff>163794</xdr:rowOff>
    </xdr:from>
    <xdr:to>
      <xdr:col>13</xdr:col>
      <xdr:colOff>394438</xdr:colOff>
      <xdr:row>37</xdr:row>
      <xdr:rowOff>62659</xdr:rowOff>
    </xdr:to>
    <xdr:sp macro="" textlink="">
      <xdr:nvSpPr>
        <xdr:cNvPr id="107" name="TextBox 106">
          <a:extLst>
            <a:ext uri="{FF2B5EF4-FFF2-40B4-BE49-F238E27FC236}">
              <a16:creationId xmlns:a16="http://schemas.microsoft.com/office/drawing/2014/main" id="{00000000-0008-0000-0100-00006B000000}"/>
            </a:ext>
          </a:extLst>
        </xdr:cNvPr>
        <xdr:cNvSpPr txBox="1"/>
      </xdr:nvSpPr>
      <xdr:spPr>
        <a:xfrm>
          <a:off x="6932895" y="6475694"/>
          <a:ext cx="776743" cy="25446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8</a:t>
          </a:r>
        </a:p>
        <a:p>
          <a:endParaRPr lang="en-US" sz="1100"/>
        </a:p>
      </xdr:txBody>
    </xdr:sp>
    <xdr:clientData/>
  </xdr:twoCellAnchor>
  <xdr:twoCellAnchor>
    <xdr:from>
      <xdr:col>4</xdr:col>
      <xdr:colOff>706663</xdr:colOff>
      <xdr:row>42</xdr:row>
      <xdr:rowOff>26004</xdr:rowOff>
    </xdr:from>
    <xdr:to>
      <xdr:col>5</xdr:col>
      <xdr:colOff>832438</xdr:colOff>
      <xdr:row>45</xdr:row>
      <xdr:rowOff>55139</xdr:rowOff>
    </xdr:to>
    <xdr:sp macro="" textlink="">
      <xdr:nvSpPr>
        <xdr:cNvPr id="200" name="Pentagon 2">
          <a:extLst>
            <a:ext uri="{FF2B5EF4-FFF2-40B4-BE49-F238E27FC236}">
              <a16:creationId xmlns:a16="http://schemas.microsoft.com/office/drawing/2014/main" id="{00000000-0008-0000-0100-0000C8000000}"/>
            </a:ext>
          </a:extLst>
        </xdr:cNvPr>
        <xdr:cNvSpPr/>
      </xdr:nvSpPr>
      <xdr:spPr>
        <a:xfrm>
          <a:off x="5253263" y="7933871"/>
          <a:ext cx="1438108" cy="58793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Silver</a:t>
          </a:r>
          <a:r>
            <a:rPr lang="en-US" sz="1100" b="1" baseline="0"/>
            <a:t> Metal</a:t>
          </a:r>
          <a:endParaRPr lang="en-US" sz="1100" b="1"/>
        </a:p>
      </xdr:txBody>
    </xdr:sp>
    <xdr:clientData/>
  </xdr:twoCellAnchor>
  <xdr:twoCellAnchor>
    <xdr:from>
      <xdr:col>5</xdr:col>
      <xdr:colOff>838201</xdr:colOff>
      <xdr:row>40</xdr:row>
      <xdr:rowOff>6777</xdr:rowOff>
    </xdr:from>
    <xdr:to>
      <xdr:col>14</xdr:col>
      <xdr:colOff>254792</xdr:colOff>
      <xdr:row>43</xdr:row>
      <xdr:rowOff>138340</xdr:rowOff>
    </xdr:to>
    <xdr:cxnSp macro="">
      <xdr:nvCxnSpPr>
        <xdr:cNvPr id="79" name="Connector: Elbow 78">
          <a:extLst>
            <a:ext uri="{FF2B5EF4-FFF2-40B4-BE49-F238E27FC236}">
              <a16:creationId xmlns:a16="http://schemas.microsoft.com/office/drawing/2014/main" id="{00000000-0008-0000-0100-00004F000000}"/>
            </a:ext>
          </a:extLst>
        </xdr:cNvPr>
        <xdr:cNvCxnSpPr>
          <a:endCxn id="75" idx="2"/>
        </xdr:cNvCxnSpPr>
      </xdr:nvCxnSpPr>
      <xdr:spPr>
        <a:xfrm flipV="1">
          <a:off x="6697134" y="7542110"/>
          <a:ext cx="6562458" cy="690363"/>
        </a:xfrm>
        <a:prstGeom prst="bentConnector2">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372533</xdr:colOff>
      <xdr:row>42</xdr:row>
      <xdr:rowOff>177800</xdr:rowOff>
    </xdr:from>
    <xdr:to>
      <xdr:col>7</xdr:col>
      <xdr:colOff>304801</xdr:colOff>
      <xdr:row>44</xdr:row>
      <xdr:rowOff>87411</xdr:rowOff>
    </xdr:to>
    <xdr:sp macro="" textlink="">
      <xdr:nvSpPr>
        <xdr:cNvPr id="81" name="TextBox 80">
          <a:extLst>
            <a:ext uri="{FF2B5EF4-FFF2-40B4-BE49-F238E27FC236}">
              <a16:creationId xmlns:a16="http://schemas.microsoft.com/office/drawing/2014/main" id="{00000000-0008-0000-0100-000051000000}"/>
            </a:ext>
          </a:extLst>
        </xdr:cNvPr>
        <xdr:cNvSpPr txBox="1"/>
      </xdr:nvSpPr>
      <xdr:spPr>
        <a:xfrm>
          <a:off x="7086600" y="8085667"/>
          <a:ext cx="753534" cy="2821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4</a:t>
          </a:r>
        </a:p>
        <a:p>
          <a:endParaRPr lang="en-US" sz="1100"/>
        </a:p>
      </xdr:txBody>
    </xdr:sp>
    <xdr:clientData/>
  </xdr:twoCellAnchor>
  <xdr:twoCellAnchor>
    <xdr:from>
      <xdr:col>14</xdr:col>
      <xdr:colOff>377559</xdr:colOff>
      <xdr:row>26</xdr:row>
      <xdr:rowOff>167639</xdr:rowOff>
    </xdr:from>
    <xdr:to>
      <xdr:col>29</xdr:col>
      <xdr:colOff>45720</xdr:colOff>
      <xdr:row>40</xdr:row>
      <xdr:rowOff>6776</xdr:rowOff>
    </xdr:to>
    <xdr:cxnSp macro="">
      <xdr:nvCxnSpPr>
        <xdr:cNvPr id="88" name="Connector: Elbow 87">
          <a:extLst>
            <a:ext uri="{FF2B5EF4-FFF2-40B4-BE49-F238E27FC236}">
              <a16:creationId xmlns:a16="http://schemas.microsoft.com/office/drawing/2014/main" id="{00000000-0008-0000-0100-000058000000}"/>
            </a:ext>
          </a:extLst>
        </xdr:cNvPr>
        <xdr:cNvCxnSpPr>
          <a:stCxn id="77" idx="0"/>
          <a:endCxn id="75" idx="2"/>
        </xdr:cNvCxnSpPr>
      </xdr:nvCxnSpPr>
      <xdr:spPr>
        <a:xfrm rot="16200000" flipH="1" flipV="1">
          <a:off x="11544271" y="1637427"/>
          <a:ext cx="2328337" cy="8812161"/>
        </a:xfrm>
        <a:prstGeom prst="bentConnector5">
          <a:avLst>
            <a:gd name="adj1" fmla="val -9818"/>
            <a:gd name="adj2" fmla="val -11529"/>
            <a:gd name="adj3" fmla="val 220000"/>
          </a:avLst>
        </a:prstGeom>
        <a:ln w="12700">
          <a:solidFill>
            <a:srgbClr val="6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14111</xdr:colOff>
      <xdr:row>44</xdr:row>
      <xdr:rowOff>48869</xdr:rowOff>
    </xdr:from>
    <xdr:to>
      <xdr:col>18</xdr:col>
      <xdr:colOff>206669</xdr:colOff>
      <xdr:row>58</xdr:row>
      <xdr:rowOff>0</xdr:rowOff>
    </xdr:to>
    <xdr:cxnSp macro="">
      <xdr:nvCxnSpPr>
        <xdr:cNvPr id="23" name="Connector: Elbow 63">
          <a:extLst>
            <a:ext uri="{FF2B5EF4-FFF2-40B4-BE49-F238E27FC236}">
              <a16:creationId xmlns:a16="http://schemas.microsoft.com/office/drawing/2014/main" id="{00000000-0008-0000-0100-000017000000}"/>
            </a:ext>
          </a:extLst>
        </xdr:cNvPr>
        <xdr:cNvCxnSpPr>
          <a:cxnSpLocks/>
          <a:endCxn id="12" idx="1"/>
        </xdr:cNvCxnSpPr>
      </xdr:nvCxnSpPr>
      <xdr:spPr>
        <a:xfrm flipV="1">
          <a:off x="6836833" y="8205091"/>
          <a:ext cx="9033169" cy="2519353"/>
        </a:xfrm>
        <a:prstGeom prst="bentConnector3">
          <a:avLst>
            <a:gd name="adj1" fmla="val 50000"/>
          </a:avLst>
        </a:prstGeom>
        <a:ln w="12700">
          <a:solidFill>
            <a:srgbClr val="8200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517878</xdr:colOff>
      <xdr:row>55</xdr:row>
      <xdr:rowOff>160866</xdr:rowOff>
    </xdr:from>
    <xdr:to>
      <xdr:col>11</xdr:col>
      <xdr:colOff>668087</xdr:colOff>
      <xdr:row>57</xdr:row>
      <xdr:rowOff>58624</xdr:rowOff>
    </xdr:to>
    <xdr:sp macro="" textlink="">
      <xdr:nvSpPr>
        <xdr:cNvPr id="24" name="TextBox 184">
          <a:extLst>
            <a:ext uri="{FF2B5EF4-FFF2-40B4-BE49-F238E27FC236}">
              <a16:creationId xmlns:a16="http://schemas.microsoft.com/office/drawing/2014/main" id="{00000000-0008-0000-0100-000018000000}"/>
            </a:ext>
          </a:extLst>
        </xdr:cNvPr>
        <xdr:cNvSpPr txBox="1"/>
      </xdr:nvSpPr>
      <xdr:spPr>
        <a:xfrm>
          <a:off x="10059811" y="10490199"/>
          <a:ext cx="1047676" cy="270292"/>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3</a:t>
          </a:r>
        </a:p>
        <a:p>
          <a:endParaRPr lang="en-US" sz="1100"/>
        </a:p>
      </xdr:txBody>
    </xdr:sp>
    <xdr:clientData/>
  </xdr:twoCellAnchor>
  <xdr:twoCellAnchor>
    <xdr:from>
      <xdr:col>6</xdr:col>
      <xdr:colOff>680154</xdr:colOff>
      <xdr:row>57</xdr:row>
      <xdr:rowOff>29644</xdr:rowOff>
    </xdr:from>
    <xdr:to>
      <xdr:col>8</xdr:col>
      <xdr:colOff>190500</xdr:colOff>
      <xdr:row>58</xdr:row>
      <xdr:rowOff>95250</xdr:rowOff>
    </xdr:to>
    <xdr:sp macro="" textlink="">
      <xdr:nvSpPr>
        <xdr:cNvPr id="169" name="TextBox 165">
          <a:extLst>
            <a:ext uri="{FF2B5EF4-FFF2-40B4-BE49-F238E27FC236}">
              <a16:creationId xmlns:a16="http://schemas.microsoft.com/office/drawing/2014/main" id="{00000000-0008-0000-0100-0000A9000000}"/>
            </a:ext>
          </a:extLst>
        </xdr:cNvPr>
        <xdr:cNvSpPr txBox="1"/>
      </xdr:nvSpPr>
      <xdr:spPr>
        <a:xfrm>
          <a:off x="7225190" y="10969787"/>
          <a:ext cx="789417" cy="25610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Stream 5</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107950</xdr:rowOff>
    </xdr:from>
    <xdr:to>
      <xdr:col>1</xdr:col>
      <xdr:colOff>1397000</xdr:colOff>
      <xdr:row>11</xdr:row>
      <xdr:rowOff>184150</xdr:rowOff>
    </xdr:to>
    <xdr:sp macro="" textlink="">
      <xdr:nvSpPr>
        <xdr:cNvPr id="20483" name="Button 3" hidden="1">
          <a:extLst>
            <a:ext uri="{63B3BB69-23CF-44E3-9099-C40C66FF867C}">
              <a14:compatExt xmlns:a14="http://schemas.microsoft.com/office/drawing/2010/main"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Additional Stream</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5</xdr:row>
      <xdr:rowOff>69850</xdr:rowOff>
    </xdr:from>
    <xdr:to>
      <xdr:col>3</xdr:col>
      <xdr:colOff>266700</xdr:colOff>
      <xdr:row>7</xdr:row>
      <xdr:rowOff>152400</xdr:rowOff>
    </xdr:to>
    <xdr:sp macro="" textlink="">
      <xdr:nvSpPr>
        <xdr:cNvPr id="8228" name="Button 36" hidden="1">
          <a:extLst>
            <a:ext uri="{63B3BB69-23CF-44E3-9099-C40C66FF867C}">
              <a14:compatExt xmlns:a14="http://schemas.microsoft.com/office/drawing/2010/main"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Line for Additional Component</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16</xdr:col>
      <xdr:colOff>10752</xdr:colOff>
      <xdr:row>2</xdr:row>
      <xdr:rowOff>175712</xdr:rowOff>
    </xdr:from>
    <xdr:to>
      <xdr:col>28</xdr:col>
      <xdr:colOff>269374</xdr:colOff>
      <xdr:row>28</xdr:row>
      <xdr:rowOff>101600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424</xdr:colOff>
      <xdr:row>35</xdr:row>
      <xdr:rowOff>2540</xdr:rowOff>
    </xdr:from>
    <xdr:to>
      <xdr:col>7</xdr:col>
      <xdr:colOff>783167</xdr:colOff>
      <xdr:row>49</xdr:row>
      <xdr:rowOff>165100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1181099</xdr:colOff>
      <xdr:row>56</xdr:row>
      <xdr:rowOff>4231</xdr:rowOff>
    </xdr:from>
    <xdr:to>
      <xdr:col>15</xdr:col>
      <xdr:colOff>601132</xdr:colOff>
      <xdr:row>82</xdr:row>
      <xdr:rowOff>10889</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38100</xdr:colOff>
      <xdr:row>13</xdr:row>
      <xdr:rowOff>9524</xdr:rowOff>
    </xdr:from>
    <xdr:to>
      <xdr:col>10</xdr:col>
      <xdr:colOff>706438</xdr:colOff>
      <xdr:row>35</xdr:row>
      <xdr:rowOff>111124</xdr:rowOff>
    </xdr:to>
    <xdr:graphicFrame macro="">
      <xdr:nvGraphicFramePr>
        <xdr:cNvPr id="5" name="Chart 43">
          <a:extLst>
            <a:ext uri="{FF2B5EF4-FFF2-40B4-BE49-F238E27FC236}">
              <a16:creationId xmlns:a16="http://schemas.microsoft.com/office/drawing/2014/main" id="{00000000-0008-0000-0700-00008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405765</xdr:colOff>
      <xdr:row>37</xdr:row>
      <xdr:rowOff>41910</xdr:rowOff>
    </xdr:from>
    <xdr:to>
      <xdr:col>13</xdr:col>
      <xdr:colOff>1140883</xdr:colOff>
      <xdr:row>52</xdr:row>
      <xdr:rowOff>21590</xdr:rowOff>
    </xdr:to>
    <xdr:graphicFrame macro="">
      <xdr:nvGraphicFramePr>
        <xdr:cNvPr id="93" name="Chart 5">
          <a:extLst>
            <a:ext uri="{FF2B5EF4-FFF2-40B4-BE49-F238E27FC236}">
              <a16:creationId xmlns:a16="http://schemas.microsoft.com/office/drawing/2014/main" id="{00000000-0008-0000-07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375285</xdr:colOff>
      <xdr:row>37</xdr:row>
      <xdr:rowOff>26670</xdr:rowOff>
    </xdr:from>
    <xdr:to>
      <xdr:col>13</xdr:col>
      <xdr:colOff>1110403</xdr:colOff>
      <xdr:row>52</xdr:row>
      <xdr:rowOff>6350</xdr:rowOff>
    </xdr:to>
    <xdr:graphicFrame macro="">
      <xdr:nvGraphicFramePr>
        <xdr:cNvPr id="38" name="Chart 5">
          <a:extLst>
            <a:ext uri="{FF2B5EF4-FFF2-40B4-BE49-F238E27FC236}">
              <a16:creationId xmlns:a16="http://schemas.microsoft.com/office/drawing/2014/main"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829099</xdr:colOff>
      <xdr:row>37</xdr:row>
      <xdr:rowOff>46990</xdr:rowOff>
    </xdr:from>
    <xdr:to>
      <xdr:col>10</xdr:col>
      <xdr:colOff>287867</xdr:colOff>
      <xdr:row>52</xdr:row>
      <xdr:rowOff>19050</xdr:rowOff>
    </xdr:to>
    <xdr:graphicFrame macro="">
      <xdr:nvGraphicFramePr>
        <xdr:cNvPr id="9" name="Chart 1">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97630</xdr:colOff>
      <xdr:row>59</xdr:row>
      <xdr:rowOff>28043</xdr:rowOff>
    </xdr:from>
    <xdr:to>
      <xdr:col>15</xdr:col>
      <xdr:colOff>1416843</xdr:colOff>
      <xdr:row>89</xdr:row>
      <xdr:rowOff>142874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85725</xdr:colOff>
      <xdr:row>37</xdr:row>
      <xdr:rowOff>38100</xdr:rowOff>
    </xdr:from>
    <xdr:to>
      <xdr:col>6</xdr:col>
      <xdr:colOff>763693</xdr:colOff>
      <xdr:row>52</xdr:row>
      <xdr:rowOff>10160</xdr:rowOff>
    </xdr:to>
    <xdr:graphicFrame macro="">
      <xdr:nvGraphicFramePr>
        <xdr:cNvPr id="24" name="Chart 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37</xdr:row>
      <xdr:rowOff>47625</xdr:rowOff>
    </xdr:from>
    <xdr:to>
      <xdr:col>2</xdr:col>
      <xdr:colOff>1649518</xdr:colOff>
      <xdr:row>52</xdr:row>
      <xdr:rowOff>19685</xdr:rowOff>
    </xdr:to>
    <xdr:graphicFrame macro="">
      <xdr:nvGraphicFramePr>
        <xdr:cNvPr id="55" name="Chart 4">
          <a:extLst>
            <a:ext uri="{FF2B5EF4-FFF2-40B4-BE49-F238E27FC236}">
              <a16:creationId xmlns:a16="http://schemas.microsoft.com/office/drawing/2014/main" id="{00000000-0008-0000-07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85725</xdr:colOff>
      <xdr:row>37</xdr:row>
      <xdr:rowOff>38100</xdr:rowOff>
    </xdr:from>
    <xdr:to>
      <xdr:col>6</xdr:col>
      <xdr:colOff>763693</xdr:colOff>
      <xdr:row>52</xdr:row>
      <xdr:rowOff>10160</xdr:rowOff>
    </xdr:to>
    <xdr:graphicFrame macro="">
      <xdr:nvGraphicFramePr>
        <xdr:cNvPr id="57" name="Chart 3">
          <a:extLst>
            <a:ext uri="{FF2B5EF4-FFF2-40B4-BE49-F238E27FC236}">
              <a16:creationId xmlns:a16="http://schemas.microsoft.com/office/drawing/2014/main" id="{00000000-0008-0000-07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28575</xdr:colOff>
      <xdr:row>37</xdr:row>
      <xdr:rowOff>47625</xdr:rowOff>
    </xdr:from>
    <xdr:to>
      <xdr:col>2</xdr:col>
      <xdr:colOff>1649518</xdr:colOff>
      <xdr:row>52</xdr:row>
      <xdr:rowOff>19685</xdr:rowOff>
    </xdr:to>
    <xdr:graphicFrame macro="">
      <xdr:nvGraphicFramePr>
        <xdr:cNvPr id="103" name="Chart 4">
          <a:extLst>
            <a:ext uri="{FF2B5EF4-FFF2-40B4-BE49-F238E27FC236}">
              <a16:creationId xmlns:a16="http://schemas.microsoft.com/office/drawing/2014/main" id="{00000000-0008-0000-07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87926</xdr:colOff>
      <xdr:row>1</xdr:row>
      <xdr:rowOff>42505</xdr:rowOff>
    </xdr:from>
    <xdr:to>
      <xdr:col>4</xdr:col>
      <xdr:colOff>1115900</xdr:colOff>
      <xdr:row>9</xdr:row>
      <xdr:rowOff>33899</xdr:rowOff>
    </xdr:to>
    <xdr:pic>
      <xdr:nvPicPr>
        <xdr:cNvPr id="5" name="Picture 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884562" y="310937"/>
          <a:ext cx="10752133" cy="1515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435156</xdr:colOff>
      <xdr:row>1</xdr:row>
      <xdr:rowOff>175037</xdr:rowOff>
    </xdr:from>
    <xdr:to>
      <xdr:col>5</xdr:col>
      <xdr:colOff>535781</xdr:colOff>
      <xdr:row>8</xdr:row>
      <xdr:rowOff>71132</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35156" y="441737"/>
          <a:ext cx="8794569" cy="1229595"/>
        </a:xfrm>
        <a:prstGeom prst="rect">
          <a:avLst/>
        </a:prstGeom>
      </xdr:spPr>
    </xdr:pic>
    <xdr:clientData/>
  </xdr:twoCellAnchor>
  <xdr:twoCellAnchor>
    <xdr:from>
      <xdr:col>1</xdr:col>
      <xdr:colOff>76198</xdr:colOff>
      <xdr:row>49</xdr:row>
      <xdr:rowOff>161924</xdr:rowOff>
    </xdr:from>
    <xdr:to>
      <xdr:col>3</xdr:col>
      <xdr:colOff>1657350</xdr:colOff>
      <xdr:row>74</xdr:row>
      <xdr:rowOff>114299</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1733549</xdr:colOff>
      <xdr:row>49</xdr:row>
      <xdr:rowOff>161924</xdr:rowOff>
    </xdr:from>
    <xdr:to>
      <xdr:col>6</xdr:col>
      <xdr:colOff>2285999</xdr:colOff>
      <xdr:row>74</xdr:row>
      <xdr:rowOff>114299</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2352674</xdr:colOff>
      <xdr:row>49</xdr:row>
      <xdr:rowOff>161924</xdr:rowOff>
    </xdr:from>
    <xdr:to>
      <xdr:col>9</xdr:col>
      <xdr:colOff>1257299</xdr:colOff>
      <xdr:row>74</xdr:row>
      <xdr:rowOff>114299</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295275</xdr:colOff>
      <xdr:row>9</xdr:row>
      <xdr:rowOff>171450</xdr:rowOff>
    </xdr:from>
    <xdr:to>
      <xdr:col>11</xdr:col>
      <xdr:colOff>515937</xdr:colOff>
      <xdr:row>27</xdr:row>
      <xdr:rowOff>52387</xdr:rowOff>
    </xdr:to>
    <xdr:graphicFrame macro="">
      <xdr:nvGraphicFramePr>
        <xdr:cNvPr id="2" name="Chart 1">
          <a:extLst>
            <a:ext uri="{FF2B5EF4-FFF2-40B4-BE49-F238E27FC236}">
              <a16:creationId xmlns:a16="http://schemas.microsoft.com/office/drawing/2014/main" id="{7FD702E1-418A-416D-A22F-2E2C0F657B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184150</xdr:rowOff>
    </xdr:from>
    <xdr:to>
      <xdr:col>2</xdr:col>
      <xdr:colOff>1828800</xdr:colOff>
      <xdr:row>5</xdr:row>
      <xdr:rowOff>184150</xdr:rowOff>
    </xdr:to>
    <xdr:sp macro="" textlink="">
      <xdr:nvSpPr>
        <xdr:cNvPr id="9224" name="Button 8" hidden="1">
          <a:extLst>
            <a:ext uri="{63B3BB69-23CF-44E3-9099-C40C66FF867C}">
              <a14:compatExt xmlns:a14="http://schemas.microsoft.com/office/drawing/2010/main" spid="_x0000_s9224"/>
            </a:ext>
            <a:ext uri="{FF2B5EF4-FFF2-40B4-BE49-F238E27FC236}">
              <a16:creationId xmlns:a16="http://schemas.microsoft.com/office/drawing/2014/main" id="{00000000-0008-0000-0C00-0000082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Add Line for Additional Equipment</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xdr:col>
      <xdr:colOff>31750</xdr:colOff>
      <xdr:row>7</xdr:row>
      <xdr:rowOff>38100</xdr:rowOff>
    </xdr:from>
    <xdr:to>
      <xdr:col>7</xdr:col>
      <xdr:colOff>603250</xdr:colOff>
      <xdr:row>8</xdr:row>
      <xdr:rowOff>177800</xdr:rowOff>
    </xdr:to>
    <xdr:sp macro="" textlink="">
      <xdr:nvSpPr>
        <xdr:cNvPr id="17409" name="Button 1" hidden="1">
          <a:extLst>
            <a:ext uri="{63B3BB69-23CF-44E3-9099-C40C66FF867C}">
              <a14:compatExt xmlns:a14="http://schemas.microsoft.com/office/drawing/2010/main"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Update IRR</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pi0-my.sharepoint.com/Desktop/DCFC/105-41-0002-TEA.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pi0-my.sharepoint.com/Users/Adam/AppData/Roaming/Microsoft/Excel/105-41-0001-TEA.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FD"/>
      <sheetName val="Streams"/>
      <sheetName val="Compositions"/>
      <sheetName val="Mass Balance"/>
      <sheetName val="Energy Balance"/>
      <sheetName val="Consumables"/>
      <sheetName val="Equipment"/>
      <sheetName val="Capex"/>
      <sheetName val="Opex"/>
      <sheetName val="Financial"/>
      <sheetName val="Summary"/>
      <sheetName val="Utilities"/>
      <sheetName val="ParameterView"/>
      <sheetName val="Reference"/>
      <sheetName val="Appendix"/>
      <sheetName val="Change Log"/>
    </sheetNames>
    <sheetDataSet>
      <sheetData sheetId="0"/>
      <sheetData sheetId="1"/>
      <sheetData sheetId="2"/>
      <sheetData sheetId="3"/>
      <sheetData sheetId="4"/>
      <sheetData sheetId="5"/>
      <sheetData sheetId="6"/>
      <sheetData sheetId="7"/>
      <sheetData sheetId="8"/>
      <sheetData sheetId="9"/>
      <sheetData sheetId="10">
        <row r="1">
          <cell r="AK1">
            <v>12.568605400611284</v>
          </cell>
        </row>
        <row r="2">
          <cell r="AK2">
            <v>11.214113724967646</v>
          </cell>
        </row>
        <row r="4">
          <cell r="AK4">
            <v>0.11916332862574874</v>
          </cell>
        </row>
      </sheetData>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FD"/>
      <sheetName val="Streams"/>
      <sheetName val="Compositions"/>
      <sheetName val="Mass Balance"/>
      <sheetName val="Equipment"/>
      <sheetName val="Capex"/>
      <sheetName val="Opex"/>
      <sheetName val="Financial"/>
      <sheetName val="Summary"/>
      <sheetName val="Utilities"/>
      <sheetName val="Reference"/>
      <sheetName val="ParameterView"/>
      <sheetName val="Appendix"/>
      <sheetName val="summary comparison"/>
      <sheetName val="Energy Balance"/>
      <sheetName val="Switchable Anodes"/>
      <sheetName val="Cell Design"/>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Z6">
            <v>4.4073496204016118</v>
          </cell>
        </row>
        <row r="8">
          <cell r="C8">
            <v>26.9815</v>
          </cell>
        </row>
        <row r="37">
          <cell r="C37">
            <v>18.9984</v>
          </cell>
        </row>
        <row r="72">
          <cell r="C72">
            <v>15.9994</v>
          </cell>
        </row>
        <row r="112">
          <cell r="C112">
            <v>88.905900000000003</v>
          </cell>
        </row>
        <row r="115">
          <cell r="C115">
            <v>91.224000000000004</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docs.google.com/document/d/1W2wXey41fkjgnRZ_kkE2eOBC_h_I8rUh4cmZ_W974mg/edit" TargetMode="External"/><Relationship Id="rId2" Type="http://schemas.openxmlformats.org/officeDocument/2006/relationships/hyperlink" Target="https://www.marketwatch.com/press-release/silicon-metal-market-2019-global-industry-analysis-by-size-trend-share-company-overview-growth-and-forecast-by-2021-latest-research-report-by-360researchreportscom-2019-09-20" TargetMode="External"/><Relationship Id="rId1" Type="http://schemas.openxmlformats.org/officeDocument/2006/relationships/hyperlink" Target="https://www.metalbulletin.com/Article/3912360/2020-PREVIEW-Another-year-of-slowing-finished-steel-demand-falling-prices-before-next-years-revival.html"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ditaichem.en.made-in-china.com/product/VKkxgABCrMWv/China-White-Crystalline-Powder-98-Magnesium-Fluoride-for-Industrial-CAS-7783-40-6-.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arketwatch.com/press-release/silicon-metal-market-2019-global-industry-analysis-by-size-trend-share-company-overview-growth-and-forecast-by-2021-latest-research-report-by-360researchreportscom-2019-09-20" TargetMode="External"/><Relationship Id="rId1" Type="http://schemas.openxmlformats.org/officeDocument/2006/relationships/hyperlink" Target="https://www.metalbulletin.com/Article/3912360/2020-PREVIEW-Another-year-of-slowing-finished-steel-demand-falling-prices-before-next-years-revival.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eia.gov/electricity/monthly/" TargetMode="External"/><Relationship Id="rId13" Type="http://schemas.openxmlformats.org/officeDocument/2006/relationships/printerSettings" Target="../printerSettings/printerSettings15.bin"/><Relationship Id="rId3" Type="http://schemas.openxmlformats.org/officeDocument/2006/relationships/hyperlink" Target="http://www.bls.gov/ppi/" TargetMode="External"/><Relationship Id="rId7" Type="http://schemas.openxmlformats.org/officeDocument/2006/relationships/hyperlink" Target="http://www.metalprices.com/metal/vanadium/vanadium-pentoxide-v2o5-fob-reuters" TargetMode="External"/><Relationship Id="rId12" Type="http://schemas.openxmlformats.org/officeDocument/2006/relationships/hyperlink" Target="https://ritawang8.en.made-in-china.com/product/EyqxjOIckwWL/China-High-Purity-98-Calcium-Oxide-at-Competitive-Price.html" TargetMode="External"/><Relationship Id="rId2" Type="http://schemas.openxmlformats.org/officeDocument/2006/relationships/hyperlink" Target="http://www.eia.gov/electricity/monthly/" TargetMode="External"/><Relationship Id="rId1" Type="http://schemas.openxmlformats.org/officeDocument/2006/relationships/hyperlink" Target="http://www.icis.com/chemicals/channel-info-chemicals-a-z/" TargetMode="External"/><Relationship Id="rId6" Type="http://schemas.openxmlformats.org/officeDocument/2006/relationships/hyperlink" Target="http://www.eia.gov/electricity/monthly/" TargetMode="External"/><Relationship Id="rId11" Type="http://schemas.openxmlformats.org/officeDocument/2006/relationships/hyperlink" Target="https://wanfengtech.en.made-in-china.com/product/WjKQbdAlfCVx/China-Yttrium-Fluoride-Yf3.html" TargetMode="External"/><Relationship Id="rId5" Type="http://schemas.openxmlformats.org/officeDocument/2006/relationships/hyperlink" Target="http://www.metalprices.com/" TargetMode="External"/><Relationship Id="rId10" Type="http://schemas.openxmlformats.org/officeDocument/2006/relationships/hyperlink" Target="http://www.treasury.gov/resource-center/data-chart-center/interest-rates/Pages/TextView.aspx?data=yieldYear&amp;year=2012" TargetMode="External"/><Relationship Id="rId4" Type="http://schemas.openxmlformats.org/officeDocument/2006/relationships/hyperlink" Target="http://www.eia.gov/electricity/monthly/" TargetMode="External"/><Relationship Id="rId9" Type="http://schemas.openxmlformats.org/officeDocument/2006/relationships/hyperlink" Target="http://www.icis.com/Articles/2005/12/02/516155/chemical-profile-ferric-chloride.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148"/>
  <sheetViews>
    <sheetView topLeftCell="A36" zoomScaleNormal="100" workbookViewId="0"/>
  </sheetViews>
  <sheetFormatPr defaultRowHeight="15" x14ac:dyDescent="0.25"/>
  <cols>
    <col min="4" max="4" width="13.42578125" customWidth="1"/>
  </cols>
  <sheetData>
    <row r="1" spans="1:13" ht="21" x14ac:dyDescent="0.35">
      <c r="A1" s="1" t="s">
        <v>0</v>
      </c>
    </row>
    <row r="4" spans="1:13" x14ac:dyDescent="0.25">
      <c r="A4" t="s">
        <v>1</v>
      </c>
      <c r="B4" s="2"/>
    </row>
    <row r="5" spans="1:13" x14ac:dyDescent="0.25">
      <c r="A5" t="s">
        <v>2</v>
      </c>
      <c r="B5" s="2"/>
    </row>
    <row r="7" spans="1:13" x14ac:dyDescent="0.25">
      <c r="D7" s="19" t="s">
        <v>3</v>
      </c>
      <c r="E7" s="20"/>
      <c r="F7" s="26"/>
      <c r="G7" s="26"/>
      <c r="H7" s="26"/>
      <c r="I7" s="26"/>
      <c r="J7" s="26"/>
      <c r="K7" s="26"/>
      <c r="L7" s="26"/>
      <c r="M7" s="26"/>
    </row>
    <row r="8" spans="1:13" x14ac:dyDescent="0.25">
      <c r="D8" s="773"/>
      <c r="E8" s="773"/>
      <c r="F8" s="25"/>
      <c r="G8" s="25"/>
      <c r="H8" s="25"/>
      <c r="I8" s="25"/>
      <c r="J8" s="25"/>
      <c r="K8" s="25"/>
      <c r="L8" s="25"/>
      <c r="M8" s="25"/>
    </row>
    <row r="9" spans="1:13" x14ac:dyDescent="0.25">
      <c r="D9" s="773"/>
      <c r="E9" s="773"/>
      <c r="F9" s="25"/>
      <c r="G9" s="25"/>
      <c r="H9" s="25"/>
      <c r="I9" s="25"/>
      <c r="J9" s="25"/>
      <c r="K9" s="25"/>
      <c r="L9" s="25"/>
      <c r="M9" s="25"/>
    </row>
    <row r="10" spans="1:13" x14ac:dyDescent="0.25">
      <c r="D10" s="773"/>
      <c r="E10" s="773"/>
      <c r="F10" s="25"/>
      <c r="G10" s="25"/>
      <c r="H10" s="25"/>
      <c r="I10" s="25"/>
      <c r="J10" s="25"/>
      <c r="K10" s="25"/>
      <c r="L10" s="25"/>
      <c r="M10" s="25"/>
    </row>
    <row r="11" spans="1:13" x14ac:dyDescent="0.25">
      <c r="D11" s="773"/>
      <c r="E11" s="773"/>
      <c r="F11" s="25"/>
      <c r="G11" s="25"/>
      <c r="H11" s="25"/>
      <c r="I11" s="25"/>
      <c r="J11" s="25"/>
      <c r="K11" s="25"/>
      <c r="L11" s="25"/>
      <c r="M11" s="25"/>
    </row>
    <row r="12" spans="1:13" x14ac:dyDescent="0.25">
      <c r="D12" s="758"/>
      <c r="E12" s="758"/>
      <c r="F12" s="25"/>
      <c r="G12" s="25"/>
      <c r="H12" s="25"/>
      <c r="I12" s="25"/>
      <c r="J12" s="25"/>
      <c r="K12" s="25"/>
      <c r="L12" s="25"/>
      <c r="M12" s="25"/>
    </row>
    <row r="13" spans="1:13" x14ac:dyDescent="0.25">
      <c r="D13" s="758"/>
      <c r="E13" s="758"/>
      <c r="F13" s="25"/>
      <c r="G13" s="25"/>
      <c r="H13" s="25"/>
      <c r="I13" s="25"/>
      <c r="J13" s="25"/>
      <c r="K13" s="25"/>
      <c r="L13" s="25"/>
      <c r="M13" s="25"/>
    </row>
    <row r="14" spans="1:13" x14ac:dyDescent="0.25">
      <c r="D14" s="168"/>
      <c r="E14" s="168"/>
    </row>
    <row r="15" spans="1:13" x14ac:dyDescent="0.25">
      <c r="D15" s="168"/>
      <c r="E15" s="168"/>
    </row>
    <row r="16" spans="1:13" x14ac:dyDescent="0.25">
      <c r="D16" s="168"/>
      <c r="E16" s="168"/>
    </row>
    <row r="17" spans="3:15" x14ac:dyDescent="0.25">
      <c r="D17" s="19" t="s">
        <v>4</v>
      </c>
      <c r="E17" s="19"/>
      <c r="F17" s="24"/>
      <c r="G17" s="20"/>
      <c r="H17" s="20"/>
      <c r="I17" s="20"/>
      <c r="J17" s="20"/>
      <c r="K17" s="20"/>
      <c r="L17" s="20"/>
      <c r="M17" s="20"/>
    </row>
    <row r="18" spans="3:15" x14ac:dyDescent="0.25">
      <c r="D18" s="22"/>
      <c r="E18" s="22" t="s">
        <v>5</v>
      </c>
      <c r="F18" s="22"/>
      <c r="G18" s="22"/>
      <c r="H18" s="22"/>
      <c r="I18" s="22"/>
      <c r="J18" s="22"/>
      <c r="K18" s="22"/>
      <c r="L18" s="22"/>
      <c r="M18" s="22"/>
    </row>
    <row r="19" spans="3:15" x14ac:dyDescent="0.25">
      <c r="D19" s="22"/>
      <c r="E19" s="22" t="s">
        <v>6</v>
      </c>
      <c r="F19" s="22"/>
      <c r="G19" s="23"/>
      <c r="H19" s="22"/>
      <c r="I19" s="22"/>
      <c r="J19" s="22"/>
      <c r="K19" s="22"/>
      <c r="L19" s="22"/>
      <c r="M19" s="22"/>
    </row>
    <row r="20" spans="3:15" x14ac:dyDescent="0.25">
      <c r="D20" s="22"/>
      <c r="E20" s="22" t="s">
        <v>7</v>
      </c>
      <c r="F20" s="22"/>
      <c r="G20" s="22"/>
      <c r="H20" s="22"/>
      <c r="I20" s="22"/>
      <c r="J20" s="22"/>
      <c r="K20" s="22"/>
      <c r="L20" s="22"/>
      <c r="M20" s="22"/>
    </row>
    <row r="21" spans="3:15" x14ac:dyDescent="0.25">
      <c r="D21" s="22"/>
      <c r="E21" s="22" t="s">
        <v>8</v>
      </c>
      <c r="F21" s="22"/>
      <c r="G21" s="22"/>
      <c r="H21" s="22"/>
      <c r="I21" s="22"/>
      <c r="J21" s="22"/>
      <c r="K21" s="22"/>
      <c r="L21" s="22"/>
      <c r="M21" s="22"/>
    </row>
    <row r="22" spans="3:15" x14ac:dyDescent="0.25">
      <c r="D22" s="22"/>
      <c r="E22" s="22" t="s">
        <v>9</v>
      </c>
      <c r="F22" s="22"/>
      <c r="G22" s="22"/>
      <c r="H22" s="22"/>
      <c r="I22" s="22"/>
      <c r="J22" s="22"/>
      <c r="K22" s="22"/>
      <c r="L22" s="22"/>
      <c r="M22" s="22"/>
    </row>
    <row r="23" spans="3:15" s="21" customFormat="1" x14ac:dyDescent="0.25">
      <c r="C23"/>
      <c r="D23" s="22"/>
      <c r="E23" s="22"/>
      <c r="F23" s="22"/>
      <c r="G23" s="22"/>
      <c r="H23" s="22"/>
      <c r="I23" s="22"/>
      <c r="J23" s="22"/>
      <c r="K23" s="22"/>
      <c r="L23" s="22"/>
      <c r="M23" s="22"/>
      <c r="N23"/>
      <c r="O23"/>
    </row>
    <row r="24" spans="3:15" s="21" customFormat="1" x14ac:dyDescent="0.25">
      <c r="C24"/>
      <c r="D24" s="168"/>
      <c r="E24" s="168"/>
      <c r="F24"/>
      <c r="G24"/>
      <c r="H24"/>
      <c r="I24"/>
      <c r="J24"/>
      <c r="K24"/>
      <c r="L24"/>
      <c r="M24"/>
      <c r="N24"/>
      <c r="O24"/>
    </row>
    <row r="25" spans="3:15" s="21" customFormat="1" x14ac:dyDescent="0.25">
      <c r="C25"/>
      <c r="D25" s="168"/>
      <c r="E25" s="168"/>
      <c r="F25"/>
      <c r="G25"/>
      <c r="H25"/>
      <c r="I25"/>
      <c r="J25"/>
      <c r="K25"/>
      <c r="L25"/>
      <c r="M25"/>
      <c r="N25"/>
      <c r="O25"/>
    </row>
    <row r="26" spans="3:15" s="21" customFormat="1" x14ac:dyDescent="0.25">
      <c r="C26"/>
      <c r="D26"/>
      <c r="E26"/>
      <c r="F26"/>
      <c r="G26"/>
      <c r="H26"/>
      <c r="I26"/>
      <c r="J26"/>
      <c r="K26"/>
      <c r="L26"/>
      <c r="M26"/>
      <c r="N26"/>
      <c r="O26"/>
    </row>
    <row r="27" spans="3:15" s="21" customFormat="1" x14ac:dyDescent="0.25">
      <c r="D27" s="19" t="s">
        <v>10</v>
      </c>
      <c r="E27" s="20"/>
      <c r="F27" s="20"/>
      <c r="G27" s="20"/>
      <c r="H27" s="20"/>
      <c r="I27" s="20"/>
      <c r="J27" s="20"/>
      <c r="K27" s="20"/>
      <c r="L27" s="20"/>
      <c r="M27" s="20"/>
      <c r="O27"/>
    </row>
    <row r="28" spans="3:15" s="21" customFormat="1" x14ac:dyDescent="0.25">
      <c r="D28" s="178" t="s">
        <v>11</v>
      </c>
      <c r="E28" s="22" t="s">
        <v>12</v>
      </c>
      <c r="F28" s="22"/>
      <c r="G28" s="22"/>
      <c r="H28" s="22"/>
      <c r="I28" s="22"/>
      <c r="J28" s="22"/>
      <c r="K28" s="22"/>
      <c r="L28" s="22"/>
      <c r="M28" s="22"/>
      <c r="O28"/>
    </row>
    <row r="29" spans="3:15" s="21" customFormat="1" x14ac:dyDescent="0.25">
      <c r="D29" s="179" t="s">
        <v>13</v>
      </c>
      <c r="E29" s="22" t="s">
        <v>14</v>
      </c>
      <c r="F29" s="22"/>
      <c r="G29" s="22"/>
      <c r="H29" s="22"/>
      <c r="I29" s="22"/>
      <c r="J29" s="22"/>
      <c r="K29" s="22"/>
      <c r="L29" s="22"/>
      <c r="M29" s="22"/>
      <c r="O29"/>
    </row>
    <row r="30" spans="3:15" s="21" customFormat="1" x14ac:dyDescent="0.25">
      <c r="D30" s="180" t="s">
        <v>15</v>
      </c>
      <c r="E30" s="22" t="s">
        <v>16</v>
      </c>
      <c r="F30" s="22"/>
      <c r="G30" s="22"/>
      <c r="H30" s="22"/>
      <c r="I30" s="22"/>
      <c r="J30" s="22"/>
      <c r="K30" s="22"/>
      <c r="L30" s="22"/>
      <c r="M30" s="22"/>
      <c r="O30"/>
    </row>
    <row r="31" spans="3:15" s="21" customFormat="1" x14ac:dyDescent="0.25">
      <c r="D31" s="181" t="s">
        <v>17</v>
      </c>
      <c r="E31" s="22" t="s">
        <v>18</v>
      </c>
      <c r="F31" s="22"/>
      <c r="G31" s="22"/>
      <c r="H31" s="22"/>
      <c r="I31" s="22"/>
      <c r="J31" s="22"/>
      <c r="K31" s="22"/>
      <c r="L31" s="22"/>
      <c r="M31" s="22"/>
      <c r="O31"/>
    </row>
    <row r="32" spans="3:15" s="21" customFormat="1" x14ac:dyDescent="0.25">
      <c r="D32" s="182" t="s">
        <v>19</v>
      </c>
      <c r="E32" s="22" t="s">
        <v>20</v>
      </c>
      <c r="F32" s="22"/>
      <c r="G32" s="22"/>
      <c r="H32" s="22"/>
      <c r="I32" s="22"/>
      <c r="J32" s="22"/>
      <c r="K32" s="22"/>
      <c r="L32" s="22"/>
      <c r="M32" s="22"/>
      <c r="O32"/>
    </row>
    <row r="33" spans="3:15" x14ac:dyDescent="0.25">
      <c r="C33" s="21"/>
      <c r="D33" s="133" t="s">
        <v>21</v>
      </c>
      <c r="E33" s="22" t="s">
        <v>22</v>
      </c>
      <c r="F33" s="22"/>
      <c r="G33" s="22"/>
      <c r="H33" s="22"/>
      <c r="I33" s="22"/>
      <c r="J33" s="22"/>
      <c r="K33" s="22"/>
      <c r="L33" s="22"/>
      <c r="M33" s="22"/>
      <c r="O33" s="21"/>
    </row>
    <row r="34" spans="3:15" x14ac:dyDescent="0.25">
      <c r="O34" s="21"/>
    </row>
    <row r="37" spans="3:15" x14ac:dyDescent="0.25">
      <c r="D37" s="19" t="s">
        <v>23</v>
      </c>
      <c r="E37" s="20"/>
      <c r="F37" s="26"/>
      <c r="G37" s="26"/>
      <c r="H37" s="26"/>
      <c r="I37" s="26"/>
      <c r="J37" s="26"/>
      <c r="K37" s="26"/>
      <c r="L37" s="26"/>
      <c r="M37" s="26"/>
    </row>
    <row r="38" spans="3:15" x14ac:dyDescent="0.25">
      <c r="D38" s="189"/>
      <c r="E38" s="189"/>
      <c r="F38" s="25"/>
      <c r="G38" s="25"/>
      <c r="H38" s="25"/>
      <c r="I38" s="25"/>
      <c r="J38" s="25"/>
      <c r="K38" s="25"/>
      <c r="L38" s="25"/>
      <c r="M38" s="25"/>
    </row>
    <row r="39" spans="3:15" x14ac:dyDescent="0.25">
      <c r="D39" s="189"/>
      <c r="E39" s="189"/>
      <c r="F39" s="25"/>
      <c r="G39" s="25"/>
      <c r="H39" s="25"/>
      <c r="I39" s="25"/>
      <c r="J39" s="25"/>
      <c r="K39" s="25"/>
      <c r="L39" s="25"/>
      <c r="M39" s="25"/>
    </row>
    <row r="40" spans="3:15" x14ac:dyDescent="0.25">
      <c r="D40" s="189"/>
      <c r="E40" s="189"/>
      <c r="F40" s="25"/>
      <c r="G40" s="25"/>
      <c r="H40" s="25"/>
      <c r="I40" s="25"/>
      <c r="J40" s="25"/>
      <c r="K40" s="25"/>
      <c r="L40" s="25"/>
      <c r="M40" s="25"/>
    </row>
    <row r="41" spans="3:15" x14ac:dyDescent="0.25">
      <c r="D41" s="189"/>
      <c r="E41" s="189"/>
      <c r="F41" s="25"/>
      <c r="G41" s="25"/>
      <c r="H41" s="25"/>
      <c r="I41" s="25"/>
      <c r="J41" s="25"/>
      <c r="K41" s="25"/>
      <c r="L41" s="25"/>
      <c r="M41" s="25"/>
    </row>
    <row r="42" spans="3:15" x14ac:dyDescent="0.25">
      <c r="D42" s="758"/>
      <c r="E42" s="758"/>
      <c r="F42" s="25"/>
      <c r="G42" s="25"/>
      <c r="H42" s="25"/>
      <c r="I42" s="25"/>
      <c r="J42" s="25"/>
      <c r="K42" s="25"/>
      <c r="L42" s="25"/>
      <c r="M42" s="25"/>
    </row>
    <row r="43" spans="3:15" x14ac:dyDescent="0.25">
      <c r="D43" s="758"/>
      <c r="E43" s="758"/>
      <c r="F43" s="25"/>
      <c r="G43" s="25"/>
      <c r="H43" s="25"/>
      <c r="I43" s="25"/>
      <c r="J43" s="25"/>
      <c r="K43" s="25"/>
      <c r="L43" s="25"/>
      <c r="M43" s="25"/>
    </row>
    <row r="44" spans="3:15" x14ac:dyDescent="0.25">
      <c r="D44" s="758"/>
      <c r="E44" s="758"/>
      <c r="F44" s="25"/>
      <c r="G44" s="25"/>
      <c r="H44" s="25"/>
      <c r="I44" s="25"/>
      <c r="J44" s="25"/>
      <c r="K44" s="25"/>
      <c r="L44" s="25"/>
      <c r="M44" s="25"/>
    </row>
    <row r="45" spans="3:15" x14ac:dyDescent="0.25">
      <c r="D45" s="758"/>
      <c r="E45" s="758"/>
      <c r="F45" s="25"/>
      <c r="G45" s="25"/>
      <c r="H45" s="25"/>
      <c r="I45" s="25"/>
      <c r="J45" s="25"/>
      <c r="K45" s="25"/>
      <c r="L45" s="25"/>
      <c r="M45" s="25"/>
    </row>
    <row r="46" spans="3:15" x14ac:dyDescent="0.25">
      <c r="D46" s="758"/>
      <c r="E46" s="758"/>
      <c r="F46" s="25"/>
      <c r="G46" s="25"/>
      <c r="H46" s="25"/>
      <c r="I46" s="25"/>
      <c r="J46" s="25"/>
      <c r="K46" s="25"/>
      <c r="L46" s="25"/>
      <c r="M46" s="25"/>
    </row>
    <row r="47" spans="3:15" x14ac:dyDescent="0.25">
      <c r="D47" s="758"/>
      <c r="E47" s="758"/>
      <c r="F47" s="25"/>
      <c r="G47" s="25"/>
      <c r="H47" s="25"/>
      <c r="I47" s="25"/>
      <c r="J47" s="25"/>
      <c r="K47" s="25"/>
      <c r="L47" s="25"/>
      <c r="M47" s="25"/>
    </row>
    <row r="48" spans="3:15" x14ac:dyDescent="0.25">
      <c r="D48" s="758"/>
      <c r="E48" s="758"/>
      <c r="F48" s="25"/>
      <c r="G48" s="25"/>
      <c r="H48" s="25"/>
      <c r="I48" s="25"/>
      <c r="J48" s="25"/>
      <c r="K48" s="25"/>
      <c r="L48" s="25"/>
      <c r="M48" s="25"/>
    </row>
    <row r="49" spans="4:13" x14ac:dyDescent="0.25">
      <c r="D49" s="758"/>
      <c r="E49" s="758"/>
      <c r="F49" s="25"/>
      <c r="G49" s="25"/>
      <c r="H49" s="25"/>
      <c r="I49" s="25"/>
      <c r="J49" s="25"/>
      <c r="K49" s="25"/>
      <c r="L49" s="25"/>
      <c r="M49" s="25"/>
    </row>
    <row r="50" spans="4:13" x14ac:dyDescent="0.25">
      <c r="D50" s="758"/>
      <c r="E50" s="758"/>
      <c r="F50" s="25"/>
      <c r="G50" s="25"/>
      <c r="H50" s="25"/>
      <c r="I50" s="25"/>
      <c r="J50" s="25"/>
      <c r="K50" s="25"/>
      <c r="L50" s="25"/>
      <c r="M50" s="25"/>
    </row>
    <row r="51" spans="4:13" x14ac:dyDescent="0.25">
      <c r="D51" s="758"/>
      <c r="E51" s="758"/>
      <c r="F51" s="25"/>
      <c r="G51" s="25"/>
      <c r="H51" s="25"/>
      <c r="I51" s="25"/>
      <c r="J51" s="25"/>
      <c r="K51" s="25"/>
      <c r="L51" s="25"/>
      <c r="M51" s="25"/>
    </row>
    <row r="52" spans="4:13" x14ac:dyDescent="0.25">
      <c r="D52" s="758"/>
      <c r="E52" s="758"/>
      <c r="F52" s="25"/>
      <c r="G52" s="25"/>
      <c r="H52" s="25"/>
      <c r="I52" s="25"/>
      <c r="J52" s="25"/>
      <c r="K52" s="25"/>
      <c r="L52" s="25"/>
      <c r="M52" s="25"/>
    </row>
    <row r="53" spans="4:13" x14ac:dyDescent="0.25">
      <c r="D53" s="758"/>
      <c r="E53" s="758"/>
      <c r="F53" s="25"/>
      <c r="G53" s="25"/>
      <c r="H53" s="25"/>
      <c r="I53" s="25"/>
      <c r="J53" s="25"/>
      <c r="K53" s="25"/>
      <c r="L53" s="25"/>
      <c r="M53" s="25"/>
    </row>
    <row r="54" spans="4:13" x14ac:dyDescent="0.25">
      <c r="D54" s="758"/>
      <c r="E54" s="758"/>
      <c r="F54" s="25"/>
      <c r="G54" s="25"/>
      <c r="H54" s="25"/>
      <c r="I54" s="25"/>
      <c r="J54" s="25"/>
      <c r="K54" s="25"/>
      <c r="L54" s="25"/>
      <c r="M54" s="25"/>
    </row>
    <row r="55" spans="4:13" x14ac:dyDescent="0.25">
      <c r="D55" s="758"/>
      <c r="E55" s="758"/>
      <c r="F55" s="25"/>
      <c r="G55" s="25"/>
      <c r="H55" s="25"/>
      <c r="I55" s="25"/>
      <c r="J55" s="25"/>
      <c r="K55" s="25"/>
      <c r="L55" s="25"/>
      <c r="M55" s="25"/>
    </row>
    <row r="56" spans="4:13" x14ac:dyDescent="0.25">
      <c r="D56" s="758"/>
      <c r="E56" s="758"/>
      <c r="F56" s="25"/>
      <c r="G56" s="25"/>
      <c r="H56" s="25"/>
      <c r="I56" s="25"/>
      <c r="J56" s="25"/>
      <c r="K56" s="25"/>
      <c r="L56" s="25"/>
      <c r="M56" s="25"/>
    </row>
    <row r="57" spans="4:13" x14ac:dyDescent="0.25">
      <c r="D57" s="758"/>
      <c r="E57" s="758"/>
      <c r="F57" s="25"/>
      <c r="G57" s="25"/>
      <c r="H57" s="25"/>
      <c r="I57" s="25"/>
      <c r="J57" s="25"/>
      <c r="K57" s="25"/>
      <c r="L57" s="25"/>
      <c r="M57" s="25"/>
    </row>
    <row r="58" spans="4:13" x14ac:dyDescent="0.25">
      <c r="D58" s="758"/>
      <c r="E58" s="758"/>
      <c r="F58" s="25"/>
      <c r="G58" s="25"/>
      <c r="H58" s="25"/>
      <c r="I58" s="25"/>
      <c r="J58" s="25"/>
      <c r="K58" s="25"/>
      <c r="L58" s="25"/>
      <c r="M58" s="25"/>
    </row>
    <row r="59" spans="4:13" x14ac:dyDescent="0.25">
      <c r="D59" s="758"/>
      <c r="E59" s="758"/>
      <c r="F59" s="25"/>
      <c r="G59" s="25"/>
      <c r="H59" s="25"/>
      <c r="I59" s="25"/>
      <c r="J59" s="25"/>
      <c r="K59" s="25"/>
      <c r="L59" s="25"/>
      <c r="M59" s="25"/>
    </row>
    <row r="60" spans="4:13" x14ac:dyDescent="0.25">
      <c r="D60" s="758"/>
      <c r="E60" s="758"/>
      <c r="F60" s="25"/>
      <c r="G60" s="25"/>
      <c r="H60" s="25"/>
      <c r="I60" s="25"/>
      <c r="J60" s="25"/>
      <c r="K60" s="25"/>
      <c r="L60" s="25"/>
      <c r="M60" s="25"/>
    </row>
    <row r="61" spans="4:13" x14ac:dyDescent="0.25">
      <c r="D61" s="758"/>
      <c r="E61" s="758"/>
      <c r="F61" s="25"/>
      <c r="G61" s="25"/>
      <c r="H61" s="25"/>
      <c r="I61" s="25"/>
      <c r="J61" s="25"/>
      <c r="K61" s="25"/>
      <c r="L61" s="25"/>
      <c r="M61" s="25"/>
    </row>
    <row r="62" spans="4:13" x14ac:dyDescent="0.25">
      <c r="D62" s="758"/>
      <c r="E62" s="758"/>
      <c r="F62" s="25"/>
      <c r="G62" s="25"/>
      <c r="H62" s="25"/>
      <c r="I62" s="25"/>
      <c r="J62" s="25"/>
      <c r="K62" s="25"/>
      <c r="L62" s="25"/>
      <c r="M62" s="25"/>
    </row>
    <row r="63" spans="4:13" x14ac:dyDescent="0.25">
      <c r="D63" s="758"/>
      <c r="E63" s="758"/>
      <c r="F63" s="25"/>
      <c r="G63" s="25"/>
      <c r="H63" s="25"/>
      <c r="I63" s="25"/>
      <c r="J63" s="25"/>
      <c r="K63" s="25"/>
      <c r="L63" s="25"/>
      <c r="M63" s="25"/>
    </row>
    <row r="64" spans="4:13" x14ac:dyDescent="0.25">
      <c r="D64" s="758"/>
      <c r="E64" s="758"/>
      <c r="F64" s="25"/>
      <c r="G64" s="25"/>
      <c r="H64" s="25"/>
      <c r="I64" s="25"/>
      <c r="J64" s="25"/>
      <c r="K64" s="25"/>
      <c r="L64" s="25"/>
      <c r="M64" s="25"/>
    </row>
    <row r="65" spans="4:13" x14ac:dyDescent="0.25">
      <c r="D65" s="758"/>
      <c r="E65" s="758"/>
      <c r="F65" s="25"/>
      <c r="G65" s="25"/>
      <c r="H65" s="25"/>
      <c r="I65" s="25"/>
      <c r="J65" s="25"/>
      <c r="K65" s="25"/>
      <c r="L65" s="25"/>
      <c r="M65" s="25"/>
    </row>
    <row r="66" spans="4:13" x14ac:dyDescent="0.25">
      <c r="D66" s="758"/>
      <c r="E66" s="758"/>
      <c r="F66" s="25"/>
      <c r="G66" s="25"/>
      <c r="H66" s="25"/>
      <c r="I66" s="25"/>
      <c r="J66" s="25"/>
      <c r="K66" s="25"/>
      <c r="L66" s="25"/>
      <c r="M66" s="25"/>
    </row>
    <row r="67" spans="4:13" x14ac:dyDescent="0.25">
      <c r="D67" s="758"/>
      <c r="E67" s="758"/>
      <c r="F67" s="25"/>
      <c r="G67" s="25"/>
      <c r="H67" s="25"/>
      <c r="I67" s="25"/>
      <c r="J67" s="25"/>
      <c r="K67" s="25"/>
      <c r="L67" s="25"/>
      <c r="M67" s="25"/>
    </row>
    <row r="68" spans="4:13" x14ac:dyDescent="0.25">
      <c r="D68" s="758"/>
      <c r="E68" s="758"/>
      <c r="F68" s="25"/>
      <c r="G68" s="25"/>
      <c r="H68" s="25"/>
      <c r="I68" s="25"/>
      <c r="J68" s="25"/>
      <c r="K68" s="25"/>
      <c r="L68" s="25"/>
      <c r="M68" s="25"/>
    </row>
    <row r="69" spans="4:13" x14ac:dyDescent="0.25">
      <c r="D69" s="758"/>
      <c r="E69" s="758"/>
      <c r="F69" s="25"/>
      <c r="G69" s="25"/>
      <c r="H69" s="25"/>
      <c r="I69" s="25"/>
      <c r="J69" s="25"/>
      <c r="K69" s="25"/>
      <c r="L69" s="25"/>
      <c r="M69" s="25"/>
    </row>
    <row r="70" spans="4:13" x14ac:dyDescent="0.25">
      <c r="D70" s="758"/>
      <c r="E70" s="758"/>
      <c r="F70" s="25"/>
      <c r="G70" s="25"/>
      <c r="H70" s="25"/>
      <c r="I70" s="25"/>
      <c r="J70" s="25"/>
      <c r="K70" s="25"/>
      <c r="L70" s="25"/>
      <c r="M70" s="25"/>
    </row>
    <row r="71" spans="4:13" x14ac:dyDescent="0.25">
      <c r="D71" s="758"/>
      <c r="E71" s="758"/>
      <c r="F71" s="25"/>
      <c r="G71" s="25"/>
      <c r="H71" s="25"/>
      <c r="I71" s="25"/>
      <c r="J71" s="25"/>
      <c r="K71" s="25"/>
      <c r="L71" s="25"/>
      <c r="M71" s="25"/>
    </row>
    <row r="75" spans="4:13" x14ac:dyDescent="0.25">
      <c r="D75" s="19" t="s">
        <v>24</v>
      </c>
      <c r="E75" s="20"/>
      <c r="F75" s="26"/>
      <c r="G75" s="26"/>
      <c r="H75" s="26"/>
      <c r="I75" s="26"/>
      <c r="J75" s="26"/>
      <c r="K75" s="26"/>
      <c r="L75" s="26"/>
      <c r="M75" s="26"/>
    </row>
    <row r="76" spans="4:13" x14ac:dyDescent="0.25">
      <c r="D76" s="189"/>
      <c r="E76" s="189"/>
      <c r="F76" s="25"/>
      <c r="G76" s="25"/>
      <c r="H76" s="25"/>
      <c r="I76" s="25"/>
      <c r="J76" s="25"/>
      <c r="K76" s="25"/>
      <c r="L76" s="25"/>
      <c r="M76" s="25"/>
    </row>
    <row r="77" spans="4:13" x14ac:dyDescent="0.25">
      <c r="D77" s="189"/>
      <c r="E77" s="189"/>
      <c r="F77" s="25"/>
      <c r="G77" s="25"/>
      <c r="H77" s="25"/>
      <c r="I77" s="25"/>
      <c r="J77" s="25"/>
      <c r="K77" s="25"/>
      <c r="L77" s="25"/>
      <c r="M77" s="25"/>
    </row>
    <row r="78" spans="4:13" x14ac:dyDescent="0.25">
      <c r="D78" s="189"/>
      <c r="E78" s="189"/>
      <c r="F78" s="25"/>
      <c r="G78" s="25"/>
      <c r="H78" s="25"/>
      <c r="I78" s="25"/>
      <c r="J78" s="25"/>
      <c r="K78" s="25"/>
      <c r="L78" s="25"/>
      <c r="M78" s="25"/>
    </row>
    <row r="79" spans="4:13" x14ac:dyDescent="0.25">
      <c r="D79" s="189"/>
      <c r="E79" s="189"/>
      <c r="F79" s="25"/>
      <c r="G79" s="25"/>
      <c r="H79" s="25"/>
      <c r="I79" s="25"/>
      <c r="J79" s="25"/>
      <c r="K79" s="25"/>
      <c r="L79" s="25"/>
      <c r="M79" s="25"/>
    </row>
    <row r="80" spans="4:13" x14ac:dyDescent="0.25">
      <c r="D80" s="758"/>
      <c r="E80" s="758"/>
      <c r="F80" s="25"/>
      <c r="G80" s="25"/>
      <c r="H80" s="25"/>
      <c r="I80" s="25"/>
      <c r="J80" s="25"/>
      <c r="K80" s="25"/>
      <c r="L80" s="25"/>
      <c r="M80" s="25"/>
    </row>
    <row r="81" spans="4:13" x14ac:dyDescent="0.25">
      <c r="D81" s="758"/>
      <c r="E81" s="758"/>
      <c r="F81" s="25"/>
      <c r="G81" s="25"/>
      <c r="H81" s="25"/>
      <c r="I81" s="25"/>
      <c r="J81" s="25"/>
      <c r="K81" s="25"/>
      <c r="L81" s="25"/>
      <c r="M81" s="25"/>
    </row>
    <row r="82" spans="4:13" x14ac:dyDescent="0.25">
      <c r="D82" s="758"/>
      <c r="E82" s="758"/>
      <c r="F82" s="25"/>
      <c r="G82" s="25"/>
      <c r="H82" s="25"/>
      <c r="I82" s="25"/>
      <c r="J82" s="25"/>
      <c r="K82" s="25"/>
      <c r="L82" s="25"/>
      <c r="M82" s="25"/>
    </row>
    <row r="83" spans="4:13" x14ac:dyDescent="0.25">
      <c r="D83" s="758"/>
      <c r="E83" s="758"/>
      <c r="F83" s="25"/>
      <c r="G83" s="25"/>
      <c r="H83" s="25"/>
      <c r="I83" s="25"/>
      <c r="J83" s="25"/>
      <c r="K83" s="25"/>
      <c r="L83" s="25"/>
      <c r="M83" s="25"/>
    </row>
    <row r="87" spans="4:13" x14ac:dyDescent="0.25">
      <c r="D87" s="19" t="s">
        <v>25</v>
      </c>
      <c r="E87" s="20"/>
      <c r="F87" s="26"/>
      <c r="G87" s="26"/>
      <c r="H87" s="26"/>
      <c r="I87" s="26"/>
      <c r="J87" s="26"/>
      <c r="K87" s="26"/>
      <c r="L87" s="26"/>
      <c r="M87" s="26"/>
    </row>
    <row r="88" spans="4:13" x14ac:dyDescent="0.25">
      <c r="D88" s="189"/>
      <c r="E88" s="189"/>
      <c r="F88" s="25"/>
      <c r="G88" s="25"/>
      <c r="H88" s="25"/>
      <c r="I88" s="25"/>
      <c r="J88" s="25"/>
      <c r="K88" s="25"/>
      <c r="L88" s="25"/>
      <c r="M88" s="25"/>
    </row>
    <row r="89" spans="4:13" x14ac:dyDescent="0.25">
      <c r="D89" s="189"/>
      <c r="E89" s="189"/>
      <c r="F89" s="25"/>
      <c r="G89" s="25"/>
      <c r="H89" s="25"/>
      <c r="I89" s="25"/>
      <c r="J89" s="25"/>
      <c r="K89" s="25"/>
      <c r="L89" s="25"/>
      <c r="M89" s="25"/>
    </row>
    <row r="90" spans="4:13" x14ac:dyDescent="0.25">
      <c r="D90" s="189"/>
      <c r="E90" s="189"/>
      <c r="F90" s="25"/>
      <c r="G90" s="25"/>
      <c r="H90" s="25"/>
      <c r="I90" s="25"/>
      <c r="J90" s="25"/>
      <c r="K90" s="25"/>
      <c r="L90" s="25"/>
      <c r="M90" s="25"/>
    </row>
    <row r="91" spans="4:13" x14ac:dyDescent="0.25">
      <c r="D91" s="189"/>
      <c r="E91" s="189"/>
      <c r="F91" s="25"/>
      <c r="G91" s="25"/>
      <c r="H91" s="25"/>
      <c r="I91" s="25"/>
      <c r="J91" s="25"/>
      <c r="K91" s="25"/>
      <c r="L91" s="25"/>
      <c r="M91" s="25"/>
    </row>
    <row r="92" spans="4:13" x14ac:dyDescent="0.25">
      <c r="D92" s="758"/>
      <c r="E92" s="758"/>
      <c r="F92" s="25"/>
      <c r="G92" s="25"/>
      <c r="H92" s="25"/>
      <c r="I92" s="25"/>
      <c r="J92" s="25"/>
      <c r="K92" s="25"/>
      <c r="L92" s="25"/>
      <c r="M92" s="25"/>
    </row>
    <row r="93" spans="4:13" x14ac:dyDescent="0.25">
      <c r="D93" s="758"/>
      <c r="E93" s="758"/>
      <c r="F93" s="25"/>
      <c r="G93" s="25"/>
      <c r="H93" s="25"/>
      <c r="I93" s="25"/>
      <c r="J93" s="25"/>
      <c r="K93" s="25"/>
      <c r="L93" s="25"/>
      <c r="M93" s="25"/>
    </row>
    <row r="94" spans="4:13" x14ac:dyDescent="0.25">
      <c r="D94" s="758"/>
      <c r="E94" s="758"/>
      <c r="F94" s="25"/>
      <c r="G94" s="25"/>
      <c r="H94" s="25"/>
      <c r="I94" s="25"/>
      <c r="J94" s="25"/>
      <c r="K94" s="25"/>
      <c r="L94" s="25"/>
      <c r="M94" s="25"/>
    </row>
    <row r="95" spans="4:13" x14ac:dyDescent="0.25">
      <c r="D95" s="758"/>
      <c r="E95" s="758"/>
      <c r="F95" s="25"/>
      <c r="G95" s="25"/>
      <c r="H95" s="25"/>
      <c r="I95" s="25"/>
      <c r="J95" s="25"/>
      <c r="K95" s="25"/>
      <c r="L95" s="25"/>
      <c r="M95" s="25"/>
    </row>
    <row r="96" spans="4:13" x14ac:dyDescent="0.25">
      <c r="D96" s="758"/>
      <c r="E96" s="758"/>
      <c r="F96" s="25"/>
      <c r="G96" s="25"/>
      <c r="H96" s="25"/>
      <c r="I96" s="25"/>
      <c r="J96" s="25"/>
      <c r="K96" s="25"/>
      <c r="L96" s="25"/>
      <c r="M96" s="25"/>
    </row>
    <row r="97" spans="4:13" x14ac:dyDescent="0.25">
      <c r="D97" s="758"/>
      <c r="E97" s="758"/>
      <c r="F97" s="25"/>
      <c r="G97" s="25"/>
      <c r="H97" s="25"/>
      <c r="I97" s="25"/>
      <c r="J97" s="25"/>
      <c r="K97" s="25"/>
      <c r="L97" s="25"/>
      <c r="M97" s="25"/>
    </row>
    <row r="98" spans="4:13" x14ac:dyDescent="0.25">
      <c r="D98" s="758"/>
      <c r="E98" s="758"/>
      <c r="F98" s="25"/>
      <c r="G98" s="25"/>
      <c r="H98" s="25"/>
      <c r="I98" s="25"/>
      <c r="J98" s="25"/>
      <c r="K98" s="25"/>
      <c r="L98" s="25"/>
      <c r="M98" s="25"/>
    </row>
    <row r="99" spans="4:13" x14ac:dyDescent="0.25">
      <c r="D99" s="758"/>
      <c r="E99" s="758"/>
      <c r="F99" s="25"/>
      <c r="G99" s="25"/>
      <c r="H99" s="25"/>
      <c r="I99" s="25"/>
      <c r="J99" s="25"/>
      <c r="K99" s="25"/>
      <c r="L99" s="25"/>
      <c r="M99" s="25"/>
    </row>
    <row r="100" spans="4:13" x14ac:dyDescent="0.25">
      <c r="D100" s="758"/>
      <c r="E100" s="758"/>
      <c r="F100" s="25"/>
      <c r="G100" s="25"/>
      <c r="H100" s="25"/>
      <c r="I100" s="25"/>
      <c r="J100" s="25"/>
      <c r="K100" s="25"/>
      <c r="L100" s="25"/>
      <c r="M100" s="25"/>
    </row>
    <row r="101" spans="4:13" x14ac:dyDescent="0.25">
      <c r="D101" s="758"/>
      <c r="E101" s="758"/>
      <c r="F101" s="25"/>
      <c r="G101" s="25"/>
      <c r="H101" s="25"/>
      <c r="I101" s="25"/>
      <c r="J101" s="25"/>
      <c r="K101" s="25"/>
      <c r="L101" s="25"/>
      <c r="M101" s="25"/>
    </row>
    <row r="102" spans="4:13" x14ac:dyDescent="0.25">
      <c r="D102" s="758"/>
      <c r="E102" s="758"/>
      <c r="F102" s="25"/>
      <c r="G102" s="25"/>
      <c r="H102" s="25"/>
      <c r="I102" s="25"/>
      <c r="J102" s="25"/>
      <c r="K102" s="25"/>
      <c r="L102" s="25"/>
      <c r="M102" s="25"/>
    </row>
    <row r="103" spans="4:13" x14ac:dyDescent="0.25">
      <c r="D103" s="758"/>
      <c r="E103" s="758"/>
      <c r="F103" s="25"/>
      <c r="G103" s="25"/>
      <c r="H103" s="25"/>
      <c r="I103" s="25"/>
      <c r="J103" s="25"/>
      <c r="K103" s="25"/>
      <c r="L103" s="25"/>
      <c r="M103" s="25"/>
    </row>
    <row r="107" spans="4:13" x14ac:dyDescent="0.25">
      <c r="D107" s="19" t="s">
        <v>26</v>
      </c>
      <c r="E107" s="20"/>
      <c r="F107" s="26"/>
      <c r="G107" s="26"/>
      <c r="H107" s="26"/>
      <c r="I107" s="26"/>
      <c r="J107" s="26"/>
      <c r="K107" s="26"/>
      <c r="L107" s="26"/>
      <c r="M107" s="26"/>
    </row>
    <row r="108" spans="4:13" x14ac:dyDescent="0.25">
      <c r="D108" s="189"/>
      <c r="E108" s="189"/>
      <c r="F108" s="25"/>
      <c r="G108" s="25"/>
      <c r="H108" s="25"/>
      <c r="I108" s="25"/>
      <c r="J108" s="25"/>
      <c r="K108" s="25"/>
      <c r="L108" s="25"/>
      <c r="M108" s="25"/>
    </row>
    <row r="109" spans="4:13" x14ac:dyDescent="0.25">
      <c r="D109" s="189"/>
      <c r="E109" s="189"/>
      <c r="F109" s="25"/>
      <c r="G109" s="25"/>
      <c r="H109" s="25"/>
      <c r="I109" s="25"/>
      <c r="J109" s="25"/>
      <c r="K109" s="25"/>
      <c r="L109" s="25"/>
      <c r="M109" s="25"/>
    </row>
    <row r="110" spans="4:13" x14ac:dyDescent="0.25">
      <c r="D110" s="189"/>
      <c r="E110" s="189"/>
      <c r="F110" s="25"/>
      <c r="G110" s="25"/>
      <c r="H110" s="25"/>
      <c r="I110" s="25"/>
      <c r="J110" s="25"/>
      <c r="K110" s="25"/>
      <c r="L110" s="25"/>
      <c r="M110" s="25"/>
    </row>
    <row r="111" spans="4:13" x14ac:dyDescent="0.25">
      <c r="D111" s="189"/>
      <c r="E111" s="189"/>
      <c r="F111" s="25"/>
      <c r="G111" s="25"/>
      <c r="H111" s="25"/>
      <c r="I111" s="25"/>
      <c r="J111" s="25"/>
      <c r="K111" s="25"/>
      <c r="L111" s="25"/>
      <c r="M111" s="25"/>
    </row>
    <row r="112" spans="4:13" x14ac:dyDescent="0.25">
      <c r="D112" s="758"/>
      <c r="E112" s="758"/>
      <c r="F112" s="25"/>
      <c r="G112" s="25"/>
      <c r="H112" s="25"/>
      <c r="I112" s="25"/>
      <c r="J112" s="25"/>
      <c r="K112" s="25"/>
      <c r="L112" s="25"/>
      <c r="M112" s="25"/>
    </row>
    <row r="113" spans="4:13" x14ac:dyDescent="0.25">
      <c r="D113" s="758"/>
      <c r="E113" s="758"/>
      <c r="F113" s="25"/>
      <c r="G113" s="25"/>
      <c r="H113" s="25"/>
      <c r="I113" s="25"/>
      <c r="J113" s="25"/>
      <c r="K113" s="25"/>
      <c r="L113" s="25"/>
      <c r="M113" s="25"/>
    </row>
    <row r="114" spans="4:13" x14ac:dyDescent="0.25">
      <c r="D114" s="758"/>
      <c r="E114" s="758"/>
      <c r="F114" s="25"/>
      <c r="G114" s="25"/>
      <c r="H114" s="25"/>
      <c r="I114" s="25"/>
      <c r="J114" s="25"/>
      <c r="K114" s="25"/>
      <c r="L114" s="25"/>
      <c r="M114" s="25"/>
    </row>
    <row r="115" spans="4:13" x14ac:dyDescent="0.25">
      <c r="D115" s="758"/>
      <c r="E115" s="758"/>
      <c r="F115" s="25"/>
      <c r="G115" s="25"/>
      <c r="H115" s="25"/>
      <c r="I115" s="25"/>
      <c r="J115" s="25"/>
      <c r="K115" s="25"/>
      <c r="L115" s="25"/>
      <c r="M115" s="25"/>
    </row>
    <row r="119" spans="4:13" x14ac:dyDescent="0.25">
      <c r="D119" s="19" t="s">
        <v>27</v>
      </c>
      <c r="E119" s="20"/>
      <c r="F119" s="26"/>
      <c r="G119" s="26"/>
      <c r="H119" s="26"/>
      <c r="I119" s="26"/>
      <c r="J119" s="26"/>
      <c r="K119" s="26"/>
      <c r="L119" s="26"/>
      <c r="M119" s="26"/>
    </row>
    <row r="120" spans="4:13" x14ac:dyDescent="0.25">
      <c r="D120" s="189"/>
      <c r="E120" s="189"/>
      <c r="F120" s="25"/>
      <c r="G120" s="25"/>
      <c r="H120" s="25"/>
      <c r="I120" s="25"/>
      <c r="J120" s="25"/>
      <c r="K120" s="25"/>
      <c r="L120" s="25"/>
      <c r="M120" s="25"/>
    </row>
    <row r="121" spans="4:13" x14ac:dyDescent="0.25">
      <c r="D121" s="189"/>
      <c r="E121" s="189"/>
      <c r="F121" s="25"/>
      <c r="G121" s="25"/>
      <c r="H121" s="25"/>
      <c r="I121" s="25"/>
      <c r="J121" s="25"/>
      <c r="K121" s="25"/>
      <c r="L121" s="25"/>
      <c r="M121" s="25"/>
    </row>
    <row r="122" spans="4:13" x14ac:dyDescent="0.25">
      <c r="D122" s="189"/>
      <c r="E122" s="189"/>
      <c r="F122" s="25"/>
      <c r="G122" s="25"/>
      <c r="H122" s="25"/>
      <c r="I122" s="25"/>
      <c r="J122" s="25"/>
      <c r="K122" s="25"/>
      <c r="L122" s="25"/>
      <c r="M122" s="25"/>
    </row>
    <row r="123" spans="4:13" x14ac:dyDescent="0.25">
      <c r="D123" s="189"/>
      <c r="E123" s="189"/>
      <c r="F123" s="25"/>
      <c r="G123" s="25"/>
      <c r="H123" s="25"/>
      <c r="I123" s="25"/>
      <c r="J123" s="25"/>
      <c r="K123" s="25"/>
      <c r="L123" s="25"/>
      <c r="M123" s="25"/>
    </row>
    <row r="124" spans="4:13" x14ac:dyDescent="0.25">
      <c r="D124" s="758"/>
      <c r="E124" s="758"/>
      <c r="F124" s="25"/>
      <c r="G124" s="25"/>
      <c r="H124" s="25"/>
      <c r="I124" s="25"/>
      <c r="J124" s="25"/>
      <c r="K124" s="25"/>
      <c r="L124" s="25"/>
      <c r="M124" s="25"/>
    </row>
    <row r="125" spans="4:13" x14ac:dyDescent="0.25">
      <c r="D125" s="758"/>
      <c r="E125" s="758"/>
      <c r="F125" s="25"/>
      <c r="G125" s="25"/>
      <c r="H125" s="25"/>
      <c r="I125" s="25"/>
      <c r="J125" s="25"/>
      <c r="K125" s="25"/>
      <c r="L125" s="25"/>
      <c r="M125" s="25"/>
    </row>
    <row r="126" spans="4:13" x14ac:dyDescent="0.25">
      <c r="D126" s="758"/>
      <c r="E126" s="758"/>
      <c r="F126" s="25"/>
      <c r="G126" s="25"/>
      <c r="H126" s="25"/>
      <c r="I126" s="25"/>
      <c r="J126" s="25"/>
      <c r="K126" s="25"/>
      <c r="L126" s="25"/>
      <c r="M126" s="25"/>
    </row>
    <row r="127" spans="4:13" x14ac:dyDescent="0.25">
      <c r="D127" s="758"/>
      <c r="E127" s="758"/>
      <c r="F127" s="25"/>
      <c r="G127" s="25"/>
      <c r="H127" s="25"/>
      <c r="I127" s="25"/>
      <c r="J127" s="25"/>
      <c r="K127" s="25"/>
      <c r="L127" s="25"/>
      <c r="M127" s="25"/>
    </row>
    <row r="131" spans="4:13" x14ac:dyDescent="0.25">
      <c r="D131" s="19" t="s">
        <v>28</v>
      </c>
      <c r="E131" s="20"/>
      <c r="F131" s="26"/>
      <c r="G131" s="26"/>
      <c r="H131" s="26"/>
      <c r="I131" s="26"/>
      <c r="J131" s="26"/>
      <c r="K131" s="26"/>
      <c r="L131" s="26"/>
      <c r="M131" s="26"/>
    </row>
    <row r="132" spans="4:13" x14ac:dyDescent="0.25">
      <c r="D132" s="189"/>
      <c r="E132" s="189"/>
      <c r="F132" s="25"/>
      <c r="G132" s="25"/>
      <c r="H132" s="25"/>
      <c r="I132" s="25"/>
      <c r="J132" s="25"/>
      <c r="K132" s="25"/>
      <c r="L132" s="25"/>
      <c r="M132" s="25"/>
    </row>
    <row r="133" spans="4:13" x14ac:dyDescent="0.25">
      <c r="D133" s="189"/>
      <c r="E133" s="189"/>
      <c r="F133" s="25"/>
      <c r="G133" s="25"/>
      <c r="H133" s="25"/>
      <c r="I133" s="25"/>
      <c r="J133" s="25"/>
      <c r="K133" s="25"/>
      <c r="L133" s="25"/>
      <c r="M133" s="25"/>
    </row>
    <row r="134" spans="4:13" x14ac:dyDescent="0.25">
      <c r="D134" s="189"/>
      <c r="E134" s="189"/>
      <c r="F134" s="25"/>
      <c r="G134" s="25"/>
      <c r="H134" s="25"/>
      <c r="I134" s="25"/>
      <c r="J134" s="25"/>
      <c r="K134" s="25"/>
      <c r="L134" s="25"/>
      <c r="M134" s="25"/>
    </row>
    <row r="135" spans="4:13" x14ac:dyDescent="0.25">
      <c r="D135" s="189"/>
      <c r="E135" s="189"/>
      <c r="F135" s="25"/>
      <c r="G135" s="25"/>
      <c r="H135" s="25"/>
      <c r="I135" s="25"/>
      <c r="J135" s="25"/>
      <c r="K135" s="25"/>
      <c r="L135" s="25"/>
      <c r="M135" s="25"/>
    </row>
    <row r="136" spans="4:13" x14ac:dyDescent="0.25">
      <c r="D136" s="758"/>
      <c r="E136" s="758"/>
      <c r="F136" s="25"/>
      <c r="G136" s="25"/>
      <c r="H136" s="25"/>
      <c r="I136" s="25"/>
      <c r="J136" s="25"/>
      <c r="K136" s="25"/>
      <c r="L136" s="25"/>
      <c r="M136" s="25"/>
    </row>
    <row r="137" spans="4:13" x14ac:dyDescent="0.25">
      <c r="D137" s="758"/>
      <c r="E137" s="758"/>
      <c r="F137" s="25"/>
      <c r="G137" s="25"/>
      <c r="H137" s="25"/>
      <c r="I137" s="25"/>
      <c r="J137" s="25"/>
      <c r="K137" s="25"/>
      <c r="L137" s="25"/>
      <c r="M137" s="25"/>
    </row>
    <row r="138" spans="4:13" x14ac:dyDescent="0.25">
      <c r="D138" s="758"/>
      <c r="E138" s="758"/>
      <c r="F138" s="25"/>
      <c r="G138" s="25"/>
      <c r="H138" s="25"/>
      <c r="I138" s="25"/>
      <c r="J138" s="25"/>
      <c r="K138" s="25"/>
      <c r="L138" s="25"/>
      <c r="M138" s="25"/>
    </row>
    <row r="139" spans="4:13" x14ac:dyDescent="0.25">
      <c r="D139" s="758"/>
      <c r="E139" s="758"/>
      <c r="F139" s="25"/>
      <c r="G139" s="25"/>
      <c r="H139" s="25"/>
      <c r="I139" s="25"/>
      <c r="J139" s="25"/>
      <c r="K139" s="25"/>
      <c r="L139" s="25"/>
      <c r="M139" s="25"/>
    </row>
    <row r="140" spans="4:13" x14ac:dyDescent="0.25">
      <c r="D140" s="758"/>
      <c r="E140" s="758"/>
      <c r="F140" s="25"/>
      <c r="G140" s="25"/>
      <c r="H140" s="25"/>
      <c r="I140" s="25"/>
      <c r="J140" s="25"/>
      <c r="K140" s="25"/>
      <c r="L140" s="25"/>
      <c r="M140" s="25"/>
    </row>
    <row r="141" spans="4:13" x14ac:dyDescent="0.25">
      <c r="D141" s="758"/>
      <c r="E141" s="758"/>
      <c r="F141" s="25"/>
      <c r="G141" s="25"/>
      <c r="H141" s="25"/>
      <c r="I141" s="25"/>
      <c r="J141" s="25"/>
      <c r="K141" s="25"/>
      <c r="L141" s="25"/>
      <c r="M141" s="25"/>
    </row>
    <row r="142" spans="4:13" x14ac:dyDescent="0.25">
      <c r="D142" s="758"/>
      <c r="E142" s="758"/>
      <c r="F142" s="25"/>
      <c r="G142" s="25"/>
      <c r="H142" s="25"/>
      <c r="I142" s="25"/>
      <c r="J142" s="25"/>
      <c r="K142" s="25"/>
      <c r="L142" s="25"/>
      <c r="M142" s="25"/>
    </row>
    <row r="143" spans="4:13" x14ac:dyDescent="0.25">
      <c r="D143" s="758"/>
      <c r="E143" s="758"/>
      <c r="F143" s="25"/>
      <c r="G143" s="25"/>
      <c r="H143" s="25"/>
      <c r="I143" s="25"/>
      <c r="J143" s="25"/>
      <c r="K143" s="25"/>
      <c r="L143" s="25"/>
      <c r="M143" s="25"/>
    </row>
    <row r="144" spans="4:13" x14ac:dyDescent="0.25">
      <c r="D144" s="758"/>
      <c r="E144" s="758"/>
      <c r="F144" s="25"/>
      <c r="G144" s="25"/>
      <c r="H144" s="25"/>
      <c r="I144" s="25"/>
      <c r="J144" s="25"/>
      <c r="K144" s="25"/>
      <c r="L144" s="25"/>
      <c r="M144" s="25"/>
    </row>
    <row r="145" spans="4:13" x14ac:dyDescent="0.25">
      <c r="D145" s="758"/>
      <c r="E145" s="758"/>
      <c r="F145" s="25"/>
      <c r="G145" s="25"/>
      <c r="H145" s="25"/>
      <c r="I145" s="25"/>
      <c r="J145" s="25"/>
      <c r="K145" s="25"/>
      <c r="L145" s="25"/>
      <c r="M145" s="25"/>
    </row>
    <row r="146" spans="4:13" x14ac:dyDescent="0.25">
      <c r="D146" s="758"/>
      <c r="E146" s="758"/>
      <c r="F146" s="25"/>
      <c r="G146" s="25"/>
      <c r="H146" s="25"/>
      <c r="I146" s="25"/>
      <c r="J146" s="25"/>
      <c r="K146" s="25"/>
      <c r="L146" s="25"/>
      <c r="M146" s="25"/>
    </row>
    <row r="147" spans="4:13" x14ac:dyDescent="0.25">
      <c r="D147" s="758"/>
      <c r="E147" s="758"/>
      <c r="F147" s="25"/>
      <c r="G147" s="25"/>
      <c r="H147" s="25"/>
      <c r="I147" s="25"/>
      <c r="J147" s="25"/>
      <c r="K147" s="25"/>
      <c r="L147" s="25"/>
      <c r="M147" s="25"/>
    </row>
    <row r="148" spans="4:13" x14ac:dyDescent="0.25">
      <c r="D148" s="758"/>
      <c r="E148" s="758"/>
      <c r="F148" s="25"/>
      <c r="G148" s="25"/>
      <c r="H148" s="25"/>
      <c r="I148" s="25"/>
      <c r="J148" s="25"/>
      <c r="K148" s="25"/>
      <c r="L148" s="25"/>
      <c r="M148" s="25"/>
    </row>
  </sheetData>
  <mergeCells count="1">
    <mergeCell ref="D8:E1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T129"/>
  <sheetViews>
    <sheetView topLeftCell="G15" zoomScale="70" zoomScaleNormal="70" workbookViewId="0"/>
  </sheetViews>
  <sheetFormatPr defaultRowHeight="15" x14ac:dyDescent="0.25"/>
  <cols>
    <col min="2" max="2" width="22" customWidth="1"/>
    <col min="3" max="3" width="20.42578125" customWidth="1"/>
    <col min="4" max="4" width="17.85546875" customWidth="1"/>
    <col min="5" max="5" width="14.42578125" customWidth="1"/>
    <col min="6" max="6" width="14" customWidth="1"/>
    <col min="7" max="7" width="12" customWidth="1"/>
    <col min="8" max="8" width="7.140625" customWidth="1"/>
    <col min="9" max="9" width="11.140625" customWidth="1"/>
    <col min="10" max="10" width="11" customWidth="1"/>
    <col min="11" max="11" width="13.140625" customWidth="1"/>
    <col min="12" max="12" width="12.140625" customWidth="1"/>
    <col min="13" max="13" width="12.85546875" customWidth="1"/>
    <col min="14" max="14" width="12.42578125" customWidth="1"/>
    <col min="28" max="28" width="14" customWidth="1"/>
    <col min="29" max="29" width="13" customWidth="1"/>
    <col min="31" max="31" width="15.5703125" customWidth="1"/>
    <col min="37" max="37" width="9.85546875" customWidth="1"/>
    <col min="38" max="38" width="13.140625" customWidth="1"/>
    <col min="39" max="39" width="15.140625" customWidth="1"/>
  </cols>
  <sheetData>
    <row r="1" spans="1:6" ht="21" x14ac:dyDescent="0.35">
      <c r="A1" s="1" t="s">
        <v>29</v>
      </c>
    </row>
    <row r="2" spans="1:6" x14ac:dyDescent="0.25">
      <c r="A2" s="128" t="s">
        <v>30</v>
      </c>
    </row>
    <row r="3" spans="1:6" x14ac:dyDescent="0.25">
      <c r="A3" s="128" t="s">
        <v>31</v>
      </c>
    </row>
    <row r="4" spans="1:6" x14ac:dyDescent="0.25">
      <c r="A4" s="128"/>
    </row>
    <row r="12" spans="1:6" x14ac:dyDescent="0.25">
      <c r="E12" s="774" t="s">
        <v>32</v>
      </c>
      <c r="F12" s="775"/>
    </row>
    <row r="13" spans="1:6" x14ac:dyDescent="0.25">
      <c r="E13" s="551" t="s">
        <v>33</v>
      </c>
      <c r="F13" s="552">
        <f>'Material Balance'!M5</f>
        <v>0.998</v>
      </c>
    </row>
    <row r="14" spans="1:6" x14ac:dyDescent="0.25">
      <c r="E14" s="551" t="s">
        <v>34</v>
      </c>
      <c r="F14" s="552">
        <f>'Material Balance'!M6</f>
        <v>1.0000000000000009E-3</v>
      </c>
    </row>
    <row r="15" spans="1:6" x14ac:dyDescent="0.25">
      <c r="E15" s="551" t="s">
        <v>35</v>
      </c>
      <c r="F15" s="552">
        <f>'Material Balance'!M13</f>
        <v>1.0000000000000009E-5</v>
      </c>
    </row>
    <row r="16" spans="1:6" x14ac:dyDescent="0.25">
      <c r="E16" s="551" t="s">
        <v>36</v>
      </c>
      <c r="F16" s="552">
        <f>'Material Balance'!M7</f>
        <v>3.0000000000000024E-4</v>
      </c>
    </row>
    <row r="17" spans="5:39" x14ac:dyDescent="0.25">
      <c r="E17" s="551" t="s">
        <v>37</v>
      </c>
      <c r="F17" s="552">
        <f>'Material Balance'!M8</f>
        <v>3.0000000000000024E-4</v>
      </c>
    </row>
    <row r="18" spans="5:39" x14ac:dyDescent="0.25">
      <c r="E18" s="551" t="s">
        <v>38</v>
      </c>
      <c r="F18" s="552">
        <f>'Material Balance'!M9</f>
        <v>2.000000000000002E-4</v>
      </c>
    </row>
    <row r="19" spans="5:39" x14ac:dyDescent="0.25">
      <c r="E19" s="551" t="s">
        <v>39</v>
      </c>
      <c r="F19" s="552">
        <f>'Material Balance'!M10</f>
        <v>1.000000000000001E-4</v>
      </c>
      <c r="AL19" s="776" t="s">
        <v>40</v>
      </c>
      <c r="AM19" s="777"/>
    </row>
    <row r="20" spans="5:39" x14ac:dyDescent="0.25">
      <c r="E20" s="551" t="s">
        <v>41</v>
      </c>
      <c r="F20" s="552">
        <f>'Material Balance'!M11</f>
        <v>6.0000000000000049E-5</v>
      </c>
      <c r="AL20" s="550" t="s">
        <v>42</v>
      </c>
      <c r="AM20" s="559">
        <v>1</v>
      </c>
    </row>
    <row r="21" spans="5:39" x14ac:dyDescent="0.25">
      <c r="E21" s="553" t="s">
        <v>43</v>
      </c>
      <c r="F21" s="554">
        <f>'Material Balance'!M12</f>
        <v>3.0000000000000024E-5</v>
      </c>
    </row>
    <row r="37" spans="37:39" ht="15.75" thickBot="1" x14ac:dyDescent="0.3"/>
    <row r="38" spans="37:39" x14ac:dyDescent="0.25">
      <c r="AL38" s="779" t="s">
        <v>44</v>
      </c>
      <c r="AM38" s="780"/>
    </row>
    <row r="39" spans="37:39" x14ac:dyDescent="0.25">
      <c r="AL39" s="561" t="s">
        <v>45</v>
      </c>
      <c r="AM39" s="562">
        <f>'Material Balance'!N21</f>
        <v>0.99999878600000003</v>
      </c>
    </row>
    <row r="40" spans="37:39" x14ac:dyDescent="0.25">
      <c r="AL40" s="561" t="s">
        <v>46</v>
      </c>
      <c r="AM40" s="563">
        <f>'Material Balance'!N22</f>
        <v>9.9999999999999995E-7</v>
      </c>
    </row>
    <row r="41" spans="37:39" ht="15.75" thickBot="1" x14ac:dyDescent="0.3">
      <c r="AL41" s="564" t="s">
        <v>47</v>
      </c>
      <c r="AM41" s="565">
        <f>'Material Balance'!N23</f>
        <v>2.1400000000000001E-7</v>
      </c>
    </row>
    <row r="45" spans="37:39" x14ac:dyDescent="0.25">
      <c r="AK45" s="18"/>
    </row>
    <row r="46" spans="37:39" x14ac:dyDescent="0.25">
      <c r="AK46" s="18"/>
    </row>
    <row r="52" spans="5:39" x14ac:dyDescent="0.25">
      <c r="AL52" s="776" t="s">
        <v>48</v>
      </c>
      <c r="AM52" s="778"/>
    </row>
    <row r="53" spans="5:39" x14ac:dyDescent="0.25">
      <c r="AL53" s="548" t="s">
        <v>49</v>
      </c>
      <c r="AM53" s="556">
        <f>'Material Balance'!AB5</f>
        <v>0.44754415352851673</v>
      </c>
    </row>
    <row r="54" spans="5:39" x14ac:dyDescent="0.25">
      <c r="AL54" s="548" t="s">
        <v>50</v>
      </c>
      <c r="AM54" s="556">
        <f>'Material Balance'!AB6</f>
        <v>0.44754415352851656</v>
      </c>
    </row>
    <row r="55" spans="5:39" x14ac:dyDescent="0.25">
      <c r="AL55" s="548" t="s">
        <v>37</v>
      </c>
      <c r="AM55" s="549">
        <f>'Material Balance'!AB7</f>
        <v>1.6853258470235496E-2</v>
      </c>
    </row>
    <row r="56" spans="5:39" x14ac:dyDescent="0.25">
      <c r="E56" s="776" t="s">
        <v>51</v>
      </c>
      <c r="F56" s="777"/>
      <c r="AL56" s="548" t="s">
        <v>52</v>
      </c>
      <c r="AM56" s="556">
        <f>'Material Balance'!AB8</f>
        <v>4.0935598994698369E-2</v>
      </c>
    </row>
    <row r="57" spans="5:39" x14ac:dyDescent="0.25">
      <c r="E57" s="548" t="s">
        <v>50</v>
      </c>
      <c r="F57" s="556">
        <f>'Material Balance'!R8</f>
        <v>0.4819</v>
      </c>
      <c r="AL57" s="548" t="s">
        <v>53</v>
      </c>
      <c r="AM57" s="557">
        <f>'Material Balance'!AB11</f>
        <v>0</v>
      </c>
    </row>
    <row r="58" spans="5:39" x14ac:dyDescent="0.25">
      <c r="E58" s="548" t="s">
        <v>49</v>
      </c>
      <c r="F58" s="556">
        <f>'Material Balance'!R9</f>
        <v>0.4819</v>
      </c>
      <c r="AL58" s="548" t="s">
        <v>34</v>
      </c>
      <c r="AM58" s="549">
        <f>'Material Balance'!AB9</f>
        <v>8.1871197989396762E-3</v>
      </c>
    </row>
    <row r="59" spans="5:39" x14ac:dyDescent="0.25">
      <c r="E59" s="548" t="s">
        <v>37</v>
      </c>
      <c r="F59" s="556">
        <f>'Material Balance'!R10</f>
        <v>1.55E-2</v>
      </c>
      <c r="AL59" s="548" t="s">
        <v>43</v>
      </c>
      <c r="AM59" s="557">
        <f>'Material Balance'!AB12</f>
        <v>2.4582919217981843E-4</v>
      </c>
    </row>
    <row r="60" spans="5:39" x14ac:dyDescent="0.25">
      <c r="E60" s="548" t="s">
        <v>53</v>
      </c>
      <c r="F60" s="556">
        <f>'Material Balance'!R12</f>
        <v>0</v>
      </c>
      <c r="AL60" s="548" t="s">
        <v>36</v>
      </c>
      <c r="AM60" s="557">
        <f>'Material Balance'!AB13</f>
        <v>2.4582919217981838E-3</v>
      </c>
    </row>
    <row r="61" spans="5:39" x14ac:dyDescent="0.25">
      <c r="E61" s="550" t="s">
        <v>54</v>
      </c>
      <c r="F61" s="560">
        <f>'Material Balance'!R11</f>
        <v>2.0700000000000052E-2</v>
      </c>
      <c r="AL61" s="548" t="s">
        <v>38</v>
      </c>
      <c r="AM61" s="549">
        <f>'Material Balance'!AB14</f>
        <v>1.6388612811987899E-3</v>
      </c>
    </row>
    <row r="62" spans="5:39" x14ac:dyDescent="0.25">
      <c r="AL62" s="548" t="s">
        <v>39</v>
      </c>
      <c r="AM62" s="557">
        <f>'Material Balance'!AB15</f>
        <v>8.1943064059939483E-4</v>
      </c>
    </row>
    <row r="63" spans="5:39" x14ac:dyDescent="0.25">
      <c r="AL63" s="548" t="s">
        <v>41</v>
      </c>
      <c r="AM63" s="557">
        <f>'Material Balance'!AB16</f>
        <v>4.9165838435963685E-4</v>
      </c>
    </row>
    <row r="64" spans="5:39" x14ac:dyDescent="0.25">
      <c r="AL64" s="548" t="s">
        <v>35</v>
      </c>
      <c r="AM64" s="549">
        <f>'Material Balance'!AB17</f>
        <v>7.9322237846933606E-5</v>
      </c>
    </row>
    <row r="65" spans="38:39" x14ac:dyDescent="0.25">
      <c r="AL65" s="548" t="s">
        <v>54</v>
      </c>
      <c r="AM65" s="557">
        <f>'Material Balance'!AB10</f>
        <v>1.9224245648558447E-2</v>
      </c>
    </row>
    <row r="66" spans="38:39" x14ac:dyDescent="0.25">
      <c r="AL66" s="555" t="s">
        <v>42</v>
      </c>
      <c r="AM66" s="558">
        <f>'Material Balance'!AB18</f>
        <v>1.3978076372552058E-2</v>
      </c>
    </row>
    <row r="82" spans="4:46" x14ac:dyDescent="0.25">
      <c r="I82" s="6"/>
      <c r="J82" s="6"/>
      <c r="K82" s="6"/>
      <c r="L82" s="6"/>
    </row>
    <row r="83" spans="4:46" x14ac:dyDescent="0.25">
      <c r="H83" s="198"/>
      <c r="I83" s="198"/>
      <c r="J83" s="198"/>
      <c r="K83" s="6"/>
      <c r="L83" s="6"/>
    </row>
    <row r="84" spans="4:46" x14ac:dyDescent="0.25">
      <c r="H84" s="198"/>
      <c r="I84" s="768"/>
      <c r="J84" s="198"/>
      <c r="K84" s="6"/>
      <c r="L84" s="6"/>
    </row>
    <row r="85" spans="4:46" x14ac:dyDescent="0.25">
      <c r="H85" s="198"/>
      <c r="I85" s="198"/>
      <c r="J85" s="198"/>
      <c r="K85" s="6"/>
      <c r="L85" s="6"/>
    </row>
    <row r="86" spans="4:46" x14ac:dyDescent="0.25">
      <c r="H86" s="198"/>
      <c r="I86" s="198"/>
      <c r="J86" s="198"/>
      <c r="K86" s="6"/>
      <c r="L86" s="6"/>
    </row>
    <row r="87" spans="4:46" x14ac:dyDescent="0.25">
      <c r="I87" s="6"/>
      <c r="J87" s="6"/>
      <c r="K87" s="6"/>
      <c r="L87" s="6"/>
    </row>
    <row r="88" spans="4:46" x14ac:dyDescent="0.25">
      <c r="I88" s="6"/>
      <c r="J88" s="6"/>
      <c r="K88" s="6"/>
      <c r="L88" s="6"/>
      <c r="AT88">
        <v>0</v>
      </c>
    </row>
    <row r="89" spans="4:46" x14ac:dyDescent="0.25">
      <c r="D89" s="767"/>
      <c r="E89" s="198"/>
      <c r="I89" s="6"/>
      <c r="J89" s="6"/>
      <c r="K89" s="6"/>
      <c r="L89" s="6"/>
    </row>
    <row r="90" spans="4:46" x14ac:dyDescent="0.25">
      <c r="D90" s="767"/>
      <c r="E90" s="198"/>
      <c r="I90" s="6"/>
      <c r="J90" s="6"/>
      <c r="K90" s="6"/>
      <c r="L90" s="6"/>
    </row>
    <row r="91" spans="4:46" x14ac:dyDescent="0.25">
      <c r="I91" s="6"/>
      <c r="J91" s="6"/>
      <c r="K91" s="6"/>
      <c r="L91" s="6"/>
    </row>
    <row r="92" spans="4:46" x14ac:dyDescent="0.25">
      <c r="I92" s="6"/>
      <c r="J92" s="6"/>
      <c r="K92" s="6"/>
      <c r="L92" s="6"/>
    </row>
    <row r="93" spans="4:46" x14ac:dyDescent="0.25">
      <c r="I93" s="6"/>
      <c r="J93" s="6"/>
      <c r="K93" s="6"/>
      <c r="L93" s="6"/>
    </row>
    <row r="97" spans="6:14" x14ac:dyDescent="0.25">
      <c r="N97" s="297"/>
    </row>
    <row r="99" spans="6:14" x14ac:dyDescent="0.25">
      <c r="F99" s="198"/>
      <c r="G99" s="198"/>
    </row>
    <row r="100" spans="6:14" x14ac:dyDescent="0.25">
      <c r="F100" s="198"/>
      <c r="G100" s="198"/>
    </row>
    <row r="101" spans="6:14" x14ac:dyDescent="0.25">
      <c r="F101" s="198"/>
      <c r="G101" s="198"/>
    </row>
    <row r="129" spans="6:7" x14ac:dyDescent="0.25">
      <c r="F129" s="198"/>
      <c r="G129" s="198"/>
    </row>
  </sheetData>
  <mergeCells count="5">
    <mergeCell ref="E12:F12"/>
    <mergeCell ref="E56:F56"/>
    <mergeCell ref="AL19:AM19"/>
    <mergeCell ref="AL52:AM52"/>
    <mergeCell ref="AL38:AM38"/>
  </mergeCells>
  <phoneticPr fontId="29" type="noConversion"/>
  <pageMargins left="0.7" right="0.7" top="0.75" bottom="0.75" header="0.3" footer="0.3"/>
  <pageSetup scale="3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sheetPr>
  <dimension ref="A1:AB941"/>
  <sheetViews>
    <sheetView zoomScale="68" zoomScaleNormal="68" workbookViewId="0">
      <selection activeCell="G8" sqref="G8"/>
    </sheetView>
  </sheetViews>
  <sheetFormatPr defaultRowHeight="15" x14ac:dyDescent="0.25"/>
  <cols>
    <col min="1" max="1" width="13.85546875" customWidth="1"/>
    <col min="2" max="2" width="33" style="6" customWidth="1"/>
    <col min="3" max="3" width="13.42578125" style="9" customWidth="1"/>
    <col min="4" max="4" width="13.85546875" style="6" customWidth="1"/>
    <col min="5" max="5" width="14.42578125" customWidth="1"/>
    <col min="6" max="6" width="12.140625" customWidth="1"/>
    <col min="7" max="7" width="12.140625" style="6" customWidth="1"/>
    <col min="8" max="8" width="14.5703125" customWidth="1"/>
    <col min="9" max="22" width="14.85546875" customWidth="1"/>
    <col min="23" max="23" width="13.140625" customWidth="1"/>
    <col min="24" max="24" width="14.42578125" style="121" customWidth="1"/>
    <col min="25" max="26" width="13.140625" customWidth="1"/>
    <col min="27" max="27" width="52.42578125" customWidth="1"/>
    <col min="28" max="28" width="15.42578125" bestFit="1" customWidth="1"/>
  </cols>
  <sheetData>
    <row r="1" spans="1:28" ht="21" x14ac:dyDescent="0.35">
      <c r="A1" s="1" t="s">
        <v>55</v>
      </c>
      <c r="X1" s="17"/>
      <c r="Y1" s="166"/>
    </row>
    <row r="2" spans="1:28" x14ac:dyDescent="0.25">
      <c r="A2" s="128" t="s">
        <v>56</v>
      </c>
      <c r="B2"/>
      <c r="C2"/>
      <c r="D2" s="762"/>
      <c r="E2" s="6"/>
      <c r="X2" s="762"/>
    </row>
    <row r="3" spans="1:28" ht="15" customHeight="1" x14ac:dyDescent="0.35">
      <c r="A3" s="128" t="s">
        <v>57</v>
      </c>
      <c r="B3" s="1"/>
      <c r="C3" s="1"/>
      <c r="D3" s="28"/>
      <c r="E3" s="7"/>
      <c r="X3" s="762"/>
    </row>
    <row r="4" spans="1:28" x14ac:dyDescent="0.25">
      <c r="A4" s="128"/>
      <c r="B4"/>
      <c r="C4"/>
      <c r="D4" s="762"/>
      <c r="E4" s="6"/>
      <c r="W4" s="320" t="s">
        <v>58</v>
      </c>
      <c r="X4" s="762"/>
    </row>
    <row r="5" spans="1:28" x14ac:dyDescent="0.25">
      <c r="A5" s="14" t="s">
        <v>59</v>
      </c>
      <c r="B5" s="29" t="s">
        <v>60</v>
      </c>
      <c r="E5" s="762"/>
      <c r="H5" s="320" t="s">
        <v>58</v>
      </c>
      <c r="W5" s="781" t="str">
        <f ca="1">IF(AND(COUNTIF(X17:X976,"bypass")=COUNT(Y17:Y976),COUNTA(W17:W976)=COUNTA(X17:X976),NOT($F$11="rectify")),"Continue to 'Equipment' list.","")</f>
        <v/>
      </c>
      <c r="X5" s="781"/>
      <c r="Y5" s="781"/>
      <c r="Z5" s="781"/>
    </row>
    <row r="6" spans="1:28" x14ac:dyDescent="0.25">
      <c r="A6" s="14">
        <v>8</v>
      </c>
      <c r="B6" s="29" t="s">
        <v>61</v>
      </c>
      <c r="E6" s="762"/>
      <c r="H6" s="785" t="str">
        <f>IF(SUM(E16:E937)=0,"Correct mass flows.",IF(TYPE(IF(OR($H$11/SUM($E$17:$E$937)&lt;-0.0005,$H$11/SUM($E$17:$E$937)&gt;0.0005),"Correct mass flows.",""))=16,"",IF(OR($H$11/SUM($E$17:$E$937)&lt;-0.0005,$H$11/SUM($E$17:$E$937)&gt;0.0005,SUM($E$17:$E$937)=0),"Correct mass flows.","")))</f>
        <v/>
      </c>
      <c r="I6" s="785"/>
      <c r="J6" s="785"/>
      <c r="K6" s="760"/>
      <c r="L6" s="760"/>
      <c r="M6" s="760"/>
      <c r="N6" s="760"/>
      <c r="O6" s="760"/>
      <c r="P6" s="760"/>
      <c r="Q6" s="760"/>
      <c r="R6" s="760"/>
      <c r="S6" s="760"/>
      <c r="T6" s="760"/>
      <c r="U6" s="760"/>
      <c r="W6" s="783" t="str">
        <f ca="1">IF(OR($F$11="rectify",$H$6="Correct mass flows."),"Check mass balances before continuing here.","")</f>
        <v/>
      </c>
      <c r="X6" s="783"/>
      <c r="Y6" s="783"/>
      <c r="Z6" s="783"/>
    </row>
    <row r="7" spans="1:28" x14ac:dyDescent="0.25">
      <c r="A7" s="139">
        <f>VLOOKUP(A6,A17:E961,5,FALSE)</f>
        <v>1</v>
      </c>
      <c r="B7" s="6" t="s">
        <v>62</v>
      </c>
      <c r="C7" s="151"/>
      <c r="E7" s="29"/>
      <c r="H7" s="42" t="s">
        <v>63</v>
      </c>
      <c r="I7" s="42"/>
      <c r="J7" s="42"/>
      <c r="K7" s="42"/>
      <c r="L7" s="42"/>
      <c r="M7" s="42"/>
      <c r="N7" s="42"/>
      <c r="O7" s="42"/>
      <c r="P7" s="42"/>
      <c r="Q7" s="42"/>
      <c r="R7" s="42"/>
      <c r="S7" s="42"/>
      <c r="T7" s="42"/>
      <c r="U7" s="42"/>
      <c r="W7" s="42" t="s">
        <v>64</v>
      </c>
      <c r="X7" s="137"/>
      <c r="Y7" s="42"/>
      <c r="Z7" s="42"/>
    </row>
    <row r="8" spans="1:28" x14ac:dyDescent="0.25">
      <c r="A8" s="176">
        <f>VLOOKUP(A5,Reference!AM4:AP10,3,FALSE)*(1/365)*(1/24)</f>
        <v>18264.840182648401</v>
      </c>
      <c r="B8" s="6" t="s">
        <v>65</v>
      </c>
      <c r="C8" s="151"/>
      <c r="H8" s="26"/>
      <c r="I8" s="152" t="s">
        <v>45</v>
      </c>
      <c r="J8" s="152" t="s">
        <v>66</v>
      </c>
      <c r="K8" s="152" t="s">
        <v>67</v>
      </c>
      <c r="L8" s="152" t="s">
        <v>68</v>
      </c>
      <c r="M8" s="152" t="s">
        <v>69</v>
      </c>
      <c r="N8" s="152" t="s">
        <v>70</v>
      </c>
      <c r="O8" s="152" t="s">
        <v>47</v>
      </c>
      <c r="P8" s="152" t="s">
        <v>46</v>
      </c>
      <c r="Q8" s="152" t="s">
        <v>71</v>
      </c>
      <c r="R8" s="152" t="s">
        <v>72</v>
      </c>
      <c r="S8" s="152" t="s">
        <v>73</v>
      </c>
      <c r="T8" s="152" t="s">
        <v>74</v>
      </c>
      <c r="U8" s="152" t="s">
        <v>75</v>
      </c>
      <c r="W8" s="183" t="str">
        <f>"Cost-year Dollars: "&amp;Financial!$E$32</f>
        <v>Cost-year Dollars: 2012</v>
      </c>
      <c r="X8" s="138"/>
      <c r="Y8" s="26"/>
      <c r="Z8" s="26"/>
    </row>
    <row r="9" spans="1:28" x14ac:dyDescent="0.25">
      <c r="A9" s="176">
        <f>ABS(A7-A8)</f>
        <v>18263.840182648401</v>
      </c>
      <c r="B9" s="177" t="s">
        <v>76</v>
      </c>
      <c r="C9" s="151"/>
      <c r="G9" s="126"/>
      <c r="H9" s="320" t="s">
        <v>77</v>
      </c>
      <c r="I9" s="320" t="s">
        <v>78</v>
      </c>
      <c r="J9" s="320" t="s">
        <v>78</v>
      </c>
      <c r="K9" s="320" t="s">
        <v>78</v>
      </c>
      <c r="L9" s="320" t="s">
        <v>78</v>
      </c>
      <c r="M9" s="320" t="s">
        <v>78</v>
      </c>
      <c r="N9" s="320" t="s">
        <v>78</v>
      </c>
      <c r="O9" s="320" t="s">
        <v>78</v>
      </c>
      <c r="P9" s="320" t="s">
        <v>78</v>
      </c>
      <c r="Q9" s="320" t="s">
        <v>78</v>
      </c>
      <c r="R9" s="320" t="s">
        <v>78</v>
      </c>
      <c r="S9" s="320" t="s">
        <v>78</v>
      </c>
      <c r="T9" s="320" t="s">
        <v>78</v>
      </c>
      <c r="U9" s="320" t="s">
        <v>78</v>
      </c>
      <c r="W9" s="130"/>
      <c r="X9" s="320" t="s">
        <v>79</v>
      </c>
      <c r="Y9" s="320" t="s">
        <v>80</v>
      </c>
      <c r="Z9" s="320" t="s">
        <v>81</v>
      </c>
    </row>
    <row r="10" spans="1:28" x14ac:dyDescent="0.25">
      <c r="B10"/>
      <c r="F10" s="320" t="s">
        <v>58</v>
      </c>
      <c r="G10" s="126"/>
      <c r="H10" s="320" t="s">
        <v>82</v>
      </c>
      <c r="I10" s="320" t="s">
        <v>82</v>
      </c>
      <c r="J10" s="320" t="s">
        <v>82</v>
      </c>
      <c r="K10" s="320" t="s">
        <v>82</v>
      </c>
      <c r="L10" s="320" t="s">
        <v>82</v>
      </c>
      <c r="M10" s="320" t="s">
        <v>82</v>
      </c>
      <c r="N10" s="320" t="s">
        <v>82</v>
      </c>
      <c r="O10" s="320" t="s">
        <v>82</v>
      </c>
      <c r="P10" s="320" t="s">
        <v>82</v>
      </c>
      <c r="Q10" s="320" t="s">
        <v>82</v>
      </c>
      <c r="R10" s="320" t="s">
        <v>82</v>
      </c>
      <c r="S10" s="320" t="s">
        <v>82</v>
      </c>
      <c r="T10" s="320" t="s">
        <v>82</v>
      </c>
      <c r="U10" s="320" t="s">
        <v>82</v>
      </c>
      <c r="W10" s="130"/>
      <c r="X10" s="320" t="s">
        <v>83</v>
      </c>
      <c r="Y10" s="320" t="s">
        <v>83</v>
      </c>
      <c r="Z10" s="320" t="s">
        <v>83</v>
      </c>
    </row>
    <row r="11" spans="1:28" x14ac:dyDescent="0.25">
      <c r="A11">
        <f>COUNTA(A17:A916)+ROW(A17)-1</f>
        <v>21</v>
      </c>
      <c r="B11"/>
      <c r="F11" s="31" t="str">
        <f ca="1">IF(OR(AND(SUM(F17:F939)&gt;0.999*COUNT(F17:F939),SUM(F17:F939)&lt;1.001*COUNT(F17:F939)),SUM(E17:E939)=0),"","rectify")</f>
        <v/>
      </c>
      <c r="G11"/>
      <c r="H11" s="762">
        <f>SUM(H17:H939)</f>
        <v>0</v>
      </c>
      <c r="I11" s="762">
        <f>SUM(I17:I939)</f>
        <v>6.1582683397176652E-17</v>
      </c>
      <c r="J11" s="762">
        <f>SUM(J17:J939)</f>
        <v>1.8388068845354155E-16</v>
      </c>
      <c r="K11" s="762">
        <f>SUM(K17:K939)</f>
        <v>0</v>
      </c>
      <c r="L11" s="762">
        <f t="shared" ref="L11:U11" si="0">SUM(L17:L21)</f>
        <v>0</v>
      </c>
      <c r="M11" s="762">
        <f t="shared" si="0"/>
        <v>0</v>
      </c>
      <c r="N11" s="762">
        <f t="shared" si="0"/>
        <v>0</v>
      </c>
      <c r="O11" s="762">
        <f t="shared" si="0"/>
        <v>0</v>
      </c>
      <c r="P11" s="762">
        <f t="shared" si="0"/>
        <v>0</v>
      </c>
      <c r="Q11" s="762">
        <f t="shared" si="0"/>
        <v>0</v>
      </c>
      <c r="R11" s="762">
        <f t="shared" si="0"/>
        <v>0</v>
      </c>
      <c r="S11" s="762">
        <f t="shared" si="0"/>
        <v>0</v>
      </c>
      <c r="T11" s="762">
        <f t="shared" si="0"/>
        <v>0</v>
      </c>
      <c r="U11" s="762">
        <f t="shared" si="0"/>
        <v>0</v>
      </c>
      <c r="W11" s="131"/>
      <c r="X11" s="139">
        <f>SUMIF(Z17:Z937,"&lt;0",Z17:Z937)</f>
        <v>-5.4781662809852074</v>
      </c>
      <c r="Y11" s="110">
        <f>SUMIF(Z17:Z937,"&gt;0",Z17:Z937)</f>
        <v>0</v>
      </c>
      <c r="Z11" s="85" t="e">
        <f>SUM(Z17:Z939)</f>
        <v>#N/A</v>
      </c>
      <c r="AB11" s="48"/>
    </row>
    <row r="12" spans="1:28" x14ac:dyDescent="0.25">
      <c r="B12"/>
      <c r="C12" s="762"/>
      <c r="X12" s="762"/>
      <c r="AB12" s="48"/>
    </row>
    <row r="13" spans="1:28" ht="15" customHeight="1" x14ac:dyDescent="0.25">
      <c r="A13" s="144" t="s">
        <v>84</v>
      </c>
      <c r="B13" s="120"/>
      <c r="C13" s="120"/>
      <c r="D13" s="120"/>
      <c r="E13" s="120"/>
      <c r="F13" s="784" t="s">
        <v>85</v>
      </c>
      <c r="G13" s="127"/>
      <c r="H13" s="120"/>
      <c r="I13" s="120"/>
      <c r="J13" s="120"/>
      <c r="K13" s="120"/>
      <c r="L13" s="120"/>
      <c r="M13" s="120"/>
      <c r="N13" s="120"/>
      <c r="O13" s="120"/>
      <c r="P13" s="120"/>
      <c r="Q13" s="120"/>
      <c r="R13" s="120"/>
      <c r="S13" s="120"/>
      <c r="T13" s="120"/>
      <c r="U13" s="120"/>
      <c r="W13" s="782" t="s">
        <v>86</v>
      </c>
      <c r="X13" s="782"/>
      <c r="Y13" s="782" t="s">
        <v>87</v>
      </c>
      <c r="Z13" s="782" t="s">
        <v>88</v>
      </c>
      <c r="AA13" s="782"/>
    </row>
    <row r="14" spans="1:28" x14ac:dyDescent="0.25">
      <c r="A14" s="120"/>
      <c r="B14" s="120"/>
      <c r="C14" s="120"/>
      <c r="D14" s="120"/>
      <c r="E14" s="120"/>
      <c r="F14" s="784"/>
      <c r="G14" s="127"/>
      <c r="H14" s="120"/>
      <c r="I14" s="120"/>
      <c r="J14" s="120"/>
      <c r="K14" s="120"/>
      <c r="L14" s="120"/>
      <c r="M14" s="120"/>
      <c r="N14" s="120"/>
      <c r="O14" s="120"/>
      <c r="P14" s="120"/>
      <c r="Q14" s="120"/>
      <c r="R14" s="120"/>
      <c r="S14" s="120"/>
      <c r="T14" s="120"/>
      <c r="U14" s="120"/>
      <c r="W14" s="782"/>
      <c r="X14" s="782"/>
      <c r="Y14" s="782"/>
      <c r="Z14" s="782"/>
      <c r="AA14" s="782"/>
    </row>
    <row r="15" spans="1:28" ht="15" customHeight="1" x14ac:dyDescent="0.25">
      <c r="A15" s="320" t="s">
        <v>89</v>
      </c>
      <c r="B15" s="8" t="s">
        <v>90</v>
      </c>
      <c r="C15" s="320" t="s">
        <v>91</v>
      </c>
      <c r="D15" s="320" t="s">
        <v>92</v>
      </c>
      <c r="E15" s="320" t="s">
        <v>93</v>
      </c>
      <c r="F15" s="784"/>
      <c r="G15" s="127"/>
      <c r="H15" s="320"/>
      <c r="I15" s="8"/>
      <c r="J15" s="8"/>
      <c r="K15" s="8"/>
      <c r="L15" s="8"/>
      <c r="M15" s="8"/>
      <c r="N15" s="8"/>
      <c r="O15" s="8"/>
      <c r="P15" s="8"/>
      <c r="Q15" s="8"/>
      <c r="R15" s="8"/>
      <c r="S15" s="8"/>
      <c r="T15" s="8"/>
      <c r="U15" s="8"/>
      <c r="W15" s="782"/>
      <c r="X15" s="782"/>
      <c r="Y15" s="782"/>
      <c r="Z15" s="782"/>
      <c r="AA15" s="782"/>
    </row>
    <row r="16" spans="1:28" x14ac:dyDescent="0.25">
      <c r="A16" s="8"/>
      <c r="B16" s="8"/>
      <c r="C16" s="320"/>
      <c r="D16" s="320" t="s">
        <v>94</v>
      </c>
      <c r="E16" s="320" t="s">
        <v>82</v>
      </c>
      <c r="F16" s="784"/>
      <c r="G16" s="127"/>
      <c r="H16" s="8"/>
      <c r="I16" s="8"/>
      <c r="J16" s="8"/>
      <c r="K16" s="8"/>
      <c r="L16" s="8"/>
      <c r="M16" s="8"/>
      <c r="N16" s="8"/>
      <c r="O16" s="8"/>
      <c r="P16" s="8"/>
      <c r="Q16" s="8"/>
      <c r="R16" s="8"/>
      <c r="S16" s="8"/>
      <c r="T16" s="8"/>
      <c r="U16" s="8"/>
      <c r="W16" s="129" t="s">
        <v>95</v>
      </c>
      <c r="X16" s="129" t="s">
        <v>96</v>
      </c>
      <c r="Y16" s="129" t="s">
        <v>95</v>
      </c>
      <c r="Z16" s="129" t="s">
        <v>83</v>
      </c>
      <c r="AA16" s="129" t="s">
        <v>97</v>
      </c>
    </row>
    <row r="17" spans="1:27" x14ac:dyDescent="0.25">
      <c r="A17" s="9">
        <f t="shared" ref="A17" si="1">IF(TYPE(A16)=2,1,1+A16)</f>
        <v>1</v>
      </c>
      <c r="B17" s="16" t="s">
        <v>98</v>
      </c>
      <c r="C17" s="38" t="s">
        <v>99</v>
      </c>
      <c r="D17" s="14" t="s">
        <v>100</v>
      </c>
      <c r="E17" s="207">
        <f>'Material Balance'!Q44</f>
        <v>2.1544040278823093</v>
      </c>
      <c r="F17" s="126">
        <f ca="1">SUMIF(Compositions!$B$11:$B$939,$A17,Compositions!$E$11:$E$936)</f>
        <v>0.99999999999999978</v>
      </c>
      <c r="G17" s="9"/>
      <c r="H17" s="84">
        <f>IF(D17="in",E17,IF(D17="out",-E17,"error"))</f>
        <v>2.1544040278823093</v>
      </c>
      <c r="I17" s="84">
        <f>IF($D17="in",1,IF($D17="out",-1,0))*SUMIF(Compositions!$B$11:$B$933,Compositions!$B$11,Compositions!$AG$11:$AG$933)</f>
        <v>1.0050295883689819</v>
      </c>
      <c r="J17" s="84">
        <f>IF($D17="in",1,IF($D17="out",-1,0))*SUMIF(Compositions!$B$11:$B$933,Compositions!$B$11,Compositions!$AH$11:$AH$933)</f>
        <v>1.1468526344752719</v>
      </c>
      <c r="K17" s="84">
        <f>IF($D17="in",1,IF($D17="out",-1,0))*SUMIF(Compositions!$B$11:$B$933,Compositions!$B$11,Compositions!$AI$11:$AI$933)</f>
        <v>0</v>
      </c>
      <c r="L17" s="84">
        <f>IF($D17="in",1,IF($D17="out",-1,0))*SUMIF(Compositions!$B$11:$B$933,Compositions!$B$11,Compositions!$AJ$11:$AJ$933)</f>
        <v>0</v>
      </c>
      <c r="M17" s="84">
        <f>IF($D17="in",1,IF($D17="out",-1,0))*SUMIF(Compositions!$B$11:$B$933,Compositions!$B$11,Compositions!$AK$11:$AK$933)</f>
        <v>4.6191979993437957E-4</v>
      </c>
      <c r="N17" s="84">
        <f>IF($D17="in",1,IF($D17="out",-1,0))*SUMIF(Compositions!$B$11:$B$933,Compositions!$B$11,Compositions!$AL$11:$AL$933)</f>
        <v>0</v>
      </c>
      <c r="O17" s="84">
        <f>IF($D17="in",1,IF($D17="out",-1,0))*SUMIF(Compositions!$B$11:$B$933,Compositions!$B$11,Compositions!$AM$11:$AM$933)</f>
        <v>6.6909494501410998E-6</v>
      </c>
      <c r="P17" s="84">
        <f>IF($D17="in",1,IF($D17="out",-1,0))*SUMIF(Compositions!$B$11:$B$933,Compositions!$B$11,Compositions!$AN$11:$AN$933)</f>
        <v>1.1402190691813473E-3</v>
      </c>
      <c r="Q17" s="84">
        <f>IF($D17="in",1,IF($D17="out",-1,0))*SUMIF(Compositions!$B$11:$B$933,Compositions!$B$11,Compositions!$AO$11:$AO$933)</f>
        <v>4.5205353784595604E-4</v>
      </c>
      <c r="R17" s="84">
        <f>IF($D17="in",1,IF($D17="out",-1,0))*SUMIF(Compositions!$B$11:$B$933,Compositions!$B$11,Compositions!$AP$11:$AP$933)</f>
        <v>4.7848292614565472E-5</v>
      </c>
      <c r="S17" s="84">
        <f>IF($D17="in",1,IF($D17="out",-1,0))*SUMIF(Compositions!$B$11:$B$933,Compositions!$B$11,Compositions!$AQ$11:$AQ$933)</f>
        <v>9.5895568703761861E-5</v>
      </c>
      <c r="T17" s="84">
        <f>IF($D17="in",1,IF($D17="out",-1,0))*SUMIF(Compositions!$B$11:$B$933,Compositions!$B$11,Compositions!$AR$11:$AR$933)</f>
        <v>1.291324012565835E-4</v>
      </c>
      <c r="U17" s="84">
        <f>IF($D17="in",1,IF($D17="out",-1,0))*SUMIF(Compositions!$B$11:$B$933,Compositions!$B$11,Compositions!$AS$11:$AS$933)</f>
        <v>1.8804541906862574E-4</v>
      </c>
      <c r="W17" s="318" t="e">
        <f>SUMIF(Compositions!$B$10:$B$957,A17,Compositions!$AE$10:$AE$957)*(1/E17)</f>
        <v>#N/A</v>
      </c>
      <c r="X17" s="319" t="s">
        <v>101</v>
      </c>
      <c r="Y17" s="318">
        <f>0.12</f>
        <v>0.12</v>
      </c>
      <c r="Z17" s="318">
        <f t="shared" ref="Z17:Z29" si="2">IF(D17="in",-1,1)*IF(X17="accept",W17*E17,Y17*E17)</f>
        <v>-0.25852848334587714</v>
      </c>
      <c r="AA17" s="318" t="s">
        <v>102</v>
      </c>
    </row>
    <row r="18" spans="1:27" x14ac:dyDescent="0.25">
      <c r="A18" s="9">
        <v>5</v>
      </c>
      <c r="B18" s="16" t="s">
        <v>103</v>
      </c>
      <c r="C18" s="38" t="s">
        <v>104</v>
      </c>
      <c r="D18" s="14" t="s">
        <v>100</v>
      </c>
      <c r="E18" s="207">
        <f>'Material Balance'!Q45</f>
        <v>0.24417090612353978</v>
      </c>
      <c r="F18" s="298">
        <f ca="1">SUMIF(Compositions!$B$11:$B$939,$A18,Compositions!$E$11:$E$936)</f>
        <v>1</v>
      </c>
      <c r="G18" s="9"/>
      <c r="H18" s="84">
        <f t="shared" ref="H18" si="3">IF(D18="in",E18,IF(D18="out",-E18,"error"))</f>
        <v>0.24417090612353978</v>
      </c>
      <c r="I18" s="84">
        <f>IF($D18="in",1,IF($D18="out",-1,0))*SUMIF(Compositions!$B$11:$B$933,Compositions!$B$37,Compositions!$AG$11:$AG$933)</f>
        <v>0</v>
      </c>
      <c r="J18" s="84">
        <f>IF($D18="in",1,IF($D18="out",-1,0))*SUMIF(Compositions!$B$11:$B$933,Compositions!$B$37,Compositions!$AH$11:$AH$933)</f>
        <v>1.0797953173508562E-3</v>
      </c>
      <c r="K18" s="84">
        <f>IF($D18="in",1,IF($D18="out",-1,0))*SUMIF(Compositions!$B$11:$B$933,Compositions!$B$37,Compositions!$AI$11:$AI$933)</f>
        <v>4.5903507596233115E-2</v>
      </c>
      <c r="L18" s="84">
        <f>IF($D18="in",1,IF($D18="out",-1,0))*SUMIF(Compositions!$B$11:$B$933,Compositions!$B$37,Compositions!$AJ$11:$AJ$933)</f>
        <v>0.13100159141176826</v>
      </c>
      <c r="M18" s="84">
        <f>IF($D18="in",1,IF($D18="out",-1,0))*SUMIF(Compositions!$B$11:$B$933,Compositions!$B$37,Compositions!$AK$11:$AK$933)</f>
        <v>6.3106114202018074E-2</v>
      </c>
      <c r="N18" s="84">
        <f>IF($D18="in",1,IF($D18="out",-1,0))*SUMIF(Compositions!$B$11:$B$933,Compositions!$B$37,Compositions!$AL$11:$AL$933)</f>
        <v>3.0798975961695125E-3</v>
      </c>
      <c r="O18" s="84">
        <f>IF($D18="in",1,IF($D18="out",-1,0))*SUMIF(Compositions!$B$11:$B$933,Compositions!$B$37,Compositions!$AM$11:$AM$933)</f>
        <v>0</v>
      </c>
      <c r="P18" s="84">
        <f>IF($D18="in",1,IF($D18="out",-1,0))*SUMIF(Compositions!$B$11:$B$933,Compositions!$B$37,Compositions!$AN$11:$AN$933)</f>
        <v>0</v>
      </c>
      <c r="Q18" s="84">
        <f>IF($D18="in",1,IF($D18="out",-1,0))*SUMIF(Compositions!$B$11:$B$933,Compositions!$B$37,Compositions!$AO$11:$AO$933)</f>
        <v>0</v>
      </c>
      <c r="R18" s="84">
        <f>IF($D18="in",1,IF($D18="out",-1,0))*SUMIF(Compositions!$B$11:$B$933,Compositions!$B$37,Compositions!$AP$11:$AP$933)</f>
        <v>0</v>
      </c>
      <c r="S18" s="84">
        <f>IF($D18="in",1,IF($D18="out",-1,0))*SUMIF(Compositions!$B$11:$B$933,Compositions!$B$37,Compositions!$AQ$11:$AQ$933)</f>
        <v>0</v>
      </c>
      <c r="T18" s="84">
        <f>IF($D18="in",1,IF($D18="out",-1,0))*SUMIF(Compositions!$B$11:$B$933,Compositions!$B$37,Compositions!$AR$11:$AR$933)</f>
        <v>0</v>
      </c>
      <c r="U18" s="84">
        <f>IF($D18="in",1,IF($D18="out",-1,0))*SUMIF(Compositions!$B$11:$B$933,Compositions!$B$37,Compositions!$AS$11:$AS$933)</f>
        <v>0</v>
      </c>
      <c r="W18" s="318">
        <f>SUMIF(Compositions!$B$10:$B$957,A18,Compositions!$AE$10:$AE$957)*(1/E18)</f>
        <v>21.376985000000051</v>
      </c>
      <c r="X18" s="319" t="s">
        <v>105</v>
      </c>
      <c r="Y18" s="318"/>
      <c r="Z18" s="318">
        <f t="shared" si="2"/>
        <v>-5.2196377976393302</v>
      </c>
      <c r="AA18" s="318"/>
    </row>
    <row r="19" spans="1:27" x14ac:dyDescent="0.25">
      <c r="A19" s="9">
        <v>6</v>
      </c>
      <c r="B19" s="16" t="s">
        <v>106</v>
      </c>
      <c r="C19" s="38" t="s">
        <v>107</v>
      </c>
      <c r="D19" s="14" t="s">
        <v>108</v>
      </c>
      <c r="E19" s="534">
        <f>'Material Balance'!R21</f>
        <v>1.1393352255310267</v>
      </c>
      <c r="F19" s="298">
        <f ca="1">SUMIF(Compositions!$B$11:$B$939,$A19,Compositions!$E$11:$E$936)</f>
        <v>1</v>
      </c>
      <c r="G19" s="9"/>
      <c r="H19" s="84">
        <f t="shared" ref="H19" si="4">IF(D19="in",E19,IF(D19="out",-E19,"error"))</f>
        <v>-1.1393352255310267</v>
      </c>
      <c r="I19" s="84">
        <f>IF($D19="in",1,IF($D19="out",-1,0))*SUMIF(Compositions!$B$11:$B$933,Compositions!$B$20,Compositions!$AG$11:$AG$933)</f>
        <v>0</v>
      </c>
      <c r="J19" s="84">
        <f>IF($D19="in",1,IF($D19="out",-1,0))*SUMIF(Compositions!$B$11:$B$933,Compositions!$B$20,Compositions!$AH$11:$AH$933)</f>
        <v>-1.1393352255310267</v>
      </c>
      <c r="K19" s="84">
        <f>IF($D19="in",1,IF($D19="out",-1,0))*SUMIF(Compositions!$B$11:$B$933,Compositions!$B$20,Compositions!$AI$11:$AI$933)</f>
        <v>0</v>
      </c>
      <c r="L19" s="84">
        <f>IF($D19="in",1,IF($D19="out",-1,0))*SUMIF(Compositions!$B$11:$B$933,Compositions!$B$20,Compositions!$AJ$11:$AJ$933)</f>
        <v>0</v>
      </c>
      <c r="M19" s="84">
        <f>IF($D19="in",1,IF($D19="out",-1,0))*SUMIF(Compositions!$B$11:$B$933,Compositions!$B$20,Compositions!$AK$11:$AK$933)</f>
        <v>0</v>
      </c>
      <c r="N19" s="84">
        <f>IF($D19="in",1,IF($D19="out",-1,0))*SUMIF(Compositions!$B$11:$B$933,Compositions!$B$20,Compositions!$AL$11:$AL$933)</f>
        <v>0</v>
      </c>
      <c r="O19" s="84">
        <f>IF($D19="in",1,IF($D19="out",-1,0))*SUMIF(Compositions!$B$11:$B$933,Compositions!$B$20,Compositions!$AM$11:$AM$933)</f>
        <v>0</v>
      </c>
      <c r="P19" s="84">
        <f>IF($D19="in",1,IF($D19="out",-1,0))*SUMIF(Compositions!$B$11:$B$933,Compositions!$B$20,Compositions!$AN$11:$AN$933)</f>
        <v>0</v>
      </c>
      <c r="Q19" s="84">
        <f>IF($D19="in",1,IF($D19="out",-1,0))*SUMIF(Compositions!$B$11:$B$933,Compositions!$B$20,Compositions!$AO$11:$AO$933)</f>
        <v>0</v>
      </c>
      <c r="R19" s="84">
        <f>IF($D19="in",1,IF($D19="out",-1,0))*SUMIF(Compositions!$B$11:$B$933,Compositions!$B$20,Compositions!$AP$11:$AP$933)</f>
        <v>0</v>
      </c>
      <c r="S19" s="84">
        <f>IF($D19="in",1,IF($D19="out",-1,0))*SUMIF(Compositions!$B$11:$B$933,Compositions!$B$20,Compositions!$AQ$11:$AQ$933)</f>
        <v>0</v>
      </c>
      <c r="T19" s="84">
        <f>IF($D19="in",1,IF($D19="out",-1,0))*SUMIF(Compositions!$B$11:$B$933,Compositions!$B$20,Compositions!$AR$11:$AR$933)</f>
        <v>0</v>
      </c>
      <c r="U19" s="84">
        <f>IF($D19="in",1,IF($D19="out",-1,0))*SUMIF(Compositions!$B$11:$B$933,Compositions!$B$20,Compositions!$AS$11:$AS$933)</f>
        <v>0</v>
      </c>
      <c r="W19" s="318" t="e">
        <f>SUMIF(Compositions!$B$10:$B$957,A19,Compositions!$AE$10:$AE$957)*(1/E19)</f>
        <v>#N/A</v>
      </c>
      <c r="X19" s="319" t="s">
        <v>105</v>
      </c>
      <c r="Y19" s="318"/>
      <c r="Z19" s="318" t="e">
        <f t="shared" si="2"/>
        <v>#N/A</v>
      </c>
      <c r="AA19" s="318"/>
    </row>
    <row r="20" spans="1:27" x14ac:dyDescent="0.25">
      <c r="A20" s="9">
        <v>8</v>
      </c>
      <c r="B20" s="16" t="s">
        <v>44</v>
      </c>
      <c r="C20" s="38" t="s">
        <v>99</v>
      </c>
      <c r="D20" s="14" t="s">
        <v>108</v>
      </c>
      <c r="E20" s="534">
        <f>'Material Balance'!Q48</f>
        <v>1</v>
      </c>
      <c r="F20" s="406">
        <f ca="1">SUMIF(Compositions!$B$11:$B$939,$A20,Compositions!$E$11:$E$936)</f>
        <v>1</v>
      </c>
      <c r="G20" s="9"/>
      <c r="H20" s="84">
        <f t="shared" ref="H20" si="5">IF(D20="in",E20,IF(D20="out",-E20,"error"))</f>
        <v>-1</v>
      </c>
      <c r="I20" s="84">
        <f>IF($D20="in",1,IF($D20="out",-1,0))*SUMIF(Compositions!$B$11:$B$933,Compositions!$B$34,Compositions!$AG$11:$AG$933)</f>
        <v>-0.99999878599999992</v>
      </c>
      <c r="J20" s="84">
        <f>IF($D20="in",1,IF($D20="out",-1,0))*SUMIF(Compositions!$B$11:$B$933,Compositions!$B$34,Compositions!$AH$11:$AH$933)</f>
        <v>0</v>
      </c>
      <c r="K20" s="84">
        <f>IF($D20="in",1,IF($D20="out",-1,0))*SUMIF(Compositions!$B$11:$B$933,Compositions!$B$34,Compositions!$AI$11:$AI$933)</f>
        <v>0</v>
      </c>
      <c r="L20" s="84">
        <f>IF($D20="in",1,IF($D20="out",-1,0))*SUMIF(Compositions!$B$11:$B$933,Compositions!$B$34,Compositions!$AJ$11:$AJ$933)</f>
        <v>0</v>
      </c>
      <c r="M20" s="84">
        <f>IF($D20="in",1,IF($D20="out",-1,0))*SUMIF(Compositions!$B$11:$B$933,Compositions!$B$34,Compositions!$AK$11:$AK$933)</f>
        <v>0</v>
      </c>
      <c r="N20" s="84">
        <f>IF($D20="in",1,IF($D20="out",-1,0))*SUMIF(Compositions!$B$11:$B$933,Compositions!$B$34,Compositions!$AL$11:$AL$933)</f>
        <v>0</v>
      </c>
      <c r="O20" s="84">
        <f>IF($D20="in",1,IF($D20="out",-1,0))*SUMIF(Compositions!$B$11:$B$933,Compositions!$B$34,Compositions!$AM$11:$AM$933)</f>
        <v>-2.1400000000000001E-7</v>
      </c>
      <c r="P20" s="84">
        <f>IF($D20="in",1,IF($D20="out",-1,0))*SUMIF(Compositions!$B$11:$B$933,Compositions!$B$34,Compositions!$AN$11:$AN$933)</f>
        <v>-9.9999999999999995E-7</v>
      </c>
      <c r="Q20" s="84">
        <f>IF($D20="in",1,IF($D20="out",-1,0))*SUMIF(Compositions!$B$11:$B$933,Compositions!$B$34,Compositions!$AO$11:$AO$933)</f>
        <v>0</v>
      </c>
      <c r="R20" s="84">
        <f>IF($D20="in",1,IF($D20="out",-1,0))*SUMIF(Compositions!$B$11:$B$933,Compositions!$B$34,Compositions!$AP$11:$AP$933)</f>
        <v>0</v>
      </c>
      <c r="S20" s="84">
        <f>IF($D20="in",1,IF($D20="out",-1,0))*SUMIF(Compositions!$B$11:$B$933,Compositions!$B$34,Compositions!$AQ$11:$AQ$933)</f>
        <v>0</v>
      </c>
      <c r="T20" s="84">
        <f>IF($D20="in",1,IF($D20="out",-1,0))*SUMIF(Compositions!$B$11:$B$933,Compositions!$B$34,Compositions!$AR$11:$AR$933)</f>
        <v>0</v>
      </c>
      <c r="U20" s="84">
        <f>IF($D20="in",1,IF($D20="out",-1,0))*SUMIF(Compositions!$B$11:$B$933,Compositions!$B$34,Compositions!$AS$11:$AS$933)</f>
        <v>0</v>
      </c>
      <c r="W20" s="318" t="e">
        <f>SUMIF(Compositions!$B$10:$B$957,A20,Compositions!$AE$10:$AE$957)*(1/E20)</f>
        <v>#N/A</v>
      </c>
      <c r="X20" s="319" t="s">
        <v>105</v>
      </c>
      <c r="Y20" s="318"/>
      <c r="Z20" s="318" t="e">
        <f t="shared" si="2"/>
        <v>#N/A</v>
      </c>
      <c r="AA20" s="318"/>
    </row>
    <row r="21" spans="1:27" x14ac:dyDescent="0.25">
      <c r="A21" s="9">
        <v>9</v>
      </c>
      <c r="B21" s="16" t="s">
        <v>48</v>
      </c>
      <c r="C21" s="38" t="s">
        <v>104</v>
      </c>
      <c r="D21" s="14" t="s">
        <v>108</v>
      </c>
      <c r="E21" s="534">
        <f>'Material Balance'!Q47</f>
        <v>0.25923970847482214</v>
      </c>
      <c r="F21" s="126">
        <f ca="1">SUMIF(Compositions!$B$11:$B$939,$A21,Compositions!$E$11:$E$936)</f>
        <v>1</v>
      </c>
      <c r="G21" s="9"/>
      <c r="H21" s="84">
        <f t="shared" ref="H21" si="6">IF(D21="in",E21,IF(D21="out",-E21,"error"))</f>
        <v>-0.25923970847482214</v>
      </c>
      <c r="I21" s="84">
        <f>IF($D21="in",1,IF($D21="out",-1,0))*SUMIF(Compositions!$B$11:$B$933,Compositions!$B$21,Compositions!$AG$11:$AG$933)</f>
        <v>-5.0308023689819509E-3</v>
      </c>
      <c r="J21" s="84">
        <f>IF($D21="in",1,IF($D21="out",-1,0))*SUMIF(Compositions!$B$11:$B$933,Compositions!$B$21,Compositions!$AH$11:$AH$933)</f>
        <v>-8.5972042615958637E-3</v>
      </c>
      <c r="K21" s="84">
        <f>IF($D21="in",1,IF($D21="out",-1,0))*SUMIF(Compositions!$B$11:$B$933,Compositions!$B$21,Compositions!$AI$11:$AI$933)</f>
        <v>-4.5903507596233122E-2</v>
      </c>
      <c r="L21" s="84">
        <f>IF($D21="in",1,IF($D21="out",-1,0))*SUMIF(Compositions!$B$11:$B$933,Compositions!$B$21,Compositions!$AJ$11:$AJ$933)</f>
        <v>-0.13100159141176829</v>
      </c>
      <c r="M21" s="84">
        <f>IF($D21="in",1,IF($D21="out",-1,0))*SUMIF(Compositions!$B$11:$B$933,Compositions!$B$21,Compositions!$AK$11:$AK$933)</f>
        <v>-6.3568034001952448E-2</v>
      </c>
      <c r="N21" s="84">
        <f>IF($D21="in",1,IF($D21="out",-1,0))*SUMIF(Compositions!$B$11:$B$933,Compositions!$B$21,Compositions!$AL$11:$AL$933)</f>
        <v>-3.0798975961695129E-3</v>
      </c>
      <c r="O21" s="84">
        <f>IF($D21="in",1,IF($D21="out",-1,0))*SUMIF(Compositions!$B$11:$B$933,Compositions!$B$21,Compositions!$AM$11:$AM$933)</f>
        <v>-6.4769494501411007E-6</v>
      </c>
      <c r="P21" s="84">
        <f>IF($D21="in",1,IF($D21="out",-1,0))*SUMIF(Compositions!$B$11:$B$933,Compositions!$B$21,Compositions!$AN$11:$AN$933)</f>
        <v>-1.1392190691813474E-3</v>
      </c>
      <c r="Q21" s="84">
        <f>IF($D21="in",1,IF($D21="out",-1,0))*SUMIF(Compositions!$B$11:$B$933,Compositions!$B$21,Compositions!$AO$11:$AO$933)</f>
        <v>-4.5205353784595604E-4</v>
      </c>
      <c r="R21" s="84">
        <f>IF($D21="in",1,IF($D21="out",-1,0))*SUMIF(Compositions!$B$11:$B$933,Compositions!$B$21,Compositions!$AP$11:$AP$933)</f>
        <v>-4.7848292614565472E-5</v>
      </c>
      <c r="S21" s="84">
        <f>IF($D21="in",1,IF($D21="out",-1,0))*SUMIF(Compositions!$B$11:$B$933,Compositions!$B$21,Compositions!$AQ$11:$AQ$933)</f>
        <v>-9.5895568703761861E-5</v>
      </c>
      <c r="T21" s="84">
        <f>IF($D21="in",1,IF($D21="out",-1,0))*SUMIF(Compositions!$B$11:$B$933,Compositions!$B$21,Compositions!$AR$11:$AR$933)</f>
        <v>-1.291324012565835E-4</v>
      </c>
      <c r="U21" s="84">
        <f>IF($D21="in",1,IF($D21="out",-1,0))*SUMIF(Compositions!$B$11:$B$933,Compositions!$B$21,Compositions!$AS$11:$AS$933)</f>
        <v>-1.880454190686258E-4</v>
      </c>
      <c r="W21" s="318" t="e">
        <f>SUMIF(Compositions!$B$10:$B$957,A21,Compositions!$AE$10:$AE$957)*(1/E21)</f>
        <v>#N/A</v>
      </c>
      <c r="X21" s="319" t="s">
        <v>105</v>
      </c>
      <c r="Y21" s="318"/>
      <c r="Z21" s="318" t="e">
        <f t="shared" si="2"/>
        <v>#N/A</v>
      </c>
      <c r="AA21" s="318"/>
    </row>
    <row r="22" spans="1:27" x14ac:dyDescent="0.25">
      <c r="A22" s="767"/>
      <c r="B22" s="270"/>
      <c r="C22" s="296"/>
      <c r="D22" s="767"/>
      <c r="E22" s="198"/>
      <c r="F22" s="767"/>
      <c r="G22" s="9"/>
      <c r="H22" s="12" t="str">
        <f t="shared" ref="H22" si="7">IF(D22="in",E22,IF(D22="out",-E22,"error"))</f>
        <v>error</v>
      </c>
      <c r="I22" s="12">
        <f>IF($D22="in",1,IF($D22="out",-1,0))*SUMIF(Compositions!$B$11:$B$933,$A22,Compositions!$AG$11:$AG$933)</f>
        <v>0</v>
      </c>
      <c r="J22" s="12">
        <f>IF($D22="in",1,IF($D22="out",-1,0))*SUMIF(Compositions!$B$11:$B$933,$A22,Compositions!$AH$11:$AH$933)</f>
        <v>0</v>
      </c>
      <c r="K22" s="12"/>
      <c r="L22" s="12"/>
      <c r="M22" s="12"/>
      <c r="N22" s="12"/>
      <c r="O22" s="12"/>
      <c r="P22" s="12"/>
      <c r="Q22" s="12"/>
      <c r="R22" s="12"/>
      <c r="S22" s="12"/>
      <c r="T22" s="12"/>
      <c r="U22" s="12"/>
      <c r="W22" s="318" t="e">
        <f>SUMIF(Compositions!$B$10:$B$957,A22,Compositions!$AE$10:$AE$957)*(1/E22)</f>
        <v>#DIV/0!</v>
      </c>
      <c r="X22" s="319"/>
      <c r="Y22" s="318"/>
      <c r="Z22" s="318">
        <f t="shared" si="2"/>
        <v>0</v>
      </c>
      <c r="AA22" s="318"/>
    </row>
    <row r="23" spans="1:27" x14ac:dyDescent="0.25">
      <c r="A23" s="767"/>
      <c r="B23" s="270"/>
      <c r="C23" s="296"/>
      <c r="D23" s="767"/>
      <c r="E23" s="270"/>
      <c r="F23" s="767"/>
      <c r="G23" s="9"/>
      <c r="H23" s="12" t="str">
        <f t="shared" ref="H23" si="8">IF(D23="in",E23,IF(D23="out",-E23,"error"))</f>
        <v>error</v>
      </c>
      <c r="I23" s="12">
        <f>IF($D23="in",1,IF($D23="out",-1,0))*SUMIF(Compositions!$B$11:$B$933,$A23,Compositions!$AG$11:$AG$933)</f>
        <v>0</v>
      </c>
      <c r="J23" s="12">
        <f>IF($D23="in",1,IF($D23="out",-1,0))*SUMIF(Compositions!$B$11:$B$933,$A23,Compositions!$AH$11:$AH$933)</f>
        <v>0</v>
      </c>
      <c r="K23" s="12"/>
      <c r="L23" s="12"/>
      <c r="M23" s="12"/>
      <c r="N23" s="12"/>
      <c r="O23" s="12"/>
      <c r="P23" s="12"/>
      <c r="Q23" s="12"/>
      <c r="R23" s="12"/>
      <c r="S23" s="12"/>
      <c r="T23" s="12"/>
      <c r="U23" s="12"/>
      <c r="W23" s="318" t="e">
        <f>SUMIF(Compositions!$B$10:$B$957,A23,Compositions!$AE$10:$AE$957)*(1/E23)</f>
        <v>#DIV/0!</v>
      </c>
      <c r="X23" s="319"/>
      <c r="Y23" s="318"/>
      <c r="Z23" s="318">
        <f t="shared" si="2"/>
        <v>0</v>
      </c>
      <c r="AA23" s="318"/>
    </row>
    <row r="24" spans="1:27" x14ac:dyDescent="0.25">
      <c r="A24" s="767"/>
      <c r="B24" s="270"/>
      <c r="C24" s="296"/>
      <c r="D24" s="767"/>
      <c r="E24" s="198"/>
      <c r="F24" s="767"/>
      <c r="G24" s="9"/>
      <c r="H24" s="12" t="str">
        <f t="shared" ref="H24" si="9">IF(D24="in",E24,IF(D24="out",-E24,"error"))</f>
        <v>error</v>
      </c>
      <c r="I24" s="12">
        <f>IF($D24="in",1,IF($D24="out",-1,0))*SUMIF(Compositions!$B$11:$B$933,$A24,Compositions!$AG$11:$AG$933)</f>
        <v>0</v>
      </c>
      <c r="J24" s="12">
        <f>IF($D24="in",1,IF($D24="out",-1,0))*SUMIF(Compositions!$B$11:$B$933,$A24,Compositions!$AH$11:$AH$933)</f>
        <v>0</v>
      </c>
      <c r="K24" s="12"/>
      <c r="L24" s="12"/>
      <c r="M24" s="12"/>
      <c r="N24" s="12"/>
      <c r="O24" s="12"/>
      <c r="P24" s="12"/>
      <c r="Q24" s="12"/>
      <c r="R24" s="12"/>
      <c r="S24" s="12"/>
      <c r="T24" s="12"/>
      <c r="U24" s="12"/>
      <c r="W24" s="318" t="e">
        <f>SUMIF(Compositions!$B$10:$B$957,A24,Compositions!$AE$10:$AE$957)*(1/E24)</f>
        <v>#DIV/0!</v>
      </c>
      <c r="X24" s="319"/>
      <c r="Y24" s="318"/>
      <c r="Z24" s="318">
        <f t="shared" si="2"/>
        <v>0</v>
      </c>
      <c r="AA24" s="318"/>
    </row>
    <row r="25" spans="1:27" x14ac:dyDescent="0.25">
      <c r="A25" s="767"/>
      <c r="B25" s="270"/>
      <c r="C25" s="296"/>
      <c r="D25" s="767"/>
      <c r="E25" s="198"/>
      <c r="F25" s="767"/>
      <c r="G25" s="9"/>
      <c r="H25" s="12" t="str">
        <f t="shared" ref="H25" si="10">IF(D25="in",E25,IF(D25="out",-E25,"error"))</f>
        <v>error</v>
      </c>
      <c r="I25" s="12">
        <f>IF($D25="in",1,IF($D25="out",-1,0))*SUMIF(Compositions!$B$11:$B$933,$A25,Compositions!$AG$11:$AG$933)</f>
        <v>0</v>
      </c>
      <c r="J25" s="12">
        <f>IF($D25="in",1,IF($D25="out",-1,0))*SUMIF(Compositions!$B$11:$B$933,$A25,Compositions!$AH$11:$AH$933)</f>
        <v>0</v>
      </c>
      <c r="K25" s="12"/>
      <c r="L25" s="12"/>
      <c r="M25" s="12"/>
      <c r="N25" s="12"/>
      <c r="O25" s="12"/>
      <c r="P25" s="12"/>
      <c r="Q25" s="12"/>
      <c r="R25" s="12"/>
      <c r="S25" s="12"/>
      <c r="T25" s="12"/>
      <c r="U25" s="12"/>
      <c r="W25" s="318" t="e">
        <f>SUMIF(Compositions!$B$10:$B$957,A25,Compositions!$AE$10:$AE$957)*(1/E25)</f>
        <v>#DIV/0!</v>
      </c>
      <c r="X25" s="319"/>
      <c r="Y25" s="318"/>
      <c r="Z25" s="318">
        <f t="shared" si="2"/>
        <v>0</v>
      </c>
      <c r="AA25" s="318"/>
    </row>
    <row r="26" spans="1:27" x14ac:dyDescent="0.25">
      <c r="A26" s="767"/>
      <c r="B26" s="270"/>
      <c r="C26" s="296"/>
      <c r="D26" s="767"/>
      <c r="E26" s="198"/>
      <c r="F26" s="767"/>
      <c r="G26" s="9"/>
      <c r="H26" s="12" t="str">
        <f t="shared" ref="H26" si="11">IF(D26="in",E26,IF(D26="out",-E26,"error"))</f>
        <v>error</v>
      </c>
      <c r="I26" s="12">
        <f>IF($D26="in",1,IF($D26="out",-1,0))*SUMIF(Compositions!$B$11:$B$933,$A26,Compositions!$AG$11:$AG$933)</f>
        <v>0</v>
      </c>
      <c r="J26" s="12">
        <f>IF($D26="in",1,IF($D26="out",-1,0))*SUMIF(Compositions!$B$11:$B$933,$A26,Compositions!$AH$11:$AH$933)</f>
        <v>0</v>
      </c>
      <c r="K26" s="12"/>
      <c r="L26" s="12"/>
      <c r="M26" s="12"/>
      <c r="N26" s="12"/>
      <c r="O26" s="12"/>
      <c r="P26" s="12"/>
      <c r="Q26" s="12"/>
      <c r="R26" s="12"/>
      <c r="S26" s="12"/>
      <c r="T26" s="12"/>
      <c r="U26" s="12"/>
      <c r="W26" s="318" t="e">
        <f>SUMIF(Compositions!$B$10:$B$957,A26,Compositions!$AE$10:$AE$957)*(1/E26)</f>
        <v>#DIV/0!</v>
      </c>
      <c r="X26" s="319"/>
      <c r="Y26" s="318"/>
      <c r="Z26" s="318">
        <f t="shared" si="2"/>
        <v>0</v>
      </c>
      <c r="AA26" s="318"/>
    </row>
    <row r="27" spans="1:27" x14ac:dyDescent="0.25">
      <c r="A27" s="767"/>
      <c r="B27" s="270"/>
      <c r="C27" s="296"/>
      <c r="D27" s="767"/>
      <c r="E27" s="198"/>
      <c r="F27" s="767"/>
      <c r="G27" s="9"/>
      <c r="H27" s="12" t="str">
        <f t="shared" ref="H27" si="12">IF(D27="in",E27,IF(D27="out",-E27,"error"))</f>
        <v>error</v>
      </c>
      <c r="I27" s="12">
        <f>IF($D27="in",1,IF($D27="out",-1,0))*SUMIF(Compositions!$B$11:$B$933,$A27,Compositions!$AG$11:$AG$933)</f>
        <v>0</v>
      </c>
      <c r="J27" s="12">
        <f>IF($D27="in",1,IF($D27="out",-1,0))*SUMIF(Compositions!$B$11:$B$933,$A27,Compositions!$AH$11:$AH$933)</f>
        <v>0</v>
      </c>
      <c r="K27" s="12"/>
      <c r="L27" s="12"/>
      <c r="M27" s="12"/>
      <c r="N27" s="12"/>
      <c r="O27" s="12"/>
      <c r="P27" s="12"/>
      <c r="Q27" s="12"/>
      <c r="R27" s="12"/>
      <c r="S27" s="12"/>
      <c r="T27" s="12"/>
      <c r="U27" s="12"/>
      <c r="W27" s="318" t="e">
        <f>SUMIF(Compositions!$B$10:$B$957,A27,Compositions!$AE$10:$AE$957)*(1/E27)</f>
        <v>#DIV/0!</v>
      </c>
      <c r="X27" s="319"/>
      <c r="Y27" s="318"/>
      <c r="Z27" s="318">
        <f t="shared" si="2"/>
        <v>0</v>
      </c>
      <c r="AA27" s="318"/>
    </row>
    <row r="28" spans="1:27" x14ac:dyDescent="0.25">
      <c r="A28" s="767"/>
      <c r="B28" s="270"/>
      <c r="C28" s="296"/>
      <c r="D28" s="767"/>
      <c r="E28" s="198"/>
      <c r="F28" s="767"/>
      <c r="G28" s="9"/>
      <c r="H28" s="12" t="str">
        <f t="shared" ref="H28" si="13">IF(D28="in",E28,IF(D28="out",-E28,"error"))</f>
        <v>error</v>
      </c>
      <c r="I28" s="12">
        <f>IF($D28="in",1,IF($D28="out",-1,0))*SUMIF(Compositions!$B$11:$B$933,$A28,Compositions!$AG$11:$AG$933)</f>
        <v>0</v>
      </c>
      <c r="J28" s="12">
        <f>IF($D28="in",1,IF($D28="out",-1,0))*SUMIF(Compositions!$B$11:$B$933,$A28,Compositions!$AH$11:$AH$933)</f>
        <v>0</v>
      </c>
      <c r="K28" s="12"/>
      <c r="L28" s="12"/>
      <c r="M28" s="12"/>
      <c r="N28" s="12"/>
      <c r="O28" s="12"/>
      <c r="P28" s="12"/>
      <c r="Q28" s="12"/>
      <c r="R28" s="12"/>
      <c r="S28" s="12"/>
      <c r="T28" s="12"/>
      <c r="U28" s="12"/>
      <c r="W28" s="318" t="e">
        <f>SUMIF(Compositions!$B$10:$B$957,A28,Compositions!$AE$10:$AE$957)*(1/E28)</f>
        <v>#DIV/0!</v>
      </c>
      <c r="X28" s="319"/>
      <c r="Y28" s="318"/>
      <c r="Z28" s="318">
        <f t="shared" si="2"/>
        <v>0</v>
      </c>
      <c r="AA28" s="318"/>
    </row>
    <row r="29" spans="1:27" x14ac:dyDescent="0.25">
      <c r="A29" s="767"/>
      <c r="B29" s="270"/>
      <c r="C29" s="296"/>
      <c r="D29" s="767"/>
      <c r="E29" s="198"/>
      <c r="F29" s="767"/>
      <c r="G29" s="9"/>
      <c r="H29" s="12" t="str">
        <f t="shared" ref="H29" si="14">IF(D29="in",E29,IF(D29="out",-E29,"error"))</f>
        <v>error</v>
      </c>
      <c r="I29" s="12">
        <f>IF($D29="in",1,IF($D29="out",-1,0))*SUMIF(Compositions!$B$11:$B$933,$A29,Compositions!$AG$11:$AG$933)</f>
        <v>0</v>
      </c>
      <c r="J29" s="12">
        <f>IF($D29="in",1,IF($D29="out",-1,0))*SUMIF(Compositions!$B$11:$B$933,$A29,Compositions!$AH$11:$AH$933)</f>
        <v>0</v>
      </c>
      <c r="K29" s="12"/>
      <c r="L29" s="12"/>
      <c r="M29" s="12"/>
      <c r="N29" s="12"/>
      <c r="O29" s="12"/>
      <c r="P29" s="12"/>
      <c r="Q29" s="12"/>
      <c r="R29" s="12"/>
      <c r="S29" s="12"/>
      <c r="T29" s="12"/>
      <c r="U29" s="12"/>
      <c r="W29" s="318" t="e">
        <f>SUMIF(Compositions!$B$10:$B$957,A29,Compositions!$AE$10:$AE$957)*(1/E29)</f>
        <v>#DIV/0!</v>
      </c>
      <c r="X29" s="319"/>
      <c r="Y29" s="318"/>
      <c r="Z29" s="318">
        <f t="shared" si="2"/>
        <v>0</v>
      </c>
      <c r="AA29" s="318"/>
    </row>
    <row r="30" spans="1:27" x14ac:dyDescent="0.25">
      <c r="B30"/>
      <c r="C30"/>
      <c r="D30"/>
      <c r="X30" s="762"/>
    </row>
    <row r="31" spans="1:27" x14ac:dyDescent="0.25">
      <c r="B31"/>
      <c r="C31"/>
      <c r="D31"/>
      <c r="X31" s="762"/>
    </row>
    <row r="32" spans="1:27" x14ac:dyDescent="0.25">
      <c r="B32"/>
      <c r="C32"/>
      <c r="D32"/>
      <c r="X32" s="762"/>
    </row>
    <row r="33" spans="2:4" x14ac:dyDescent="0.25">
      <c r="B33"/>
      <c r="C33"/>
      <c r="D33"/>
    </row>
    <row r="34" spans="2:4" x14ac:dyDescent="0.25">
      <c r="B34"/>
      <c r="C34"/>
      <c r="D34"/>
    </row>
    <row r="35" spans="2:4" x14ac:dyDescent="0.25">
      <c r="B35"/>
      <c r="C35"/>
      <c r="D35"/>
    </row>
    <row r="36" spans="2:4" x14ac:dyDescent="0.25">
      <c r="B36"/>
      <c r="C36"/>
      <c r="D36"/>
    </row>
    <row r="37" spans="2:4" x14ac:dyDescent="0.25">
      <c r="B37"/>
      <c r="C37"/>
      <c r="D37"/>
    </row>
    <row r="38" spans="2:4" x14ac:dyDescent="0.25">
      <c r="B38"/>
      <c r="C38"/>
      <c r="D38"/>
    </row>
    <row r="39" spans="2:4" x14ac:dyDescent="0.25">
      <c r="B39"/>
      <c r="C39"/>
      <c r="D39"/>
    </row>
    <row r="40" spans="2:4" x14ac:dyDescent="0.25">
      <c r="B40"/>
      <c r="C40"/>
      <c r="D40"/>
    </row>
    <row r="41" spans="2:4" x14ac:dyDescent="0.25">
      <c r="B41"/>
      <c r="C41"/>
      <c r="D41"/>
    </row>
    <row r="42" spans="2:4" x14ac:dyDescent="0.25">
      <c r="B42"/>
      <c r="C42"/>
      <c r="D42"/>
    </row>
    <row r="43" spans="2:4" x14ac:dyDescent="0.25">
      <c r="B43"/>
      <c r="C43"/>
      <c r="D43"/>
    </row>
    <row r="44" spans="2:4" x14ac:dyDescent="0.25">
      <c r="B44"/>
      <c r="C44"/>
      <c r="D44"/>
    </row>
    <row r="45" spans="2:4" x14ac:dyDescent="0.25">
      <c r="B45"/>
      <c r="C45"/>
      <c r="D45"/>
    </row>
    <row r="46" spans="2:4" x14ac:dyDescent="0.25">
      <c r="B46"/>
      <c r="C46"/>
      <c r="D46"/>
    </row>
    <row r="47" spans="2:4" x14ac:dyDescent="0.25">
      <c r="B47"/>
      <c r="C47"/>
      <c r="D47"/>
    </row>
    <row r="48" spans="2:4" x14ac:dyDescent="0.25">
      <c r="B48"/>
      <c r="C48"/>
      <c r="D48"/>
    </row>
    <row r="49" spans="2:4" x14ac:dyDescent="0.25">
      <c r="B49"/>
      <c r="C49"/>
      <c r="D49"/>
    </row>
    <row r="50" spans="2:4" x14ac:dyDescent="0.25">
      <c r="B50"/>
      <c r="C50"/>
      <c r="D50"/>
    </row>
    <row r="51" spans="2:4" x14ac:dyDescent="0.25">
      <c r="B51"/>
      <c r="C51"/>
      <c r="D51"/>
    </row>
    <row r="52" spans="2:4" x14ac:dyDescent="0.25">
      <c r="B52"/>
      <c r="C52"/>
      <c r="D52"/>
    </row>
    <row r="53" spans="2:4" x14ac:dyDescent="0.25">
      <c r="B53"/>
      <c r="C53"/>
      <c r="D53"/>
    </row>
    <row r="54" spans="2:4" x14ac:dyDescent="0.25">
      <c r="B54"/>
      <c r="C54"/>
      <c r="D54"/>
    </row>
    <row r="55" spans="2:4" x14ac:dyDescent="0.25">
      <c r="B55"/>
      <c r="C55"/>
      <c r="D55"/>
    </row>
    <row r="56" spans="2:4" x14ac:dyDescent="0.25">
      <c r="B56"/>
      <c r="C56"/>
      <c r="D56"/>
    </row>
    <row r="57" spans="2:4" x14ac:dyDescent="0.25">
      <c r="B57"/>
      <c r="C57"/>
      <c r="D57"/>
    </row>
    <row r="58" spans="2:4" x14ac:dyDescent="0.25">
      <c r="B58"/>
      <c r="C58"/>
      <c r="D58"/>
    </row>
    <row r="59" spans="2:4" x14ac:dyDescent="0.25">
      <c r="B59"/>
      <c r="C59"/>
      <c r="D59"/>
    </row>
    <row r="60" spans="2:4" x14ac:dyDescent="0.25">
      <c r="B60"/>
      <c r="C60"/>
      <c r="D60"/>
    </row>
    <row r="61" spans="2:4" x14ac:dyDescent="0.25">
      <c r="B61"/>
      <c r="C61"/>
      <c r="D61"/>
    </row>
    <row r="62" spans="2:4" x14ac:dyDescent="0.25">
      <c r="B62"/>
      <c r="C62"/>
      <c r="D62"/>
    </row>
    <row r="63" spans="2:4" x14ac:dyDescent="0.25">
      <c r="B63"/>
      <c r="C63"/>
      <c r="D63"/>
    </row>
    <row r="64" spans="2:4" x14ac:dyDescent="0.25">
      <c r="B64"/>
      <c r="C64"/>
      <c r="D64"/>
    </row>
    <row r="65" spans="2:4" x14ac:dyDescent="0.25">
      <c r="B65"/>
      <c r="C65"/>
      <c r="D65"/>
    </row>
    <row r="66" spans="2:4" x14ac:dyDescent="0.25">
      <c r="B66"/>
      <c r="C66"/>
      <c r="D66"/>
    </row>
    <row r="67" spans="2:4" x14ac:dyDescent="0.25">
      <c r="B67"/>
      <c r="C67"/>
      <c r="D67"/>
    </row>
    <row r="68" spans="2:4" x14ac:dyDescent="0.25">
      <c r="B68"/>
      <c r="C68"/>
      <c r="D68"/>
    </row>
    <row r="69" spans="2:4" x14ac:dyDescent="0.25">
      <c r="B69"/>
      <c r="C69"/>
      <c r="D69"/>
    </row>
    <row r="70" spans="2:4" x14ac:dyDescent="0.25">
      <c r="B70"/>
      <c r="C70"/>
      <c r="D70"/>
    </row>
    <row r="71" spans="2:4" x14ac:dyDescent="0.25">
      <c r="B71"/>
      <c r="C71"/>
      <c r="D71"/>
    </row>
    <row r="72" spans="2:4" x14ac:dyDescent="0.25">
      <c r="B72"/>
      <c r="C72"/>
      <c r="D72"/>
    </row>
    <row r="73" spans="2:4" x14ac:dyDescent="0.25">
      <c r="B73"/>
      <c r="C73"/>
      <c r="D73"/>
    </row>
    <row r="74" spans="2:4" x14ac:dyDescent="0.25">
      <c r="B74"/>
      <c r="C74"/>
      <c r="D74"/>
    </row>
    <row r="75" spans="2:4" x14ac:dyDescent="0.25">
      <c r="B75"/>
      <c r="C75"/>
      <c r="D75"/>
    </row>
    <row r="76" spans="2:4" x14ac:dyDescent="0.25">
      <c r="B76"/>
      <c r="C76"/>
      <c r="D76"/>
    </row>
    <row r="77" spans="2:4" x14ac:dyDescent="0.25">
      <c r="B77"/>
      <c r="C77"/>
      <c r="D77"/>
    </row>
    <row r="78" spans="2:4" x14ac:dyDescent="0.25">
      <c r="B78"/>
      <c r="C78"/>
      <c r="D78"/>
    </row>
    <row r="79" spans="2:4" x14ac:dyDescent="0.25">
      <c r="B79"/>
      <c r="C79"/>
      <c r="D79"/>
    </row>
    <row r="80" spans="2:4" x14ac:dyDescent="0.25">
      <c r="B80"/>
      <c r="C80"/>
      <c r="D80"/>
    </row>
    <row r="81" spans="2:4" x14ac:dyDescent="0.25">
      <c r="B81"/>
      <c r="C81"/>
      <c r="D81"/>
    </row>
    <row r="82" spans="2:4" x14ac:dyDescent="0.25">
      <c r="B82"/>
      <c r="C82"/>
      <c r="D82"/>
    </row>
    <row r="83" spans="2:4" x14ac:dyDescent="0.25">
      <c r="B83"/>
      <c r="C83"/>
      <c r="D83"/>
    </row>
    <row r="84" spans="2:4" x14ac:dyDescent="0.25">
      <c r="B84"/>
      <c r="C84"/>
      <c r="D84"/>
    </row>
    <row r="85" spans="2:4" x14ac:dyDescent="0.25">
      <c r="B85"/>
      <c r="C85"/>
      <c r="D85"/>
    </row>
    <row r="86" spans="2:4" x14ac:dyDescent="0.25">
      <c r="B86"/>
      <c r="C86"/>
      <c r="D86"/>
    </row>
    <row r="87" spans="2:4" x14ac:dyDescent="0.25">
      <c r="B87"/>
      <c r="C87"/>
      <c r="D87"/>
    </row>
    <row r="88" spans="2:4" x14ac:dyDescent="0.25">
      <c r="B88"/>
      <c r="C88"/>
      <c r="D88"/>
    </row>
    <row r="89" spans="2:4" x14ac:dyDescent="0.25">
      <c r="B89"/>
      <c r="C89"/>
      <c r="D89"/>
    </row>
    <row r="90" spans="2:4" x14ac:dyDescent="0.25">
      <c r="B90"/>
      <c r="C90"/>
      <c r="D90"/>
    </row>
    <row r="91" spans="2:4" x14ac:dyDescent="0.25">
      <c r="B91"/>
      <c r="C91"/>
      <c r="D91"/>
    </row>
    <row r="92" spans="2:4" x14ac:dyDescent="0.25">
      <c r="B92"/>
      <c r="C92"/>
      <c r="D92"/>
    </row>
    <row r="93" spans="2:4" x14ac:dyDescent="0.25">
      <c r="B93"/>
      <c r="C93"/>
      <c r="D93"/>
    </row>
    <row r="94" spans="2:4" x14ac:dyDescent="0.25">
      <c r="B94"/>
      <c r="C94"/>
      <c r="D94"/>
    </row>
    <row r="95" spans="2:4" x14ac:dyDescent="0.25">
      <c r="B95"/>
      <c r="C95"/>
      <c r="D95"/>
    </row>
    <row r="96" spans="2:4" x14ac:dyDescent="0.25">
      <c r="B96"/>
      <c r="C96"/>
      <c r="D96"/>
    </row>
    <row r="97" spans="2:4" x14ac:dyDescent="0.25">
      <c r="B97"/>
      <c r="C97"/>
      <c r="D97"/>
    </row>
    <row r="98" spans="2:4" x14ac:dyDescent="0.25">
      <c r="B98"/>
      <c r="C98"/>
      <c r="D98"/>
    </row>
    <row r="99" spans="2:4" x14ac:dyDescent="0.25">
      <c r="B99"/>
      <c r="C99"/>
      <c r="D99"/>
    </row>
    <row r="100" spans="2:4" x14ac:dyDescent="0.25">
      <c r="B100"/>
      <c r="C100"/>
      <c r="D100"/>
    </row>
    <row r="101" spans="2:4" x14ac:dyDescent="0.25">
      <c r="B101"/>
      <c r="C101"/>
      <c r="D101"/>
    </row>
    <row r="102" spans="2:4" x14ac:dyDescent="0.25">
      <c r="B102"/>
      <c r="C102"/>
      <c r="D102"/>
    </row>
    <row r="103" spans="2:4" x14ac:dyDescent="0.25">
      <c r="B103"/>
      <c r="C103"/>
      <c r="D103"/>
    </row>
    <row r="104" spans="2:4" x14ac:dyDescent="0.25">
      <c r="B104"/>
      <c r="C104"/>
      <c r="D104"/>
    </row>
    <row r="105" spans="2:4" x14ac:dyDescent="0.25">
      <c r="B105"/>
      <c r="C105"/>
      <c r="D105"/>
    </row>
    <row r="106" spans="2:4" x14ac:dyDescent="0.25">
      <c r="B106"/>
      <c r="C106"/>
      <c r="D106"/>
    </row>
    <row r="107" spans="2:4" x14ac:dyDescent="0.25">
      <c r="B107"/>
      <c r="C107"/>
      <c r="D107"/>
    </row>
    <row r="108" spans="2:4" x14ac:dyDescent="0.25">
      <c r="B108"/>
      <c r="C108"/>
      <c r="D108"/>
    </row>
    <row r="109" spans="2:4" x14ac:dyDescent="0.25">
      <c r="B109"/>
      <c r="C109"/>
      <c r="D109"/>
    </row>
    <row r="110" spans="2:4" x14ac:dyDescent="0.25">
      <c r="B110"/>
      <c r="C110"/>
      <c r="D110"/>
    </row>
    <row r="111" spans="2:4" x14ac:dyDescent="0.25">
      <c r="B111"/>
      <c r="C111"/>
      <c r="D111"/>
    </row>
    <row r="112" spans="2:4" x14ac:dyDescent="0.25">
      <c r="B112"/>
      <c r="C112"/>
      <c r="D112"/>
    </row>
    <row r="113" spans="2:4" x14ac:dyDescent="0.25">
      <c r="B113"/>
      <c r="C113"/>
      <c r="D113"/>
    </row>
    <row r="114" spans="2:4" x14ac:dyDescent="0.25">
      <c r="B114"/>
      <c r="C114"/>
      <c r="D114"/>
    </row>
    <row r="115" spans="2:4" x14ac:dyDescent="0.25">
      <c r="B115"/>
      <c r="C115"/>
      <c r="D115"/>
    </row>
    <row r="116" spans="2:4" x14ac:dyDescent="0.25">
      <c r="B116"/>
      <c r="C116"/>
      <c r="D116"/>
    </row>
    <row r="117" spans="2:4" x14ac:dyDescent="0.25">
      <c r="B117"/>
      <c r="C117"/>
      <c r="D117"/>
    </row>
    <row r="118" spans="2:4" x14ac:dyDescent="0.25">
      <c r="B118"/>
      <c r="C118"/>
      <c r="D118"/>
    </row>
    <row r="119" spans="2:4" x14ac:dyDescent="0.25">
      <c r="B119"/>
      <c r="C119"/>
      <c r="D119"/>
    </row>
    <row r="120" spans="2:4" x14ac:dyDescent="0.25">
      <c r="B120"/>
      <c r="C120"/>
      <c r="D120"/>
    </row>
    <row r="121" spans="2:4" x14ac:dyDescent="0.25">
      <c r="B121"/>
      <c r="C121"/>
      <c r="D121"/>
    </row>
    <row r="122" spans="2:4" x14ac:dyDescent="0.25">
      <c r="B122"/>
      <c r="C122"/>
      <c r="D122"/>
    </row>
    <row r="123" spans="2:4" x14ac:dyDescent="0.25">
      <c r="B123"/>
      <c r="C123"/>
      <c r="D123"/>
    </row>
    <row r="124" spans="2:4" x14ac:dyDescent="0.25">
      <c r="B124"/>
      <c r="C124"/>
      <c r="D124"/>
    </row>
    <row r="125" spans="2:4" x14ac:dyDescent="0.25">
      <c r="B125"/>
      <c r="C125"/>
      <c r="D125"/>
    </row>
    <row r="126" spans="2:4" x14ac:dyDescent="0.25">
      <c r="B126"/>
      <c r="C126"/>
      <c r="D126"/>
    </row>
    <row r="127" spans="2:4" x14ac:dyDescent="0.25">
      <c r="B127"/>
      <c r="C127"/>
      <c r="D127"/>
    </row>
    <row r="128" spans="2:4" x14ac:dyDescent="0.25">
      <c r="B128"/>
      <c r="C128"/>
      <c r="D128"/>
    </row>
    <row r="129" spans="2:4" x14ac:dyDescent="0.25">
      <c r="B129"/>
      <c r="C129"/>
      <c r="D129"/>
    </row>
    <row r="130" spans="2:4" x14ac:dyDescent="0.25">
      <c r="B130"/>
      <c r="C130"/>
      <c r="D130"/>
    </row>
    <row r="131" spans="2:4" x14ac:dyDescent="0.25">
      <c r="B131"/>
      <c r="C131"/>
      <c r="D131"/>
    </row>
    <row r="132" spans="2:4" x14ac:dyDescent="0.25">
      <c r="B132"/>
      <c r="C132"/>
      <c r="D132"/>
    </row>
    <row r="133" spans="2:4" x14ac:dyDescent="0.25">
      <c r="B133"/>
      <c r="C133"/>
      <c r="D133"/>
    </row>
    <row r="134" spans="2:4" x14ac:dyDescent="0.25">
      <c r="B134"/>
      <c r="C134"/>
      <c r="D134"/>
    </row>
    <row r="135" spans="2:4" x14ac:dyDescent="0.25">
      <c r="B135"/>
      <c r="C135"/>
      <c r="D135"/>
    </row>
    <row r="136" spans="2:4" x14ac:dyDescent="0.25">
      <c r="B136"/>
      <c r="C136"/>
      <c r="D136"/>
    </row>
    <row r="137" spans="2:4" x14ac:dyDescent="0.25">
      <c r="B137"/>
      <c r="C137"/>
      <c r="D137"/>
    </row>
    <row r="138" spans="2:4" x14ac:dyDescent="0.25">
      <c r="B138"/>
      <c r="C138"/>
      <c r="D138"/>
    </row>
    <row r="139" spans="2:4" x14ac:dyDescent="0.25">
      <c r="B139"/>
      <c r="C139"/>
      <c r="D139"/>
    </row>
    <row r="140" spans="2:4" x14ac:dyDescent="0.25">
      <c r="B140"/>
      <c r="C140"/>
      <c r="D140"/>
    </row>
    <row r="141" spans="2:4" x14ac:dyDescent="0.25">
      <c r="B141"/>
      <c r="C141"/>
      <c r="D141"/>
    </row>
    <row r="142" spans="2:4" x14ac:dyDescent="0.25">
      <c r="B142"/>
      <c r="C142"/>
      <c r="D142"/>
    </row>
    <row r="143" spans="2:4" x14ac:dyDescent="0.25">
      <c r="B143"/>
      <c r="C143"/>
      <c r="D143"/>
    </row>
    <row r="144" spans="2:4" x14ac:dyDescent="0.25">
      <c r="B144"/>
      <c r="C144"/>
      <c r="D144"/>
    </row>
    <row r="145" spans="2:4" x14ac:dyDescent="0.25">
      <c r="B145"/>
      <c r="C145"/>
      <c r="D145"/>
    </row>
    <row r="146" spans="2:4" x14ac:dyDescent="0.25">
      <c r="B146"/>
      <c r="C146"/>
      <c r="D146"/>
    </row>
    <row r="147" spans="2:4" x14ac:dyDescent="0.25">
      <c r="B147"/>
      <c r="C147"/>
      <c r="D147"/>
    </row>
    <row r="148" spans="2:4" x14ac:dyDescent="0.25">
      <c r="B148"/>
      <c r="C148"/>
      <c r="D148"/>
    </row>
    <row r="149" spans="2:4" x14ac:dyDescent="0.25">
      <c r="B149"/>
      <c r="C149"/>
      <c r="D149"/>
    </row>
    <row r="150" spans="2:4" x14ac:dyDescent="0.25">
      <c r="B150"/>
      <c r="C150"/>
      <c r="D150"/>
    </row>
    <row r="151" spans="2:4" x14ac:dyDescent="0.25">
      <c r="B151"/>
      <c r="C151"/>
      <c r="D151"/>
    </row>
    <row r="152" spans="2:4" x14ac:dyDescent="0.25">
      <c r="B152"/>
      <c r="C152"/>
      <c r="D152"/>
    </row>
    <row r="153" spans="2:4" x14ac:dyDescent="0.25">
      <c r="B153"/>
      <c r="C153"/>
      <c r="D153"/>
    </row>
    <row r="154" spans="2:4" x14ac:dyDescent="0.25">
      <c r="B154"/>
      <c r="C154"/>
      <c r="D154"/>
    </row>
    <row r="155" spans="2:4" x14ac:dyDescent="0.25">
      <c r="B155"/>
      <c r="C155"/>
      <c r="D155"/>
    </row>
    <row r="156" spans="2:4" x14ac:dyDescent="0.25">
      <c r="B156"/>
      <c r="C156"/>
      <c r="D156"/>
    </row>
    <row r="157" spans="2:4" x14ac:dyDescent="0.25">
      <c r="B157"/>
      <c r="C157"/>
      <c r="D157"/>
    </row>
    <row r="158" spans="2:4" x14ac:dyDescent="0.25">
      <c r="B158"/>
      <c r="C158"/>
      <c r="D158"/>
    </row>
    <row r="159" spans="2:4" x14ac:dyDescent="0.25">
      <c r="B159"/>
      <c r="C159"/>
      <c r="D159"/>
    </row>
    <row r="160" spans="2:4" x14ac:dyDescent="0.25">
      <c r="B160"/>
      <c r="C160"/>
      <c r="D160"/>
    </row>
    <row r="161" spans="2:4" x14ac:dyDescent="0.25">
      <c r="B161"/>
      <c r="C161"/>
      <c r="D161"/>
    </row>
    <row r="162" spans="2:4" x14ac:dyDescent="0.25">
      <c r="B162"/>
      <c r="C162"/>
      <c r="D162"/>
    </row>
    <row r="163" spans="2:4" x14ac:dyDescent="0.25">
      <c r="B163"/>
      <c r="C163"/>
      <c r="D163"/>
    </row>
    <row r="164" spans="2:4" x14ac:dyDescent="0.25">
      <c r="B164"/>
      <c r="C164"/>
      <c r="D164"/>
    </row>
    <row r="165" spans="2:4" x14ac:dyDescent="0.25">
      <c r="B165"/>
      <c r="C165"/>
      <c r="D165"/>
    </row>
    <row r="166" spans="2:4" x14ac:dyDescent="0.25">
      <c r="B166"/>
      <c r="C166"/>
      <c r="D166"/>
    </row>
    <row r="167" spans="2:4" x14ac:dyDescent="0.25">
      <c r="B167"/>
      <c r="C167"/>
      <c r="D167"/>
    </row>
    <row r="168" spans="2:4" x14ac:dyDescent="0.25">
      <c r="B168"/>
      <c r="C168"/>
      <c r="D168"/>
    </row>
    <row r="169" spans="2:4" x14ac:dyDescent="0.25">
      <c r="B169"/>
      <c r="C169"/>
      <c r="D169"/>
    </row>
    <row r="170" spans="2:4" x14ac:dyDescent="0.25">
      <c r="B170"/>
      <c r="C170"/>
      <c r="D170"/>
    </row>
    <row r="171" spans="2:4" x14ac:dyDescent="0.25">
      <c r="B171"/>
      <c r="C171"/>
      <c r="D171"/>
    </row>
    <row r="172" spans="2:4" x14ac:dyDescent="0.25">
      <c r="B172"/>
      <c r="C172"/>
      <c r="D172"/>
    </row>
    <row r="173" spans="2:4" x14ac:dyDescent="0.25">
      <c r="B173"/>
      <c r="C173"/>
      <c r="D173"/>
    </row>
    <row r="174" spans="2:4" x14ac:dyDescent="0.25">
      <c r="B174"/>
      <c r="C174"/>
      <c r="D174"/>
    </row>
    <row r="175" spans="2:4" x14ac:dyDescent="0.25">
      <c r="B175"/>
      <c r="C175"/>
      <c r="D175"/>
    </row>
    <row r="176" spans="2:4" x14ac:dyDescent="0.25">
      <c r="B176"/>
      <c r="C176"/>
      <c r="D176"/>
    </row>
    <row r="177" spans="2:4" x14ac:dyDescent="0.25">
      <c r="B177"/>
      <c r="C177"/>
      <c r="D177"/>
    </row>
    <row r="178" spans="2:4" x14ac:dyDescent="0.25">
      <c r="B178"/>
      <c r="C178"/>
      <c r="D178"/>
    </row>
    <row r="179" spans="2:4" x14ac:dyDescent="0.25">
      <c r="B179"/>
      <c r="C179"/>
      <c r="D179"/>
    </row>
    <row r="180" spans="2:4" x14ac:dyDescent="0.25">
      <c r="B180"/>
      <c r="C180"/>
      <c r="D180"/>
    </row>
    <row r="181" spans="2:4" x14ac:dyDescent="0.25">
      <c r="B181"/>
      <c r="C181"/>
      <c r="D181"/>
    </row>
    <row r="182" spans="2:4" x14ac:dyDescent="0.25">
      <c r="B182"/>
      <c r="C182"/>
      <c r="D182"/>
    </row>
    <row r="183" spans="2:4" x14ac:dyDescent="0.25">
      <c r="B183"/>
      <c r="C183"/>
      <c r="D183"/>
    </row>
    <row r="184" spans="2:4" x14ac:dyDescent="0.25">
      <c r="B184"/>
      <c r="C184"/>
      <c r="D184"/>
    </row>
    <row r="185" spans="2:4" x14ac:dyDescent="0.25">
      <c r="B185"/>
      <c r="C185"/>
      <c r="D185"/>
    </row>
    <row r="186" spans="2:4" x14ac:dyDescent="0.25">
      <c r="B186"/>
      <c r="C186"/>
      <c r="D186"/>
    </row>
    <row r="187" spans="2:4" x14ac:dyDescent="0.25">
      <c r="B187"/>
      <c r="C187"/>
      <c r="D187"/>
    </row>
    <row r="188" spans="2:4" x14ac:dyDescent="0.25">
      <c r="B188"/>
      <c r="C188"/>
      <c r="D188"/>
    </row>
    <row r="189" spans="2:4" x14ac:dyDescent="0.25">
      <c r="B189"/>
      <c r="C189"/>
      <c r="D189"/>
    </row>
    <row r="190" spans="2:4" x14ac:dyDescent="0.25">
      <c r="B190"/>
      <c r="C190"/>
      <c r="D190"/>
    </row>
    <row r="191" spans="2:4" x14ac:dyDescent="0.25">
      <c r="B191"/>
      <c r="C191"/>
      <c r="D191"/>
    </row>
    <row r="192" spans="2:4" x14ac:dyDescent="0.25">
      <c r="B192"/>
      <c r="C192"/>
      <c r="D192"/>
    </row>
    <row r="193" spans="2:4" x14ac:dyDescent="0.25">
      <c r="B193"/>
      <c r="C193"/>
      <c r="D193"/>
    </row>
    <row r="194" spans="2:4" x14ac:dyDescent="0.25">
      <c r="B194"/>
      <c r="C194"/>
      <c r="D194"/>
    </row>
    <row r="195" spans="2:4" x14ac:dyDescent="0.25">
      <c r="B195"/>
      <c r="C195"/>
      <c r="D195"/>
    </row>
    <row r="196" spans="2:4" x14ac:dyDescent="0.25">
      <c r="B196"/>
      <c r="C196"/>
      <c r="D196"/>
    </row>
    <row r="197" spans="2:4" x14ac:dyDescent="0.25">
      <c r="B197"/>
      <c r="C197"/>
      <c r="D197"/>
    </row>
    <row r="198" spans="2:4" x14ac:dyDescent="0.25">
      <c r="B198"/>
      <c r="C198"/>
      <c r="D198"/>
    </row>
    <row r="199" spans="2:4" x14ac:dyDescent="0.25">
      <c r="B199"/>
      <c r="C199"/>
      <c r="D199"/>
    </row>
    <row r="200" spans="2:4" x14ac:dyDescent="0.25">
      <c r="B200"/>
      <c r="C200"/>
      <c r="D200"/>
    </row>
    <row r="201" spans="2:4" x14ac:dyDescent="0.25">
      <c r="B201"/>
      <c r="C201"/>
      <c r="D201"/>
    </row>
    <row r="202" spans="2:4" x14ac:dyDescent="0.25">
      <c r="B202"/>
      <c r="C202"/>
      <c r="D202"/>
    </row>
    <row r="203" spans="2:4" x14ac:dyDescent="0.25">
      <c r="B203"/>
      <c r="C203"/>
      <c r="D203"/>
    </row>
    <row r="204" spans="2:4" x14ac:dyDescent="0.25">
      <c r="B204"/>
      <c r="C204"/>
      <c r="D204"/>
    </row>
    <row r="205" spans="2:4" x14ac:dyDescent="0.25">
      <c r="B205"/>
      <c r="C205"/>
      <c r="D205"/>
    </row>
    <row r="206" spans="2:4" x14ac:dyDescent="0.25">
      <c r="B206"/>
      <c r="C206"/>
      <c r="D206"/>
    </row>
    <row r="207" spans="2:4" x14ac:dyDescent="0.25">
      <c r="B207"/>
      <c r="C207"/>
      <c r="D207"/>
    </row>
    <row r="208" spans="2:4" x14ac:dyDescent="0.25">
      <c r="B208"/>
      <c r="C208"/>
      <c r="D208"/>
    </row>
    <row r="209" spans="2:4" x14ac:dyDescent="0.25">
      <c r="B209"/>
      <c r="C209"/>
      <c r="D209"/>
    </row>
    <row r="210" spans="2:4" x14ac:dyDescent="0.25">
      <c r="B210"/>
      <c r="C210"/>
      <c r="D210"/>
    </row>
    <row r="211" spans="2:4" x14ac:dyDescent="0.25">
      <c r="B211"/>
      <c r="C211"/>
      <c r="D211"/>
    </row>
    <row r="212" spans="2:4" x14ac:dyDescent="0.25">
      <c r="B212"/>
      <c r="C212"/>
      <c r="D212"/>
    </row>
    <row r="213" spans="2:4" x14ac:dyDescent="0.25">
      <c r="B213"/>
      <c r="C213"/>
      <c r="D213"/>
    </row>
    <row r="214" spans="2:4" x14ac:dyDescent="0.25">
      <c r="B214"/>
      <c r="C214"/>
      <c r="D214"/>
    </row>
    <row r="215" spans="2:4" x14ac:dyDescent="0.25">
      <c r="B215"/>
      <c r="C215"/>
      <c r="D215"/>
    </row>
    <row r="216" spans="2:4" x14ac:dyDescent="0.25">
      <c r="B216"/>
      <c r="C216"/>
      <c r="D216"/>
    </row>
    <row r="217" spans="2:4" x14ac:dyDescent="0.25">
      <c r="B217"/>
      <c r="C217"/>
      <c r="D217"/>
    </row>
    <row r="218" spans="2:4" x14ac:dyDescent="0.25">
      <c r="B218"/>
      <c r="C218"/>
      <c r="D218"/>
    </row>
    <row r="219" spans="2:4" x14ac:dyDescent="0.25">
      <c r="B219"/>
      <c r="C219"/>
      <c r="D219"/>
    </row>
    <row r="220" spans="2:4" x14ac:dyDescent="0.25">
      <c r="B220"/>
      <c r="C220"/>
      <c r="D220"/>
    </row>
    <row r="221" spans="2:4" x14ac:dyDescent="0.25">
      <c r="B221"/>
      <c r="C221"/>
      <c r="D221"/>
    </row>
    <row r="222" spans="2:4" x14ac:dyDescent="0.25">
      <c r="B222"/>
      <c r="C222"/>
      <c r="D222"/>
    </row>
    <row r="223" spans="2:4" x14ac:dyDescent="0.25">
      <c r="B223"/>
      <c r="C223"/>
      <c r="D223"/>
    </row>
    <row r="224" spans="2:4" x14ac:dyDescent="0.25">
      <c r="B224"/>
      <c r="C224"/>
      <c r="D224"/>
    </row>
    <row r="225" spans="2:4" x14ac:dyDescent="0.25">
      <c r="B225"/>
      <c r="C225"/>
      <c r="D225"/>
    </row>
    <row r="226" spans="2:4" x14ac:dyDescent="0.25">
      <c r="B226"/>
      <c r="C226"/>
      <c r="D226"/>
    </row>
    <row r="227" spans="2:4" x14ac:dyDescent="0.25">
      <c r="B227"/>
      <c r="C227"/>
      <c r="D227"/>
    </row>
    <row r="228" spans="2:4" x14ac:dyDescent="0.25">
      <c r="B228"/>
      <c r="C228"/>
      <c r="D228"/>
    </row>
    <row r="229" spans="2:4" x14ac:dyDescent="0.25">
      <c r="B229"/>
      <c r="C229"/>
      <c r="D229"/>
    </row>
    <row r="230" spans="2:4" x14ac:dyDescent="0.25">
      <c r="B230"/>
      <c r="C230"/>
      <c r="D230"/>
    </row>
    <row r="231" spans="2:4" x14ac:dyDescent="0.25">
      <c r="B231"/>
      <c r="C231"/>
      <c r="D231"/>
    </row>
    <row r="232" spans="2:4" x14ac:dyDescent="0.25">
      <c r="B232"/>
      <c r="C232"/>
      <c r="D232"/>
    </row>
    <row r="233" spans="2:4" x14ac:dyDescent="0.25">
      <c r="B233"/>
      <c r="C233"/>
      <c r="D233"/>
    </row>
    <row r="234" spans="2:4" x14ac:dyDescent="0.25">
      <c r="B234"/>
      <c r="C234"/>
      <c r="D234"/>
    </row>
    <row r="235" spans="2:4" x14ac:dyDescent="0.25">
      <c r="B235"/>
      <c r="C235"/>
      <c r="D235"/>
    </row>
    <row r="236" spans="2:4" x14ac:dyDescent="0.25">
      <c r="B236"/>
      <c r="C236"/>
      <c r="D236"/>
    </row>
    <row r="237" spans="2:4" x14ac:dyDescent="0.25">
      <c r="B237"/>
      <c r="C237"/>
      <c r="D237"/>
    </row>
    <row r="238" spans="2:4" x14ac:dyDescent="0.25">
      <c r="B238"/>
      <c r="C238"/>
      <c r="D238"/>
    </row>
    <row r="239" spans="2:4" x14ac:dyDescent="0.25">
      <c r="B239"/>
      <c r="C239"/>
      <c r="D239"/>
    </row>
    <row r="240" spans="2:4" x14ac:dyDescent="0.25">
      <c r="B240"/>
      <c r="C240"/>
      <c r="D240"/>
    </row>
    <row r="241" spans="2:4" x14ac:dyDescent="0.25">
      <c r="B241"/>
      <c r="C241"/>
      <c r="D241"/>
    </row>
    <row r="242" spans="2:4" x14ac:dyDescent="0.25">
      <c r="B242"/>
      <c r="C242"/>
      <c r="D242"/>
    </row>
    <row r="243" spans="2:4" x14ac:dyDescent="0.25">
      <c r="B243"/>
      <c r="C243"/>
      <c r="D243"/>
    </row>
    <row r="244" spans="2:4" x14ac:dyDescent="0.25">
      <c r="B244"/>
      <c r="C244"/>
      <c r="D244"/>
    </row>
    <row r="245" spans="2:4" x14ac:dyDescent="0.25">
      <c r="B245"/>
      <c r="C245"/>
      <c r="D245"/>
    </row>
    <row r="246" spans="2:4" x14ac:dyDescent="0.25">
      <c r="B246"/>
      <c r="C246"/>
      <c r="D246"/>
    </row>
    <row r="247" spans="2:4" x14ac:dyDescent="0.25">
      <c r="B247"/>
      <c r="C247"/>
      <c r="D247"/>
    </row>
    <row r="248" spans="2:4" x14ac:dyDescent="0.25">
      <c r="B248"/>
      <c r="C248"/>
      <c r="D248"/>
    </row>
    <row r="249" spans="2:4" x14ac:dyDescent="0.25">
      <c r="B249"/>
      <c r="C249"/>
      <c r="D249"/>
    </row>
    <row r="250" spans="2:4" x14ac:dyDescent="0.25">
      <c r="B250"/>
      <c r="C250"/>
      <c r="D250"/>
    </row>
    <row r="251" spans="2:4" x14ac:dyDescent="0.25">
      <c r="B251"/>
      <c r="C251"/>
      <c r="D251"/>
    </row>
    <row r="252" spans="2:4" x14ac:dyDescent="0.25">
      <c r="B252"/>
      <c r="C252"/>
      <c r="D252"/>
    </row>
    <row r="253" spans="2:4" x14ac:dyDescent="0.25">
      <c r="B253"/>
      <c r="C253"/>
      <c r="D253"/>
    </row>
    <row r="254" spans="2:4" x14ac:dyDescent="0.25">
      <c r="B254"/>
      <c r="C254"/>
      <c r="D254"/>
    </row>
    <row r="255" spans="2:4" x14ac:dyDescent="0.25">
      <c r="B255"/>
      <c r="C255"/>
      <c r="D255"/>
    </row>
    <row r="256" spans="2:4" x14ac:dyDescent="0.25">
      <c r="B256"/>
      <c r="C256"/>
      <c r="D256"/>
    </row>
    <row r="257" spans="2:4" x14ac:dyDescent="0.25">
      <c r="B257"/>
      <c r="C257"/>
      <c r="D257"/>
    </row>
    <row r="258" spans="2:4" x14ac:dyDescent="0.25">
      <c r="B258"/>
      <c r="C258"/>
      <c r="D258"/>
    </row>
    <row r="259" spans="2:4" x14ac:dyDescent="0.25">
      <c r="B259"/>
      <c r="C259"/>
      <c r="D259"/>
    </row>
    <row r="260" spans="2:4" x14ac:dyDescent="0.25">
      <c r="B260"/>
      <c r="C260"/>
      <c r="D260"/>
    </row>
    <row r="261" spans="2:4" x14ac:dyDescent="0.25">
      <c r="B261"/>
      <c r="C261"/>
      <c r="D261"/>
    </row>
    <row r="262" spans="2:4" x14ac:dyDescent="0.25">
      <c r="B262"/>
      <c r="C262"/>
      <c r="D262"/>
    </row>
    <row r="263" spans="2:4" x14ac:dyDescent="0.25">
      <c r="B263"/>
      <c r="C263"/>
      <c r="D263"/>
    </row>
    <row r="264" spans="2:4" x14ac:dyDescent="0.25">
      <c r="B264"/>
      <c r="C264"/>
      <c r="D264"/>
    </row>
    <row r="265" spans="2:4" x14ac:dyDescent="0.25">
      <c r="B265"/>
      <c r="C265"/>
      <c r="D265"/>
    </row>
    <row r="266" spans="2:4" x14ac:dyDescent="0.25">
      <c r="B266"/>
      <c r="C266"/>
      <c r="D266"/>
    </row>
    <row r="267" spans="2:4" x14ac:dyDescent="0.25">
      <c r="B267"/>
      <c r="C267"/>
      <c r="D267"/>
    </row>
    <row r="268" spans="2:4" x14ac:dyDescent="0.25">
      <c r="B268"/>
      <c r="C268"/>
      <c r="D268"/>
    </row>
    <row r="269" spans="2:4" x14ac:dyDescent="0.25">
      <c r="B269"/>
      <c r="C269"/>
      <c r="D269"/>
    </row>
    <row r="270" spans="2:4" x14ac:dyDescent="0.25">
      <c r="B270"/>
      <c r="C270"/>
      <c r="D270"/>
    </row>
    <row r="271" spans="2:4" x14ac:dyDescent="0.25">
      <c r="B271"/>
      <c r="C271"/>
      <c r="D271"/>
    </row>
    <row r="272" spans="2:4" x14ac:dyDescent="0.25">
      <c r="B272"/>
      <c r="C272"/>
      <c r="D272"/>
    </row>
    <row r="273" spans="2:4" x14ac:dyDescent="0.25">
      <c r="B273"/>
      <c r="C273"/>
      <c r="D273"/>
    </row>
    <row r="274" spans="2:4" x14ac:dyDescent="0.25">
      <c r="B274"/>
      <c r="C274"/>
      <c r="D274"/>
    </row>
    <row r="275" spans="2:4" x14ac:dyDescent="0.25">
      <c r="B275"/>
      <c r="C275"/>
      <c r="D275"/>
    </row>
    <row r="276" spans="2:4" x14ac:dyDescent="0.25">
      <c r="B276"/>
      <c r="C276"/>
      <c r="D276"/>
    </row>
    <row r="277" spans="2:4" x14ac:dyDescent="0.25">
      <c r="B277"/>
      <c r="C277"/>
      <c r="D277"/>
    </row>
    <row r="278" spans="2:4" x14ac:dyDescent="0.25">
      <c r="B278"/>
      <c r="C278"/>
      <c r="D278"/>
    </row>
    <row r="279" spans="2:4" x14ac:dyDescent="0.25">
      <c r="B279"/>
      <c r="C279"/>
      <c r="D279"/>
    </row>
    <row r="280" spans="2:4" x14ac:dyDescent="0.25">
      <c r="B280"/>
      <c r="C280"/>
      <c r="D280"/>
    </row>
    <row r="281" spans="2:4" x14ac:dyDescent="0.25">
      <c r="B281"/>
      <c r="C281"/>
      <c r="D281"/>
    </row>
    <row r="282" spans="2:4" x14ac:dyDescent="0.25">
      <c r="B282"/>
      <c r="C282"/>
      <c r="D282"/>
    </row>
    <row r="283" spans="2:4" x14ac:dyDescent="0.25">
      <c r="B283"/>
      <c r="C283"/>
      <c r="D283"/>
    </row>
    <row r="284" spans="2:4" x14ac:dyDescent="0.25">
      <c r="B284"/>
      <c r="C284"/>
      <c r="D284"/>
    </row>
    <row r="285" spans="2:4" x14ac:dyDescent="0.25">
      <c r="B285"/>
      <c r="C285"/>
      <c r="D285"/>
    </row>
    <row r="286" spans="2:4" x14ac:dyDescent="0.25">
      <c r="B286"/>
      <c r="C286"/>
      <c r="D286"/>
    </row>
    <row r="287" spans="2:4" x14ac:dyDescent="0.25">
      <c r="B287"/>
      <c r="C287"/>
      <c r="D287"/>
    </row>
    <row r="288" spans="2:4" x14ac:dyDescent="0.25">
      <c r="B288"/>
      <c r="C288"/>
      <c r="D288"/>
    </row>
    <row r="289" spans="2:4" x14ac:dyDescent="0.25">
      <c r="B289"/>
      <c r="C289"/>
      <c r="D289"/>
    </row>
    <row r="290" spans="2:4" x14ac:dyDescent="0.25">
      <c r="B290"/>
      <c r="C290"/>
      <c r="D290"/>
    </row>
    <row r="291" spans="2:4" x14ac:dyDescent="0.25">
      <c r="B291"/>
      <c r="C291"/>
      <c r="D291"/>
    </row>
    <row r="292" spans="2:4" x14ac:dyDescent="0.25">
      <c r="B292"/>
      <c r="C292"/>
      <c r="D292"/>
    </row>
    <row r="293" spans="2:4" x14ac:dyDescent="0.25">
      <c r="B293"/>
      <c r="C293"/>
      <c r="D293"/>
    </row>
    <row r="294" spans="2:4" x14ac:dyDescent="0.25">
      <c r="B294"/>
      <c r="C294"/>
      <c r="D294"/>
    </row>
    <row r="295" spans="2:4" x14ac:dyDescent="0.25">
      <c r="B295"/>
      <c r="C295"/>
      <c r="D295"/>
    </row>
    <row r="296" spans="2:4" x14ac:dyDescent="0.25">
      <c r="B296"/>
      <c r="C296"/>
      <c r="D296"/>
    </row>
    <row r="297" spans="2:4" x14ac:dyDescent="0.25">
      <c r="B297"/>
      <c r="C297"/>
      <c r="D297"/>
    </row>
    <row r="298" spans="2:4" x14ac:dyDescent="0.25">
      <c r="B298"/>
      <c r="C298"/>
      <c r="D298"/>
    </row>
    <row r="299" spans="2:4" x14ac:dyDescent="0.25">
      <c r="B299"/>
      <c r="C299"/>
      <c r="D299"/>
    </row>
    <row r="300" spans="2:4" x14ac:dyDescent="0.25">
      <c r="B300"/>
      <c r="C300"/>
      <c r="D300"/>
    </row>
    <row r="301" spans="2:4" x14ac:dyDescent="0.25">
      <c r="B301"/>
      <c r="C301"/>
      <c r="D301"/>
    </row>
    <row r="302" spans="2:4" x14ac:dyDescent="0.25">
      <c r="B302"/>
      <c r="C302"/>
      <c r="D302"/>
    </row>
    <row r="303" spans="2:4" x14ac:dyDescent="0.25">
      <c r="B303"/>
      <c r="C303"/>
      <c r="D303"/>
    </row>
    <row r="304" spans="2:4" x14ac:dyDescent="0.25">
      <c r="B304"/>
      <c r="C304"/>
      <c r="D304"/>
    </row>
    <row r="305" spans="2:4" x14ac:dyDescent="0.25">
      <c r="B305"/>
      <c r="C305"/>
      <c r="D305"/>
    </row>
    <row r="306" spans="2:4" x14ac:dyDescent="0.25">
      <c r="B306"/>
      <c r="C306"/>
      <c r="D306"/>
    </row>
    <row r="307" spans="2:4" x14ac:dyDescent="0.25">
      <c r="B307"/>
      <c r="C307"/>
      <c r="D307"/>
    </row>
    <row r="308" spans="2:4" x14ac:dyDescent="0.25">
      <c r="B308"/>
      <c r="C308"/>
      <c r="D308"/>
    </row>
    <row r="309" spans="2:4" x14ac:dyDescent="0.25">
      <c r="B309"/>
      <c r="C309"/>
      <c r="D309"/>
    </row>
    <row r="310" spans="2:4" x14ac:dyDescent="0.25">
      <c r="B310"/>
      <c r="C310"/>
      <c r="D310"/>
    </row>
    <row r="311" spans="2:4" x14ac:dyDescent="0.25">
      <c r="B311"/>
      <c r="C311"/>
      <c r="D311"/>
    </row>
    <row r="312" spans="2:4" x14ac:dyDescent="0.25">
      <c r="B312"/>
      <c r="C312"/>
      <c r="D312"/>
    </row>
    <row r="313" spans="2:4" x14ac:dyDescent="0.25">
      <c r="B313"/>
      <c r="C313"/>
      <c r="D313"/>
    </row>
    <row r="314" spans="2:4" x14ac:dyDescent="0.25">
      <c r="B314"/>
      <c r="C314"/>
      <c r="D314"/>
    </row>
    <row r="315" spans="2:4" x14ac:dyDescent="0.25">
      <c r="B315"/>
      <c r="C315"/>
      <c r="D315"/>
    </row>
    <row r="316" spans="2:4" x14ac:dyDescent="0.25">
      <c r="B316"/>
      <c r="C316"/>
      <c r="D316"/>
    </row>
    <row r="317" spans="2:4" x14ac:dyDescent="0.25">
      <c r="B317"/>
      <c r="C317"/>
      <c r="D317"/>
    </row>
    <row r="318" spans="2:4" x14ac:dyDescent="0.25">
      <c r="B318"/>
      <c r="C318"/>
      <c r="D318"/>
    </row>
    <row r="319" spans="2:4" x14ac:dyDescent="0.25">
      <c r="B319"/>
      <c r="C319"/>
      <c r="D319"/>
    </row>
    <row r="320" spans="2:4" x14ac:dyDescent="0.25">
      <c r="B320"/>
      <c r="C320"/>
      <c r="D320"/>
    </row>
    <row r="321" spans="2:4" x14ac:dyDescent="0.25">
      <c r="B321"/>
      <c r="C321"/>
      <c r="D321"/>
    </row>
    <row r="322" spans="2:4" x14ac:dyDescent="0.25">
      <c r="B322"/>
      <c r="C322"/>
      <c r="D322"/>
    </row>
    <row r="323" spans="2:4" x14ac:dyDescent="0.25">
      <c r="B323"/>
      <c r="C323"/>
      <c r="D323"/>
    </row>
    <row r="324" spans="2:4" x14ac:dyDescent="0.25">
      <c r="B324"/>
      <c r="C324"/>
      <c r="D324"/>
    </row>
    <row r="325" spans="2:4" x14ac:dyDescent="0.25">
      <c r="B325"/>
      <c r="C325"/>
      <c r="D325"/>
    </row>
    <row r="326" spans="2:4" x14ac:dyDescent="0.25">
      <c r="B326"/>
      <c r="C326"/>
      <c r="D326"/>
    </row>
    <row r="327" spans="2:4" x14ac:dyDescent="0.25">
      <c r="B327"/>
      <c r="C327"/>
      <c r="D327"/>
    </row>
    <row r="328" spans="2:4" x14ac:dyDescent="0.25">
      <c r="B328"/>
      <c r="C328"/>
      <c r="D328"/>
    </row>
    <row r="329" spans="2:4" x14ac:dyDescent="0.25">
      <c r="B329"/>
      <c r="C329"/>
      <c r="D329"/>
    </row>
    <row r="330" spans="2:4" x14ac:dyDescent="0.25">
      <c r="B330"/>
      <c r="C330"/>
      <c r="D330"/>
    </row>
    <row r="331" spans="2:4" x14ac:dyDescent="0.25">
      <c r="B331"/>
      <c r="C331"/>
      <c r="D331"/>
    </row>
    <row r="332" spans="2:4" x14ac:dyDescent="0.25">
      <c r="B332"/>
      <c r="C332"/>
      <c r="D332"/>
    </row>
    <row r="333" spans="2:4" x14ac:dyDescent="0.25">
      <c r="B333"/>
      <c r="C333"/>
      <c r="D333"/>
    </row>
    <row r="334" spans="2:4" x14ac:dyDescent="0.25">
      <c r="B334"/>
      <c r="C334"/>
      <c r="D334"/>
    </row>
    <row r="335" spans="2:4" x14ac:dyDescent="0.25">
      <c r="B335"/>
      <c r="C335"/>
      <c r="D335"/>
    </row>
    <row r="336" spans="2:4" x14ac:dyDescent="0.25">
      <c r="B336"/>
      <c r="C336"/>
      <c r="D336"/>
    </row>
    <row r="337" spans="2:4" x14ac:dyDescent="0.25">
      <c r="B337"/>
      <c r="C337"/>
      <c r="D337"/>
    </row>
    <row r="338" spans="2:4" x14ac:dyDescent="0.25">
      <c r="B338"/>
      <c r="C338"/>
      <c r="D338"/>
    </row>
    <row r="339" spans="2:4" x14ac:dyDescent="0.25">
      <c r="B339"/>
      <c r="C339"/>
      <c r="D339"/>
    </row>
    <row r="340" spans="2:4" x14ac:dyDescent="0.25">
      <c r="B340"/>
      <c r="C340"/>
      <c r="D340"/>
    </row>
    <row r="341" spans="2:4" x14ac:dyDescent="0.25">
      <c r="B341"/>
      <c r="C341"/>
      <c r="D341"/>
    </row>
    <row r="342" spans="2:4" x14ac:dyDescent="0.25">
      <c r="B342"/>
      <c r="C342"/>
      <c r="D342"/>
    </row>
    <row r="343" spans="2:4" x14ac:dyDescent="0.25">
      <c r="B343"/>
      <c r="C343"/>
      <c r="D343"/>
    </row>
    <row r="344" spans="2:4" x14ac:dyDescent="0.25">
      <c r="B344"/>
      <c r="C344"/>
      <c r="D344"/>
    </row>
    <row r="345" spans="2:4" x14ac:dyDescent="0.25">
      <c r="B345"/>
      <c r="C345"/>
      <c r="D345"/>
    </row>
    <row r="346" spans="2:4" x14ac:dyDescent="0.25">
      <c r="B346"/>
      <c r="C346"/>
      <c r="D346"/>
    </row>
    <row r="347" spans="2:4" x14ac:dyDescent="0.25">
      <c r="B347"/>
      <c r="C347"/>
      <c r="D347"/>
    </row>
    <row r="348" spans="2:4" x14ac:dyDescent="0.25">
      <c r="B348"/>
      <c r="C348"/>
      <c r="D348"/>
    </row>
    <row r="349" spans="2:4" x14ac:dyDescent="0.25">
      <c r="B349"/>
      <c r="C349"/>
      <c r="D349"/>
    </row>
    <row r="350" spans="2:4" x14ac:dyDescent="0.25">
      <c r="B350"/>
      <c r="C350"/>
      <c r="D350"/>
    </row>
    <row r="351" spans="2:4" x14ac:dyDescent="0.25">
      <c r="B351"/>
      <c r="C351"/>
      <c r="D351"/>
    </row>
    <row r="352" spans="2:4" x14ac:dyDescent="0.25">
      <c r="B352"/>
      <c r="C352"/>
      <c r="D352"/>
    </row>
    <row r="353" spans="2:4" x14ac:dyDescent="0.25">
      <c r="B353"/>
      <c r="C353"/>
      <c r="D353"/>
    </row>
    <row r="354" spans="2:4" x14ac:dyDescent="0.25">
      <c r="B354"/>
      <c r="C354"/>
      <c r="D354"/>
    </row>
    <row r="355" spans="2:4" x14ac:dyDescent="0.25">
      <c r="B355"/>
      <c r="C355"/>
      <c r="D355"/>
    </row>
    <row r="356" spans="2:4" x14ac:dyDescent="0.25">
      <c r="B356"/>
      <c r="C356"/>
      <c r="D356"/>
    </row>
    <row r="357" spans="2:4" x14ac:dyDescent="0.25">
      <c r="B357"/>
      <c r="C357"/>
      <c r="D357"/>
    </row>
    <row r="358" spans="2:4" x14ac:dyDescent="0.25">
      <c r="B358"/>
      <c r="C358"/>
      <c r="D358"/>
    </row>
    <row r="359" spans="2:4" x14ac:dyDescent="0.25">
      <c r="B359"/>
      <c r="C359"/>
      <c r="D359"/>
    </row>
    <row r="360" spans="2:4" x14ac:dyDescent="0.25">
      <c r="B360"/>
      <c r="C360"/>
      <c r="D360"/>
    </row>
    <row r="361" spans="2:4" x14ac:dyDescent="0.25">
      <c r="B361"/>
      <c r="C361"/>
      <c r="D361"/>
    </row>
    <row r="362" spans="2:4" x14ac:dyDescent="0.25">
      <c r="B362"/>
      <c r="C362"/>
      <c r="D362"/>
    </row>
    <row r="363" spans="2:4" x14ac:dyDescent="0.25">
      <c r="B363"/>
      <c r="C363"/>
      <c r="D363"/>
    </row>
    <row r="364" spans="2:4" x14ac:dyDescent="0.25">
      <c r="B364"/>
      <c r="C364"/>
      <c r="D364"/>
    </row>
    <row r="365" spans="2:4" x14ac:dyDescent="0.25">
      <c r="B365"/>
      <c r="C365"/>
      <c r="D365"/>
    </row>
    <row r="366" spans="2:4" x14ac:dyDescent="0.25">
      <c r="B366"/>
      <c r="C366"/>
      <c r="D366"/>
    </row>
    <row r="367" spans="2:4" x14ac:dyDescent="0.25">
      <c r="B367"/>
      <c r="C367"/>
      <c r="D367"/>
    </row>
    <row r="368" spans="2:4" x14ac:dyDescent="0.25">
      <c r="B368"/>
      <c r="C368"/>
      <c r="D368"/>
    </row>
    <row r="369" spans="2:4" x14ac:dyDescent="0.25">
      <c r="B369"/>
      <c r="C369"/>
      <c r="D369"/>
    </row>
    <row r="370" spans="2:4" x14ac:dyDescent="0.25">
      <c r="B370"/>
      <c r="C370"/>
      <c r="D370"/>
    </row>
    <row r="371" spans="2:4" x14ac:dyDescent="0.25">
      <c r="B371"/>
      <c r="C371"/>
      <c r="D371"/>
    </row>
    <row r="372" spans="2:4" x14ac:dyDescent="0.25">
      <c r="B372"/>
      <c r="C372"/>
      <c r="D372"/>
    </row>
    <row r="373" spans="2:4" x14ac:dyDescent="0.25">
      <c r="B373"/>
      <c r="C373"/>
      <c r="D373"/>
    </row>
    <row r="374" spans="2:4" x14ac:dyDescent="0.25">
      <c r="B374"/>
      <c r="C374"/>
      <c r="D374"/>
    </row>
    <row r="375" spans="2:4" x14ac:dyDescent="0.25">
      <c r="B375"/>
      <c r="C375"/>
      <c r="D375"/>
    </row>
    <row r="376" spans="2:4" x14ac:dyDescent="0.25">
      <c r="B376"/>
      <c r="C376"/>
      <c r="D376"/>
    </row>
    <row r="377" spans="2:4" x14ac:dyDescent="0.25">
      <c r="B377"/>
      <c r="C377"/>
      <c r="D377"/>
    </row>
    <row r="378" spans="2:4" x14ac:dyDescent="0.25">
      <c r="B378"/>
      <c r="C378"/>
      <c r="D378"/>
    </row>
    <row r="379" spans="2:4" x14ac:dyDescent="0.25">
      <c r="B379"/>
      <c r="C379"/>
      <c r="D379"/>
    </row>
    <row r="380" spans="2:4" x14ac:dyDescent="0.25">
      <c r="B380"/>
      <c r="C380"/>
      <c r="D380"/>
    </row>
    <row r="381" spans="2:4" x14ac:dyDescent="0.25">
      <c r="B381"/>
      <c r="C381"/>
      <c r="D381"/>
    </row>
    <row r="382" spans="2:4" x14ac:dyDescent="0.25">
      <c r="B382"/>
      <c r="C382"/>
      <c r="D382"/>
    </row>
    <row r="383" spans="2:4" x14ac:dyDescent="0.25">
      <c r="B383"/>
      <c r="C383"/>
      <c r="D383"/>
    </row>
    <row r="384" spans="2:4" x14ac:dyDescent="0.25">
      <c r="B384"/>
      <c r="C384"/>
      <c r="D384"/>
    </row>
    <row r="385" spans="2:4" x14ac:dyDescent="0.25">
      <c r="B385"/>
      <c r="C385"/>
      <c r="D385"/>
    </row>
    <row r="386" spans="2:4" x14ac:dyDescent="0.25">
      <c r="B386"/>
      <c r="C386"/>
      <c r="D386"/>
    </row>
    <row r="387" spans="2:4" x14ac:dyDescent="0.25">
      <c r="B387"/>
      <c r="C387"/>
      <c r="D387"/>
    </row>
    <row r="388" spans="2:4" x14ac:dyDescent="0.25">
      <c r="B388"/>
      <c r="C388"/>
      <c r="D388"/>
    </row>
    <row r="389" spans="2:4" x14ac:dyDescent="0.25">
      <c r="B389"/>
      <c r="C389"/>
      <c r="D389"/>
    </row>
    <row r="390" spans="2:4" x14ac:dyDescent="0.25">
      <c r="B390"/>
      <c r="C390"/>
      <c r="D390"/>
    </row>
    <row r="391" spans="2:4" x14ac:dyDescent="0.25">
      <c r="B391"/>
      <c r="C391"/>
      <c r="D391"/>
    </row>
    <row r="392" spans="2:4" x14ac:dyDescent="0.25">
      <c r="B392"/>
      <c r="C392"/>
      <c r="D392"/>
    </row>
    <row r="393" spans="2:4" x14ac:dyDescent="0.25">
      <c r="B393"/>
      <c r="C393"/>
      <c r="D393"/>
    </row>
    <row r="394" spans="2:4" x14ac:dyDescent="0.25">
      <c r="B394"/>
      <c r="C394"/>
      <c r="D394"/>
    </row>
    <row r="395" spans="2:4" x14ac:dyDescent="0.25">
      <c r="B395"/>
      <c r="C395"/>
      <c r="D395"/>
    </row>
    <row r="396" spans="2:4" x14ac:dyDescent="0.25">
      <c r="B396"/>
      <c r="C396"/>
      <c r="D396"/>
    </row>
    <row r="397" spans="2:4" x14ac:dyDescent="0.25">
      <c r="B397"/>
      <c r="C397"/>
      <c r="D397"/>
    </row>
    <row r="398" spans="2:4" x14ac:dyDescent="0.25">
      <c r="B398"/>
      <c r="C398"/>
      <c r="D398"/>
    </row>
    <row r="399" spans="2:4" x14ac:dyDescent="0.25">
      <c r="B399"/>
      <c r="C399"/>
      <c r="D399"/>
    </row>
    <row r="400" spans="2:4" x14ac:dyDescent="0.25">
      <c r="B400"/>
      <c r="C400"/>
      <c r="D400"/>
    </row>
    <row r="401" spans="2:4" x14ac:dyDescent="0.25">
      <c r="B401"/>
      <c r="C401"/>
      <c r="D401"/>
    </row>
    <row r="402" spans="2:4" x14ac:dyDescent="0.25">
      <c r="B402"/>
      <c r="C402"/>
      <c r="D402"/>
    </row>
    <row r="403" spans="2:4" x14ac:dyDescent="0.25">
      <c r="B403"/>
      <c r="C403"/>
      <c r="D403"/>
    </row>
    <row r="404" spans="2:4" x14ac:dyDescent="0.25">
      <c r="B404"/>
      <c r="C404"/>
      <c r="D404"/>
    </row>
    <row r="405" spans="2:4" x14ac:dyDescent="0.25">
      <c r="B405"/>
      <c r="C405"/>
      <c r="D405"/>
    </row>
    <row r="406" spans="2:4" x14ac:dyDescent="0.25">
      <c r="B406"/>
      <c r="C406"/>
      <c r="D406"/>
    </row>
    <row r="407" spans="2:4" x14ac:dyDescent="0.25">
      <c r="B407"/>
      <c r="C407"/>
      <c r="D407"/>
    </row>
    <row r="408" spans="2:4" x14ac:dyDescent="0.25">
      <c r="B408"/>
      <c r="C408"/>
      <c r="D408"/>
    </row>
    <row r="409" spans="2:4" x14ac:dyDescent="0.25">
      <c r="B409"/>
      <c r="C409"/>
      <c r="D409"/>
    </row>
    <row r="410" spans="2:4" x14ac:dyDescent="0.25">
      <c r="B410"/>
      <c r="C410"/>
      <c r="D410"/>
    </row>
    <row r="411" spans="2:4" x14ac:dyDescent="0.25">
      <c r="B411"/>
      <c r="C411"/>
      <c r="D411"/>
    </row>
    <row r="412" spans="2:4" x14ac:dyDescent="0.25">
      <c r="B412"/>
      <c r="C412"/>
      <c r="D412"/>
    </row>
    <row r="413" spans="2:4" x14ac:dyDescent="0.25">
      <c r="B413"/>
      <c r="C413"/>
      <c r="D413"/>
    </row>
    <row r="414" spans="2:4" x14ac:dyDescent="0.25">
      <c r="B414"/>
      <c r="C414"/>
      <c r="D414"/>
    </row>
    <row r="415" spans="2:4" x14ac:dyDescent="0.25">
      <c r="B415"/>
      <c r="C415"/>
      <c r="D415"/>
    </row>
    <row r="416" spans="2:4" x14ac:dyDescent="0.25">
      <c r="B416"/>
      <c r="C416"/>
      <c r="D416"/>
    </row>
    <row r="417" spans="2:4" x14ac:dyDescent="0.25">
      <c r="B417"/>
      <c r="C417"/>
      <c r="D417"/>
    </row>
    <row r="418" spans="2:4" x14ac:dyDescent="0.25">
      <c r="B418"/>
      <c r="C418"/>
      <c r="D418"/>
    </row>
    <row r="419" spans="2:4" x14ac:dyDescent="0.25">
      <c r="B419"/>
      <c r="C419"/>
      <c r="D419"/>
    </row>
    <row r="420" spans="2:4" x14ac:dyDescent="0.25">
      <c r="B420"/>
      <c r="C420"/>
      <c r="D420"/>
    </row>
    <row r="421" spans="2:4" x14ac:dyDescent="0.25">
      <c r="B421"/>
      <c r="C421"/>
      <c r="D421"/>
    </row>
    <row r="422" spans="2:4" x14ac:dyDescent="0.25">
      <c r="B422"/>
      <c r="C422"/>
      <c r="D422"/>
    </row>
    <row r="423" spans="2:4" x14ac:dyDescent="0.25">
      <c r="B423"/>
      <c r="C423"/>
      <c r="D423"/>
    </row>
    <row r="424" spans="2:4" x14ac:dyDescent="0.25">
      <c r="B424"/>
      <c r="C424"/>
      <c r="D424"/>
    </row>
    <row r="425" spans="2:4" x14ac:dyDescent="0.25">
      <c r="B425"/>
      <c r="C425"/>
      <c r="D425"/>
    </row>
    <row r="426" spans="2:4" x14ac:dyDescent="0.25">
      <c r="B426"/>
      <c r="C426"/>
      <c r="D426"/>
    </row>
    <row r="427" spans="2:4" x14ac:dyDescent="0.25">
      <c r="B427"/>
      <c r="C427"/>
      <c r="D427"/>
    </row>
    <row r="428" spans="2:4" x14ac:dyDescent="0.25">
      <c r="B428"/>
      <c r="C428"/>
      <c r="D428"/>
    </row>
    <row r="429" spans="2:4" x14ac:dyDescent="0.25">
      <c r="B429"/>
      <c r="C429"/>
      <c r="D429"/>
    </row>
    <row r="430" spans="2:4" x14ac:dyDescent="0.25">
      <c r="B430"/>
      <c r="C430"/>
      <c r="D430"/>
    </row>
    <row r="431" spans="2:4" x14ac:dyDescent="0.25">
      <c r="B431"/>
      <c r="C431"/>
      <c r="D431"/>
    </row>
    <row r="432" spans="2:4" x14ac:dyDescent="0.25">
      <c r="B432"/>
      <c r="C432"/>
      <c r="D432"/>
    </row>
    <row r="433" spans="2:4" x14ac:dyDescent="0.25">
      <c r="B433"/>
      <c r="C433"/>
      <c r="D433"/>
    </row>
    <row r="434" spans="2:4" x14ac:dyDescent="0.25">
      <c r="B434"/>
      <c r="C434"/>
      <c r="D434"/>
    </row>
    <row r="435" spans="2:4" x14ac:dyDescent="0.25">
      <c r="B435"/>
      <c r="C435"/>
      <c r="D435"/>
    </row>
    <row r="436" spans="2:4" x14ac:dyDescent="0.25">
      <c r="B436"/>
      <c r="C436"/>
      <c r="D436"/>
    </row>
    <row r="437" spans="2:4" x14ac:dyDescent="0.25">
      <c r="B437"/>
      <c r="C437"/>
      <c r="D437"/>
    </row>
    <row r="438" spans="2:4" x14ac:dyDescent="0.25">
      <c r="B438"/>
      <c r="C438"/>
      <c r="D438"/>
    </row>
    <row r="439" spans="2:4" x14ac:dyDescent="0.25">
      <c r="B439"/>
      <c r="C439"/>
      <c r="D439"/>
    </row>
    <row r="440" spans="2:4" x14ac:dyDescent="0.25">
      <c r="B440"/>
      <c r="C440"/>
      <c r="D440"/>
    </row>
    <row r="441" spans="2:4" x14ac:dyDescent="0.25">
      <c r="B441"/>
      <c r="C441"/>
      <c r="D441"/>
    </row>
    <row r="442" spans="2:4" x14ac:dyDescent="0.25">
      <c r="B442"/>
      <c r="C442"/>
      <c r="D442"/>
    </row>
    <row r="443" spans="2:4" x14ac:dyDescent="0.25">
      <c r="B443"/>
      <c r="C443"/>
      <c r="D443"/>
    </row>
    <row r="444" spans="2:4" x14ac:dyDescent="0.25">
      <c r="B444"/>
      <c r="C444"/>
      <c r="D444"/>
    </row>
    <row r="445" spans="2:4" x14ac:dyDescent="0.25">
      <c r="B445"/>
      <c r="C445"/>
      <c r="D445"/>
    </row>
    <row r="446" spans="2:4" x14ac:dyDescent="0.25">
      <c r="B446"/>
      <c r="C446"/>
      <c r="D446"/>
    </row>
    <row r="447" spans="2:4" x14ac:dyDescent="0.25">
      <c r="B447"/>
      <c r="C447"/>
      <c r="D447"/>
    </row>
    <row r="448" spans="2:4" x14ac:dyDescent="0.25">
      <c r="B448"/>
      <c r="C448"/>
      <c r="D448"/>
    </row>
    <row r="449" spans="2:4" x14ac:dyDescent="0.25">
      <c r="B449"/>
      <c r="C449"/>
      <c r="D449"/>
    </row>
    <row r="450" spans="2:4" x14ac:dyDescent="0.25">
      <c r="B450"/>
      <c r="C450"/>
      <c r="D450"/>
    </row>
    <row r="451" spans="2:4" x14ac:dyDescent="0.25">
      <c r="B451"/>
      <c r="C451"/>
      <c r="D451"/>
    </row>
    <row r="452" spans="2:4" x14ac:dyDescent="0.25">
      <c r="B452"/>
      <c r="C452"/>
      <c r="D452"/>
    </row>
    <row r="453" spans="2:4" x14ac:dyDescent="0.25">
      <c r="B453"/>
      <c r="C453"/>
      <c r="D453"/>
    </row>
    <row r="454" spans="2:4" x14ac:dyDescent="0.25">
      <c r="B454"/>
      <c r="C454"/>
      <c r="D454"/>
    </row>
    <row r="455" spans="2:4" x14ac:dyDescent="0.25">
      <c r="B455"/>
      <c r="C455"/>
      <c r="D455"/>
    </row>
    <row r="456" spans="2:4" x14ac:dyDescent="0.25">
      <c r="B456"/>
      <c r="C456"/>
      <c r="D456"/>
    </row>
    <row r="457" spans="2:4" x14ac:dyDescent="0.25">
      <c r="B457"/>
      <c r="C457"/>
      <c r="D457"/>
    </row>
    <row r="458" spans="2:4" x14ac:dyDescent="0.25">
      <c r="B458"/>
      <c r="C458"/>
      <c r="D458"/>
    </row>
    <row r="459" spans="2:4" x14ac:dyDescent="0.25">
      <c r="B459"/>
      <c r="C459"/>
      <c r="D459"/>
    </row>
    <row r="460" spans="2:4" x14ac:dyDescent="0.25">
      <c r="B460"/>
      <c r="C460"/>
      <c r="D460"/>
    </row>
    <row r="461" spans="2:4" x14ac:dyDescent="0.25">
      <c r="B461"/>
      <c r="C461"/>
      <c r="D461"/>
    </row>
    <row r="462" spans="2:4" x14ac:dyDescent="0.25">
      <c r="B462"/>
      <c r="C462"/>
      <c r="D462"/>
    </row>
    <row r="463" spans="2:4" x14ac:dyDescent="0.25">
      <c r="B463"/>
      <c r="C463"/>
      <c r="D463"/>
    </row>
    <row r="464" spans="2:4" x14ac:dyDescent="0.25">
      <c r="B464"/>
      <c r="C464"/>
      <c r="D464"/>
    </row>
    <row r="465" spans="2:4" x14ac:dyDescent="0.25">
      <c r="B465"/>
      <c r="C465"/>
      <c r="D465"/>
    </row>
    <row r="466" spans="2:4" x14ac:dyDescent="0.25">
      <c r="B466"/>
      <c r="C466"/>
      <c r="D466"/>
    </row>
    <row r="467" spans="2:4" x14ac:dyDescent="0.25">
      <c r="B467"/>
      <c r="C467"/>
      <c r="D467"/>
    </row>
    <row r="468" spans="2:4" x14ac:dyDescent="0.25">
      <c r="B468"/>
      <c r="C468"/>
      <c r="D468"/>
    </row>
    <row r="469" spans="2:4" x14ac:dyDescent="0.25">
      <c r="B469"/>
      <c r="C469"/>
      <c r="D469"/>
    </row>
    <row r="470" spans="2:4" x14ac:dyDescent="0.25">
      <c r="B470"/>
      <c r="C470"/>
      <c r="D470"/>
    </row>
    <row r="471" spans="2:4" x14ac:dyDescent="0.25">
      <c r="B471"/>
      <c r="C471"/>
      <c r="D471"/>
    </row>
    <row r="472" spans="2:4" x14ac:dyDescent="0.25">
      <c r="B472"/>
      <c r="C472"/>
      <c r="D472"/>
    </row>
    <row r="473" spans="2:4" x14ac:dyDescent="0.25">
      <c r="B473"/>
      <c r="C473"/>
      <c r="D473"/>
    </row>
    <row r="474" spans="2:4" x14ac:dyDescent="0.25">
      <c r="B474"/>
      <c r="C474"/>
      <c r="D474"/>
    </row>
    <row r="475" spans="2:4" x14ac:dyDescent="0.25">
      <c r="B475"/>
      <c r="C475"/>
      <c r="D475"/>
    </row>
    <row r="476" spans="2:4" x14ac:dyDescent="0.25">
      <c r="B476"/>
      <c r="C476"/>
      <c r="D476"/>
    </row>
    <row r="477" spans="2:4" x14ac:dyDescent="0.25">
      <c r="B477"/>
      <c r="C477"/>
      <c r="D477"/>
    </row>
    <row r="478" spans="2:4" x14ac:dyDescent="0.25">
      <c r="B478"/>
      <c r="C478"/>
      <c r="D478"/>
    </row>
    <row r="479" spans="2:4" x14ac:dyDescent="0.25">
      <c r="B479"/>
      <c r="C479"/>
      <c r="D479"/>
    </row>
    <row r="480" spans="2:4" x14ac:dyDescent="0.25">
      <c r="B480"/>
      <c r="C480"/>
      <c r="D480"/>
    </row>
    <row r="481" spans="2:4" x14ac:dyDescent="0.25">
      <c r="B481"/>
      <c r="C481"/>
      <c r="D481"/>
    </row>
    <row r="482" spans="2:4" x14ac:dyDescent="0.25">
      <c r="B482"/>
      <c r="C482"/>
      <c r="D482"/>
    </row>
    <row r="483" spans="2:4" x14ac:dyDescent="0.25">
      <c r="B483"/>
      <c r="C483"/>
      <c r="D483"/>
    </row>
    <row r="484" spans="2:4" x14ac:dyDescent="0.25">
      <c r="B484"/>
      <c r="C484"/>
      <c r="D484"/>
    </row>
    <row r="485" spans="2:4" x14ac:dyDescent="0.25">
      <c r="B485"/>
      <c r="C485"/>
      <c r="D485"/>
    </row>
    <row r="486" spans="2:4" x14ac:dyDescent="0.25">
      <c r="B486"/>
      <c r="C486"/>
      <c r="D486"/>
    </row>
    <row r="487" spans="2:4" x14ac:dyDescent="0.25">
      <c r="B487"/>
      <c r="C487"/>
      <c r="D487"/>
    </row>
    <row r="488" spans="2:4" x14ac:dyDescent="0.25">
      <c r="B488"/>
      <c r="C488"/>
      <c r="D488"/>
    </row>
    <row r="489" spans="2:4" x14ac:dyDescent="0.25">
      <c r="B489"/>
      <c r="C489"/>
      <c r="D489"/>
    </row>
    <row r="490" spans="2:4" x14ac:dyDescent="0.25">
      <c r="B490"/>
      <c r="C490"/>
      <c r="D490"/>
    </row>
    <row r="491" spans="2:4" x14ac:dyDescent="0.25">
      <c r="B491"/>
      <c r="C491"/>
      <c r="D491"/>
    </row>
    <row r="492" spans="2:4" x14ac:dyDescent="0.25">
      <c r="B492"/>
      <c r="C492"/>
      <c r="D492"/>
    </row>
    <row r="493" spans="2:4" x14ac:dyDescent="0.25">
      <c r="B493"/>
      <c r="C493"/>
      <c r="D493"/>
    </row>
    <row r="494" spans="2:4" x14ac:dyDescent="0.25">
      <c r="B494"/>
      <c r="C494"/>
      <c r="D494"/>
    </row>
    <row r="495" spans="2:4" x14ac:dyDescent="0.25">
      <c r="B495"/>
      <c r="C495"/>
      <c r="D495"/>
    </row>
    <row r="496" spans="2:4" x14ac:dyDescent="0.25">
      <c r="B496"/>
      <c r="C496"/>
      <c r="D496"/>
    </row>
    <row r="497" spans="2:4" x14ac:dyDescent="0.25">
      <c r="B497"/>
      <c r="C497"/>
      <c r="D497"/>
    </row>
    <row r="498" spans="2:4" x14ac:dyDescent="0.25">
      <c r="B498"/>
      <c r="C498"/>
      <c r="D498"/>
    </row>
    <row r="499" spans="2:4" x14ac:dyDescent="0.25">
      <c r="B499"/>
      <c r="C499"/>
      <c r="D499"/>
    </row>
    <row r="500" spans="2:4" x14ac:dyDescent="0.25">
      <c r="B500"/>
      <c r="C500"/>
      <c r="D500"/>
    </row>
    <row r="501" spans="2:4" x14ac:dyDescent="0.25">
      <c r="B501"/>
      <c r="C501"/>
      <c r="D501"/>
    </row>
    <row r="502" spans="2:4" x14ac:dyDescent="0.25">
      <c r="B502"/>
      <c r="C502"/>
      <c r="D502"/>
    </row>
    <row r="503" spans="2:4" x14ac:dyDescent="0.25">
      <c r="B503"/>
      <c r="C503"/>
      <c r="D503"/>
    </row>
    <row r="504" spans="2:4" x14ac:dyDescent="0.25">
      <c r="B504"/>
      <c r="C504"/>
      <c r="D504"/>
    </row>
    <row r="505" spans="2:4" x14ac:dyDescent="0.25">
      <c r="B505"/>
      <c r="C505"/>
      <c r="D505"/>
    </row>
    <row r="506" spans="2:4" x14ac:dyDescent="0.25">
      <c r="B506"/>
      <c r="C506"/>
      <c r="D506"/>
    </row>
    <row r="507" spans="2:4" x14ac:dyDescent="0.25">
      <c r="B507"/>
      <c r="C507"/>
      <c r="D507"/>
    </row>
    <row r="508" spans="2:4" x14ac:dyDescent="0.25">
      <c r="B508"/>
      <c r="C508"/>
      <c r="D508"/>
    </row>
    <row r="509" spans="2:4" x14ac:dyDescent="0.25">
      <c r="B509"/>
      <c r="C509"/>
      <c r="D509"/>
    </row>
    <row r="510" spans="2:4" x14ac:dyDescent="0.25">
      <c r="B510"/>
      <c r="C510"/>
      <c r="D510"/>
    </row>
    <row r="511" spans="2:4" x14ac:dyDescent="0.25">
      <c r="B511"/>
      <c r="C511"/>
      <c r="D511"/>
    </row>
    <row r="512" spans="2:4" x14ac:dyDescent="0.25">
      <c r="B512"/>
      <c r="C512"/>
      <c r="D512"/>
    </row>
    <row r="513" spans="2:4" x14ac:dyDescent="0.25">
      <c r="B513"/>
      <c r="C513"/>
      <c r="D513"/>
    </row>
    <row r="514" spans="2:4" x14ac:dyDescent="0.25">
      <c r="B514"/>
      <c r="C514"/>
      <c r="D514"/>
    </row>
    <row r="515" spans="2:4" x14ac:dyDescent="0.25">
      <c r="B515"/>
      <c r="C515"/>
      <c r="D515"/>
    </row>
    <row r="516" spans="2:4" x14ac:dyDescent="0.25">
      <c r="B516"/>
      <c r="C516"/>
      <c r="D516"/>
    </row>
    <row r="517" spans="2:4" x14ac:dyDescent="0.25">
      <c r="B517"/>
      <c r="C517"/>
      <c r="D517"/>
    </row>
    <row r="518" spans="2:4" x14ac:dyDescent="0.25">
      <c r="B518"/>
      <c r="C518"/>
      <c r="D518"/>
    </row>
    <row r="519" spans="2:4" x14ac:dyDescent="0.25">
      <c r="B519"/>
      <c r="C519"/>
      <c r="D519"/>
    </row>
    <row r="520" spans="2:4" x14ac:dyDescent="0.25">
      <c r="B520"/>
      <c r="C520"/>
      <c r="D520"/>
    </row>
    <row r="521" spans="2:4" x14ac:dyDescent="0.25">
      <c r="B521"/>
      <c r="C521"/>
      <c r="D521"/>
    </row>
    <row r="522" spans="2:4" x14ac:dyDescent="0.25">
      <c r="B522"/>
      <c r="C522"/>
      <c r="D522"/>
    </row>
    <row r="523" spans="2:4" x14ac:dyDescent="0.25">
      <c r="B523"/>
      <c r="C523"/>
      <c r="D523"/>
    </row>
    <row r="524" spans="2:4" x14ac:dyDescent="0.25">
      <c r="B524"/>
      <c r="C524"/>
      <c r="D524"/>
    </row>
    <row r="525" spans="2:4" x14ac:dyDescent="0.25">
      <c r="B525"/>
      <c r="C525"/>
      <c r="D525"/>
    </row>
    <row r="526" spans="2:4" x14ac:dyDescent="0.25">
      <c r="B526"/>
      <c r="C526"/>
      <c r="D526"/>
    </row>
    <row r="527" spans="2:4" x14ac:dyDescent="0.25">
      <c r="B527"/>
      <c r="C527"/>
      <c r="D527"/>
    </row>
    <row r="528" spans="2:4" x14ac:dyDescent="0.25">
      <c r="B528"/>
      <c r="C528"/>
      <c r="D528"/>
    </row>
    <row r="529" spans="2:4" x14ac:dyDescent="0.25">
      <c r="B529"/>
      <c r="C529"/>
      <c r="D529"/>
    </row>
    <row r="530" spans="2:4" x14ac:dyDescent="0.25">
      <c r="B530"/>
      <c r="C530"/>
      <c r="D530"/>
    </row>
    <row r="531" spans="2:4" x14ac:dyDescent="0.25">
      <c r="B531"/>
      <c r="C531"/>
      <c r="D531"/>
    </row>
    <row r="532" spans="2:4" x14ac:dyDescent="0.25">
      <c r="B532"/>
      <c r="C532"/>
      <c r="D532"/>
    </row>
    <row r="533" spans="2:4" x14ac:dyDescent="0.25">
      <c r="B533"/>
      <c r="C533"/>
      <c r="D533"/>
    </row>
    <row r="534" spans="2:4" x14ac:dyDescent="0.25">
      <c r="B534"/>
      <c r="C534"/>
      <c r="D534"/>
    </row>
    <row r="535" spans="2:4" x14ac:dyDescent="0.25">
      <c r="B535"/>
      <c r="C535"/>
      <c r="D535"/>
    </row>
    <row r="536" spans="2:4" x14ac:dyDescent="0.25">
      <c r="B536"/>
      <c r="C536"/>
      <c r="D536"/>
    </row>
    <row r="537" spans="2:4" x14ac:dyDescent="0.25">
      <c r="B537"/>
      <c r="C537"/>
      <c r="D537"/>
    </row>
    <row r="538" spans="2:4" x14ac:dyDescent="0.25">
      <c r="B538"/>
      <c r="C538"/>
      <c r="D538"/>
    </row>
    <row r="539" spans="2:4" x14ac:dyDescent="0.25">
      <c r="B539"/>
      <c r="C539"/>
      <c r="D539"/>
    </row>
    <row r="540" spans="2:4" x14ac:dyDescent="0.25">
      <c r="B540"/>
      <c r="C540"/>
      <c r="D540"/>
    </row>
    <row r="541" spans="2:4" x14ac:dyDescent="0.25">
      <c r="B541"/>
      <c r="C541"/>
      <c r="D541"/>
    </row>
    <row r="542" spans="2:4" x14ac:dyDescent="0.25">
      <c r="B542"/>
      <c r="C542"/>
      <c r="D542"/>
    </row>
    <row r="543" spans="2:4" x14ac:dyDescent="0.25">
      <c r="B543"/>
      <c r="C543"/>
      <c r="D543"/>
    </row>
    <row r="544" spans="2:4" x14ac:dyDescent="0.25">
      <c r="B544"/>
      <c r="C544"/>
      <c r="D544"/>
    </row>
    <row r="545" spans="2:4" x14ac:dyDescent="0.25">
      <c r="B545"/>
      <c r="C545"/>
      <c r="D545"/>
    </row>
    <row r="546" spans="2:4" x14ac:dyDescent="0.25">
      <c r="B546"/>
      <c r="C546"/>
      <c r="D546"/>
    </row>
    <row r="547" spans="2:4" x14ac:dyDescent="0.25">
      <c r="B547"/>
      <c r="C547"/>
      <c r="D547"/>
    </row>
    <row r="548" spans="2:4" x14ac:dyDescent="0.25">
      <c r="B548"/>
      <c r="C548"/>
      <c r="D548"/>
    </row>
    <row r="549" spans="2:4" x14ac:dyDescent="0.25">
      <c r="B549"/>
      <c r="C549"/>
      <c r="D549"/>
    </row>
    <row r="550" spans="2:4" x14ac:dyDescent="0.25">
      <c r="B550"/>
      <c r="C550"/>
      <c r="D550"/>
    </row>
    <row r="551" spans="2:4" x14ac:dyDescent="0.25">
      <c r="B551"/>
      <c r="C551"/>
      <c r="D551"/>
    </row>
    <row r="552" spans="2:4" x14ac:dyDescent="0.25">
      <c r="B552"/>
      <c r="C552"/>
      <c r="D552"/>
    </row>
    <row r="553" spans="2:4" x14ac:dyDescent="0.25">
      <c r="B553"/>
      <c r="C553"/>
      <c r="D553"/>
    </row>
    <row r="554" spans="2:4" x14ac:dyDescent="0.25">
      <c r="B554"/>
      <c r="C554"/>
      <c r="D554"/>
    </row>
    <row r="555" spans="2:4" x14ac:dyDescent="0.25">
      <c r="B555"/>
      <c r="C555"/>
      <c r="D555"/>
    </row>
    <row r="556" spans="2:4" x14ac:dyDescent="0.25">
      <c r="B556"/>
      <c r="C556"/>
      <c r="D556"/>
    </row>
    <row r="557" spans="2:4" x14ac:dyDescent="0.25">
      <c r="B557"/>
      <c r="C557"/>
      <c r="D557"/>
    </row>
    <row r="558" spans="2:4" x14ac:dyDescent="0.25">
      <c r="B558"/>
      <c r="C558"/>
      <c r="D558"/>
    </row>
    <row r="559" spans="2:4" x14ac:dyDescent="0.25">
      <c r="B559"/>
      <c r="C559"/>
      <c r="D559"/>
    </row>
    <row r="560" spans="2:4" x14ac:dyDescent="0.25">
      <c r="B560"/>
      <c r="C560"/>
      <c r="D560"/>
    </row>
    <row r="561" spans="2:4" x14ac:dyDescent="0.25">
      <c r="B561"/>
      <c r="C561"/>
      <c r="D561"/>
    </row>
    <row r="562" spans="2:4" x14ac:dyDescent="0.25">
      <c r="B562"/>
      <c r="C562"/>
      <c r="D562"/>
    </row>
    <row r="563" spans="2:4" x14ac:dyDescent="0.25">
      <c r="B563"/>
      <c r="C563"/>
      <c r="D563"/>
    </row>
    <row r="564" spans="2:4" x14ac:dyDescent="0.25">
      <c r="B564"/>
      <c r="C564"/>
      <c r="D564"/>
    </row>
    <row r="565" spans="2:4" x14ac:dyDescent="0.25">
      <c r="B565"/>
      <c r="C565"/>
      <c r="D565"/>
    </row>
    <row r="566" spans="2:4" x14ac:dyDescent="0.25">
      <c r="B566"/>
      <c r="C566"/>
      <c r="D566"/>
    </row>
    <row r="567" spans="2:4" x14ac:dyDescent="0.25">
      <c r="B567"/>
      <c r="C567"/>
      <c r="D567"/>
    </row>
    <row r="568" spans="2:4" x14ac:dyDescent="0.25">
      <c r="B568"/>
      <c r="C568"/>
      <c r="D568"/>
    </row>
    <row r="569" spans="2:4" x14ac:dyDescent="0.25">
      <c r="B569"/>
      <c r="C569"/>
      <c r="D569"/>
    </row>
    <row r="570" spans="2:4" x14ac:dyDescent="0.25">
      <c r="B570"/>
      <c r="C570"/>
      <c r="D570"/>
    </row>
    <row r="571" spans="2:4" x14ac:dyDescent="0.25">
      <c r="B571"/>
      <c r="C571"/>
      <c r="D571"/>
    </row>
    <row r="572" spans="2:4" x14ac:dyDescent="0.25">
      <c r="B572"/>
      <c r="C572"/>
      <c r="D572"/>
    </row>
    <row r="573" spans="2:4" x14ac:dyDescent="0.25">
      <c r="B573"/>
      <c r="C573"/>
      <c r="D573"/>
    </row>
    <row r="574" spans="2:4" x14ac:dyDescent="0.25">
      <c r="B574"/>
      <c r="C574"/>
      <c r="D574"/>
    </row>
    <row r="575" spans="2:4" x14ac:dyDescent="0.25">
      <c r="B575"/>
      <c r="C575"/>
      <c r="D575"/>
    </row>
    <row r="576" spans="2:4" x14ac:dyDescent="0.25">
      <c r="B576"/>
      <c r="C576"/>
      <c r="D576"/>
    </row>
    <row r="577" spans="2:4" x14ac:dyDescent="0.25">
      <c r="B577"/>
      <c r="C577"/>
      <c r="D577"/>
    </row>
    <row r="578" spans="2:4" x14ac:dyDescent="0.25">
      <c r="B578"/>
      <c r="C578"/>
      <c r="D578"/>
    </row>
    <row r="579" spans="2:4" x14ac:dyDescent="0.25">
      <c r="B579"/>
      <c r="C579"/>
      <c r="D579"/>
    </row>
    <row r="580" spans="2:4" x14ac:dyDescent="0.25">
      <c r="B580"/>
      <c r="C580"/>
      <c r="D580"/>
    </row>
    <row r="581" spans="2:4" x14ac:dyDescent="0.25">
      <c r="B581"/>
      <c r="C581"/>
      <c r="D581"/>
    </row>
    <row r="582" spans="2:4" x14ac:dyDescent="0.25">
      <c r="B582"/>
      <c r="C582"/>
      <c r="D582"/>
    </row>
    <row r="583" spans="2:4" x14ac:dyDescent="0.25">
      <c r="B583"/>
      <c r="C583"/>
      <c r="D583"/>
    </row>
    <row r="584" spans="2:4" x14ac:dyDescent="0.25">
      <c r="B584"/>
      <c r="C584"/>
      <c r="D584"/>
    </row>
    <row r="585" spans="2:4" x14ac:dyDescent="0.25">
      <c r="B585"/>
      <c r="C585"/>
      <c r="D585"/>
    </row>
    <row r="586" spans="2:4" x14ac:dyDescent="0.25">
      <c r="B586"/>
      <c r="C586"/>
      <c r="D586"/>
    </row>
    <row r="587" spans="2:4" x14ac:dyDescent="0.25">
      <c r="B587"/>
      <c r="C587"/>
      <c r="D587"/>
    </row>
    <row r="588" spans="2:4" x14ac:dyDescent="0.25">
      <c r="B588"/>
      <c r="C588"/>
      <c r="D588"/>
    </row>
    <row r="589" spans="2:4" x14ac:dyDescent="0.25">
      <c r="B589"/>
      <c r="C589"/>
      <c r="D589"/>
    </row>
    <row r="590" spans="2:4" x14ac:dyDescent="0.25">
      <c r="B590"/>
      <c r="C590"/>
      <c r="D590"/>
    </row>
    <row r="591" spans="2:4" x14ac:dyDescent="0.25">
      <c r="B591"/>
      <c r="C591"/>
      <c r="D591"/>
    </row>
    <row r="592" spans="2:4" x14ac:dyDescent="0.25">
      <c r="B592"/>
      <c r="C592"/>
      <c r="D592"/>
    </row>
    <row r="593" spans="2:4" x14ac:dyDescent="0.25">
      <c r="B593"/>
      <c r="C593"/>
      <c r="D593"/>
    </row>
    <row r="594" spans="2:4" x14ac:dyDescent="0.25">
      <c r="B594"/>
      <c r="C594"/>
      <c r="D594"/>
    </row>
    <row r="595" spans="2:4" x14ac:dyDescent="0.25">
      <c r="B595"/>
      <c r="C595"/>
      <c r="D595"/>
    </row>
    <row r="596" spans="2:4" x14ac:dyDescent="0.25">
      <c r="B596"/>
      <c r="C596"/>
      <c r="D596"/>
    </row>
    <row r="597" spans="2:4" x14ac:dyDescent="0.25">
      <c r="B597"/>
      <c r="C597"/>
      <c r="D597"/>
    </row>
    <row r="598" spans="2:4" x14ac:dyDescent="0.25">
      <c r="B598"/>
      <c r="C598"/>
      <c r="D598"/>
    </row>
    <row r="599" spans="2:4" x14ac:dyDescent="0.25">
      <c r="B599"/>
      <c r="C599"/>
      <c r="D599"/>
    </row>
    <row r="600" spans="2:4" x14ac:dyDescent="0.25">
      <c r="B600"/>
      <c r="C600"/>
      <c r="D600"/>
    </row>
    <row r="601" spans="2:4" x14ac:dyDescent="0.25">
      <c r="B601"/>
      <c r="C601"/>
      <c r="D601"/>
    </row>
    <row r="602" spans="2:4" x14ac:dyDescent="0.25">
      <c r="B602"/>
      <c r="C602"/>
      <c r="D602"/>
    </row>
    <row r="603" spans="2:4" x14ac:dyDescent="0.25">
      <c r="B603"/>
      <c r="C603"/>
      <c r="D603"/>
    </row>
    <row r="604" spans="2:4" x14ac:dyDescent="0.25">
      <c r="B604"/>
      <c r="C604"/>
      <c r="D604"/>
    </row>
    <row r="605" spans="2:4" x14ac:dyDescent="0.25">
      <c r="B605"/>
      <c r="C605"/>
      <c r="D605"/>
    </row>
    <row r="606" spans="2:4" x14ac:dyDescent="0.25">
      <c r="B606"/>
      <c r="C606"/>
      <c r="D606"/>
    </row>
    <row r="607" spans="2:4" x14ac:dyDescent="0.25">
      <c r="B607"/>
      <c r="C607"/>
      <c r="D607"/>
    </row>
    <row r="608" spans="2:4" x14ac:dyDescent="0.25">
      <c r="B608"/>
      <c r="C608"/>
      <c r="D608"/>
    </row>
    <row r="609" spans="2:4" x14ac:dyDescent="0.25">
      <c r="B609"/>
      <c r="C609"/>
      <c r="D609"/>
    </row>
    <row r="610" spans="2:4" x14ac:dyDescent="0.25">
      <c r="B610"/>
      <c r="C610"/>
      <c r="D610"/>
    </row>
    <row r="611" spans="2:4" x14ac:dyDescent="0.25">
      <c r="B611"/>
      <c r="C611"/>
      <c r="D611"/>
    </row>
    <row r="612" spans="2:4" x14ac:dyDescent="0.25">
      <c r="B612"/>
      <c r="C612"/>
      <c r="D612"/>
    </row>
    <row r="613" spans="2:4" x14ac:dyDescent="0.25">
      <c r="B613"/>
      <c r="C613"/>
      <c r="D613"/>
    </row>
    <row r="614" spans="2:4" x14ac:dyDescent="0.25">
      <c r="B614"/>
      <c r="C614"/>
      <c r="D614"/>
    </row>
    <row r="615" spans="2:4" x14ac:dyDescent="0.25">
      <c r="B615"/>
      <c r="C615"/>
      <c r="D615"/>
    </row>
    <row r="616" spans="2:4" x14ac:dyDescent="0.25">
      <c r="B616"/>
      <c r="C616"/>
      <c r="D616"/>
    </row>
    <row r="617" spans="2:4" x14ac:dyDescent="0.25">
      <c r="B617"/>
      <c r="C617"/>
      <c r="D617"/>
    </row>
    <row r="618" spans="2:4" x14ac:dyDescent="0.25">
      <c r="B618"/>
      <c r="C618"/>
      <c r="D618"/>
    </row>
    <row r="619" spans="2:4" x14ac:dyDescent="0.25">
      <c r="B619"/>
      <c r="C619"/>
      <c r="D619"/>
    </row>
    <row r="620" spans="2:4" x14ac:dyDescent="0.25">
      <c r="B620"/>
      <c r="C620"/>
      <c r="D620"/>
    </row>
    <row r="621" spans="2:4" x14ac:dyDescent="0.25">
      <c r="B621"/>
      <c r="C621"/>
      <c r="D621"/>
    </row>
    <row r="622" spans="2:4" x14ac:dyDescent="0.25">
      <c r="B622"/>
      <c r="C622"/>
      <c r="D622"/>
    </row>
    <row r="623" spans="2:4" x14ac:dyDescent="0.25">
      <c r="B623"/>
      <c r="C623"/>
      <c r="D623"/>
    </row>
    <row r="624" spans="2:4" x14ac:dyDescent="0.25">
      <c r="B624"/>
      <c r="C624"/>
      <c r="D624"/>
    </row>
    <row r="625" spans="2:4" x14ac:dyDescent="0.25">
      <c r="B625"/>
      <c r="C625"/>
      <c r="D625"/>
    </row>
    <row r="626" spans="2:4" x14ac:dyDescent="0.25">
      <c r="B626"/>
      <c r="C626"/>
      <c r="D626"/>
    </row>
    <row r="627" spans="2:4" x14ac:dyDescent="0.25">
      <c r="B627"/>
      <c r="C627"/>
      <c r="D627"/>
    </row>
    <row r="628" spans="2:4" x14ac:dyDescent="0.25">
      <c r="B628"/>
      <c r="C628"/>
      <c r="D628"/>
    </row>
    <row r="629" spans="2:4" x14ac:dyDescent="0.25">
      <c r="B629"/>
      <c r="C629"/>
      <c r="D629"/>
    </row>
    <row r="630" spans="2:4" x14ac:dyDescent="0.25">
      <c r="B630"/>
      <c r="C630"/>
      <c r="D630"/>
    </row>
    <row r="631" spans="2:4" x14ac:dyDescent="0.25">
      <c r="B631"/>
      <c r="C631"/>
      <c r="D631"/>
    </row>
    <row r="632" spans="2:4" x14ac:dyDescent="0.25">
      <c r="B632"/>
      <c r="C632"/>
      <c r="D632"/>
    </row>
    <row r="633" spans="2:4" x14ac:dyDescent="0.25">
      <c r="B633"/>
      <c r="C633"/>
      <c r="D633"/>
    </row>
    <row r="634" spans="2:4" x14ac:dyDescent="0.25">
      <c r="B634"/>
      <c r="C634"/>
      <c r="D634"/>
    </row>
    <row r="635" spans="2:4" x14ac:dyDescent="0.25">
      <c r="B635"/>
      <c r="C635"/>
      <c r="D635"/>
    </row>
    <row r="636" spans="2:4" x14ac:dyDescent="0.25">
      <c r="B636"/>
      <c r="C636"/>
      <c r="D636"/>
    </row>
    <row r="637" spans="2:4" x14ac:dyDescent="0.25">
      <c r="B637"/>
      <c r="C637"/>
      <c r="D637"/>
    </row>
    <row r="638" spans="2:4" x14ac:dyDescent="0.25">
      <c r="B638"/>
      <c r="C638"/>
      <c r="D638"/>
    </row>
    <row r="639" spans="2:4" x14ac:dyDescent="0.25">
      <c r="B639"/>
      <c r="C639"/>
      <c r="D639"/>
    </row>
    <row r="640" spans="2:4" x14ac:dyDescent="0.25">
      <c r="B640"/>
      <c r="C640"/>
      <c r="D640"/>
    </row>
    <row r="641" spans="2:4" x14ac:dyDescent="0.25">
      <c r="B641"/>
      <c r="C641"/>
      <c r="D641"/>
    </row>
    <row r="642" spans="2:4" x14ac:dyDescent="0.25">
      <c r="B642"/>
      <c r="C642"/>
      <c r="D642"/>
    </row>
    <row r="643" spans="2:4" x14ac:dyDescent="0.25">
      <c r="B643"/>
      <c r="C643"/>
      <c r="D643"/>
    </row>
    <row r="644" spans="2:4" x14ac:dyDescent="0.25">
      <c r="B644"/>
      <c r="C644"/>
      <c r="D644"/>
    </row>
    <row r="645" spans="2:4" x14ac:dyDescent="0.25">
      <c r="B645"/>
      <c r="C645"/>
      <c r="D645"/>
    </row>
    <row r="646" spans="2:4" x14ac:dyDescent="0.25">
      <c r="B646"/>
      <c r="C646"/>
      <c r="D646"/>
    </row>
    <row r="647" spans="2:4" x14ac:dyDescent="0.25">
      <c r="B647"/>
      <c r="C647"/>
      <c r="D647"/>
    </row>
    <row r="648" spans="2:4" x14ac:dyDescent="0.25">
      <c r="B648"/>
      <c r="C648"/>
      <c r="D648"/>
    </row>
    <row r="649" spans="2:4" x14ac:dyDescent="0.25">
      <c r="B649"/>
      <c r="C649"/>
      <c r="D649"/>
    </row>
    <row r="650" spans="2:4" x14ac:dyDescent="0.25">
      <c r="B650"/>
      <c r="C650"/>
      <c r="D650"/>
    </row>
    <row r="651" spans="2:4" x14ac:dyDescent="0.25">
      <c r="B651"/>
      <c r="C651"/>
      <c r="D651"/>
    </row>
    <row r="652" spans="2:4" x14ac:dyDescent="0.25">
      <c r="B652"/>
      <c r="C652"/>
      <c r="D652"/>
    </row>
    <row r="653" spans="2:4" x14ac:dyDescent="0.25">
      <c r="B653"/>
      <c r="C653"/>
      <c r="D653"/>
    </row>
    <row r="654" spans="2:4" x14ac:dyDescent="0.25">
      <c r="B654"/>
      <c r="C654"/>
      <c r="D654"/>
    </row>
    <row r="655" spans="2:4" x14ac:dyDescent="0.25">
      <c r="B655"/>
      <c r="C655"/>
      <c r="D655"/>
    </row>
    <row r="656" spans="2:4" x14ac:dyDescent="0.25">
      <c r="B656"/>
      <c r="C656"/>
      <c r="D656"/>
    </row>
    <row r="657" spans="2:4" x14ac:dyDescent="0.25">
      <c r="B657"/>
      <c r="C657"/>
      <c r="D657"/>
    </row>
    <row r="658" spans="2:4" x14ac:dyDescent="0.25">
      <c r="B658"/>
      <c r="C658"/>
      <c r="D658"/>
    </row>
    <row r="659" spans="2:4" x14ac:dyDescent="0.25">
      <c r="B659"/>
      <c r="C659"/>
      <c r="D659"/>
    </row>
    <row r="660" spans="2:4" x14ac:dyDescent="0.25">
      <c r="B660"/>
      <c r="C660"/>
      <c r="D660"/>
    </row>
    <row r="661" spans="2:4" x14ac:dyDescent="0.25">
      <c r="B661"/>
      <c r="C661"/>
      <c r="D661"/>
    </row>
    <row r="662" spans="2:4" x14ac:dyDescent="0.25">
      <c r="B662"/>
      <c r="C662"/>
      <c r="D662"/>
    </row>
    <row r="663" spans="2:4" x14ac:dyDescent="0.25">
      <c r="B663"/>
      <c r="C663"/>
      <c r="D663"/>
    </row>
    <row r="664" spans="2:4" x14ac:dyDescent="0.25">
      <c r="B664"/>
      <c r="C664"/>
      <c r="D664"/>
    </row>
    <row r="665" spans="2:4" x14ac:dyDescent="0.25">
      <c r="B665"/>
      <c r="C665"/>
      <c r="D665"/>
    </row>
    <row r="666" spans="2:4" x14ac:dyDescent="0.25">
      <c r="B666"/>
      <c r="C666"/>
      <c r="D666"/>
    </row>
    <row r="667" spans="2:4" x14ac:dyDescent="0.25">
      <c r="B667"/>
      <c r="C667"/>
      <c r="D667"/>
    </row>
    <row r="668" spans="2:4" x14ac:dyDescent="0.25">
      <c r="B668"/>
      <c r="C668"/>
      <c r="D668"/>
    </row>
    <row r="669" spans="2:4" x14ac:dyDescent="0.25">
      <c r="B669"/>
      <c r="C669"/>
      <c r="D669"/>
    </row>
    <row r="670" spans="2:4" x14ac:dyDescent="0.25">
      <c r="B670"/>
      <c r="C670"/>
      <c r="D670"/>
    </row>
    <row r="671" spans="2:4" x14ac:dyDescent="0.25">
      <c r="B671"/>
      <c r="C671"/>
      <c r="D671"/>
    </row>
    <row r="672" spans="2:4" x14ac:dyDescent="0.25">
      <c r="B672"/>
      <c r="C672"/>
      <c r="D672"/>
    </row>
    <row r="673" spans="2:4" x14ac:dyDescent="0.25">
      <c r="B673"/>
      <c r="C673"/>
      <c r="D673"/>
    </row>
    <row r="674" spans="2:4" x14ac:dyDescent="0.25">
      <c r="B674"/>
      <c r="C674"/>
      <c r="D674"/>
    </row>
    <row r="675" spans="2:4" x14ac:dyDescent="0.25">
      <c r="B675"/>
      <c r="C675"/>
      <c r="D675"/>
    </row>
    <row r="676" spans="2:4" x14ac:dyDescent="0.25">
      <c r="B676"/>
      <c r="C676"/>
      <c r="D676"/>
    </row>
    <row r="677" spans="2:4" x14ac:dyDescent="0.25">
      <c r="B677"/>
      <c r="C677"/>
      <c r="D677"/>
    </row>
    <row r="678" spans="2:4" x14ac:dyDescent="0.25">
      <c r="B678"/>
      <c r="C678"/>
      <c r="D678"/>
    </row>
    <row r="679" spans="2:4" x14ac:dyDescent="0.25">
      <c r="B679"/>
      <c r="C679"/>
      <c r="D679"/>
    </row>
    <row r="680" spans="2:4" x14ac:dyDescent="0.25">
      <c r="B680"/>
      <c r="C680"/>
      <c r="D680"/>
    </row>
    <row r="681" spans="2:4" x14ac:dyDescent="0.25">
      <c r="B681"/>
      <c r="C681"/>
      <c r="D681"/>
    </row>
    <row r="682" spans="2:4" x14ac:dyDescent="0.25">
      <c r="B682"/>
      <c r="C682"/>
      <c r="D682"/>
    </row>
    <row r="683" spans="2:4" x14ac:dyDescent="0.25">
      <c r="B683"/>
      <c r="C683"/>
      <c r="D683"/>
    </row>
    <row r="684" spans="2:4" x14ac:dyDescent="0.25">
      <c r="B684"/>
      <c r="C684"/>
      <c r="D684"/>
    </row>
    <row r="685" spans="2:4" x14ac:dyDescent="0.25">
      <c r="B685"/>
      <c r="C685"/>
      <c r="D685"/>
    </row>
    <row r="686" spans="2:4" x14ac:dyDescent="0.25">
      <c r="B686"/>
      <c r="C686"/>
      <c r="D686"/>
    </row>
    <row r="687" spans="2:4" x14ac:dyDescent="0.25">
      <c r="B687"/>
      <c r="C687"/>
      <c r="D687"/>
    </row>
    <row r="688" spans="2:4" x14ac:dyDescent="0.25">
      <c r="B688"/>
      <c r="C688"/>
      <c r="D688"/>
    </row>
    <row r="689" spans="2:4" x14ac:dyDescent="0.25">
      <c r="B689"/>
      <c r="C689"/>
      <c r="D689"/>
    </row>
    <row r="690" spans="2:4" x14ac:dyDescent="0.25">
      <c r="B690"/>
      <c r="C690"/>
      <c r="D690"/>
    </row>
    <row r="691" spans="2:4" x14ac:dyDescent="0.25">
      <c r="B691"/>
      <c r="C691"/>
      <c r="D691"/>
    </row>
    <row r="692" spans="2:4" x14ac:dyDescent="0.25">
      <c r="B692"/>
      <c r="C692"/>
      <c r="D692"/>
    </row>
    <row r="693" spans="2:4" x14ac:dyDescent="0.25">
      <c r="B693"/>
      <c r="C693"/>
      <c r="D693"/>
    </row>
    <row r="694" spans="2:4" x14ac:dyDescent="0.25">
      <c r="B694"/>
      <c r="C694"/>
      <c r="D694"/>
    </row>
    <row r="695" spans="2:4" x14ac:dyDescent="0.25">
      <c r="B695"/>
      <c r="C695"/>
      <c r="D695"/>
    </row>
    <row r="696" spans="2:4" x14ac:dyDescent="0.25">
      <c r="B696"/>
      <c r="C696"/>
      <c r="D696"/>
    </row>
    <row r="697" spans="2:4" x14ac:dyDescent="0.25">
      <c r="B697"/>
      <c r="C697"/>
      <c r="D697"/>
    </row>
    <row r="698" spans="2:4" x14ac:dyDescent="0.25">
      <c r="B698"/>
      <c r="C698"/>
      <c r="D698"/>
    </row>
    <row r="699" spans="2:4" x14ac:dyDescent="0.25">
      <c r="B699"/>
      <c r="C699"/>
      <c r="D699"/>
    </row>
    <row r="700" spans="2:4" x14ac:dyDescent="0.25">
      <c r="B700"/>
      <c r="C700"/>
      <c r="D700"/>
    </row>
    <row r="701" spans="2:4" x14ac:dyDescent="0.25">
      <c r="B701"/>
      <c r="C701"/>
      <c r="D701"/>
    </row>
    <row r="702" spans="2:4" x14ac:dyDescent="0.25">
      <c r="B702"/>
      <c r="C702"/>
      <c r="D702"/>
    </row>
    <row r="703" spans="2:4" x14ac:dyDescent="0.25">
      <c r="B703"/>
      <c r="C703"/>
      <c r="D703"/>
    </row>
    <row r="704" spans="2:4" x14ac:dyDescent="0.25">
      <c r="B704"/>
      <c r="C704"/>
      <c r="D704"/>
    </row>
    <row r="705" spans="2:4" x14ac:dyDescent="0.25">
      <c r="B705"/>
      <c r="C705"/>
      <c r="D705"/>
    </row>
    <row r="706" spans="2:4" x14ac:dyDescent="0.25">
      <c r="B706"/>
      <c r="C706"/>
      <c r="D706"/>
    </row>
    <row r="707" spans="2:4" x14ac:dyDescent="0.25">
      <c r="B707"/>
      <c r="C707"/>
      <c r="D707"/>
    </row>
    <row r="708" spans="2:4" x14ac:dyDescent="0.25">
      <c r="B708"/>
      <c r="C708"/>
      <c r="D708"/>
    </row>
    <row r="709" spans="2:4" x14ac:dyDescent="0.25">
      <c r="B709"/>
      <c r="C709"/>
      <c r="D709"/>
    </row>
    <row r="710" spans="2:4" x14ac:dyDescent="0.25">
      <c r="B710"/>
      <c r="C710"/>
      <c r="D710"/>
    </row>
    <row r="711" spans="2:4" x14ac:dyDescent="0.25">
      <c r="B711"/>
      <c r="C711"/>
      <c r="D711"/>
    </row>
    <row r="712" spans="2:4" x14ac:dyDescent="0.25">
      <c r="B712"/>
      <c r="C712"/>
      <c r="D712"/>
    </row>
    <row r="713" spans="2:4" x14ac:dyDescent="0.25">
      <c r="B713"/>
      <c r="C713"/>
      <c r="D713"/>
    </row>
    <row r="714" spans="2:4" x14ac:dyDescent="0.25">
      <c r="B714"/>
      <c r="C714"/>
      <c r="D714"/>
    </row>
    <row r="715" spans="2:4" x14ac:dyDescent="0.25">
      <c r="B715"/>
      <c r="C715"/>
      <c r="D715"/>
    </row>
    <row r="716" spans="2:4" x14ac:dyDescent="0.25">
      <c r="B716"/>
      <c r="C716"/>
      <c r="D716"/>
    </row>
    <row r="717" spans="2:4" x14ac:dyDescent="0.25">
      <c r="B717"/>
      <c r="C717"/>
      <c r="D717"/>
    </row>
    <row r="718" spans="2:4" x14ac:dyDescent="0.25">
      <c r="B718"/>
      <c r="C718"/>
      <c r="D718"/>
    </row>
    <row r="719" spans="2:4" x14ac:dyDescent="0.25">
      <c r="B719"/>
      <c r="C719"/>
      <c r="D719"/>
    </row>
    <row r="720" spans="2:4" x14ac:dyDescent="0.25">
      <c r="B720"/>
      <c r="C720"/>
      <c r="D720"/>
    </row>
    <row r="721" spans="2:4" x14ac:dyDescent="0.25">
      <c r="B721"/>
      <c r="C721"/>
      <c r="D721"/>
    </row>
    <row r="722" spans="2:4" x14ac:dyDescent="0.25">
      <c r="B722"/>
      <c r="C722"/>
      <c r="D722"/>
    </row>
    <row r="723" spans="2:4" x14ac:dyDescent="0.25">
      <c r="B723"/>
      <c r="C723"/>
      <c r="D723"/>
    </row>
    <row r="724" spans="2:4" x14ac:dyDescent="0.25">
      <c r="B724"/>
      <c r="C724"/>
      <c r="D724"/>
    </row>
    <row r="725" spans="2:4" x14ac:dyDescent="0.25">
      <c r="B725"/>
      <c r="C725"/>
      <c r="D725"/>
    </row>
    <row r="726" spans="2:4" x14ac:dyDescent="0.25">
      <c r="B726"/>
      <c r="C726"/>
      <c r="D726"/>
    </row>
    <row r="727" spans="2:4" x14ac:dyDescent="0.25">
      <c r="B727"/>
      <c r="C727"/>
      <c r="D727"/>
    </row>
    <row r="728" spans="2:4" x14ac:dyDescent="0.25">
      <c r="B728"/>
      <c r="C728"/>
      <c r="D728"/>
    </row>
    <row r="729" spans="2:4" x14ac:dyDescent="0.25">
      <c r="B729"/>
      <c r="C729"/>
      <c r="D729"/>
    </row>
    <row r="730" spans="2:4" x14ac:dyDescent="0.25">
      <c r="B730"/>
      <c r="C730"/>
      <c r="D730"/>
    </row>
    <row r="731" spans="2:4" x14ac:dyDescent="0.25">
      <c r="B731"/>
      <c r="C731"/>
      <c r="D731"/>
    </row>
    <row r="732" spans="2:4" x14ac:dyDescent="0.25">
      <c r="B732"/>
      <c r="C732"/>
      <c r="D732"/>
    </row>
    <row r="733" spans="2:4" x14ac:dyDescent="0.25">
      <c r="B733"/>
      <c r="C733"/>
      <c r="D733"/>
    </row>
    <row r="734" spans="2:4" x14ac:dyDescent="0.25">
      <c r="B734"/>
      <c r="C734"/>
      <c r="D734"/>
    </row>
    <row r="735" spans="2:4" x14ac:dyDescent="0.25">
      <c r="B735"/>
      <c r="C735"/>
      <c r="D735"/>
    </row>
    <row r="736" spans="2:4" x14ac:dyDescent="0.25">
      <c r="B736"/>
      <c r="C736"/>
      <c r="D736"/>
    </row>
    <row r="737" spans="2:4" x14ac:dyDescent="0.25">
      <c r="B737"/>
      <c r="C737"/>
      <c r="D737"/>
    </row>
    <row r="738" spans="2:4" x14ac:dyDescent="0.25">
      <c r="B738"/>
      <c r="C738"/>
      <c r="D738"/>
    </row>
    <row r="739" spans="2:4" x14ac:dyDescent="0.25">
      <c r="B739"/>
      <c r="C739"/>
      <c r="D739"/>
    </row>
    <row r="740" spans="2:4" x14ac:dyDescent="0.25">
      <c r="B740"/>
      <c r="C740"/>
      <c r="D740"/>
    </row>
    <row r="741" spans="2:4" x14ac:dyDescent="0.25">
      <c r="B741"/>
      <c r="C741"/>
      <c r="D741"/>
    </row>
    <row r="742" spans="2:4" x14ac:dyDescent="0.25">
      <c r="B742"/>
      <c r="C742"/>
      <c r="D742"/>
    </row>
    <row r="743" spans="2:4" x14ac:dyDescent="0.25">
      <c r="B743"/>
      <c r="C743"/>
      <c r="D743"/>
    </row>
    <row r="744" spans="2:4" x14ac:dyDescent="0.25">
      <c r="B744"/>
      <c r="C744"/>
      <c r="D744"/>
    </row>
    <row r="745" spans="2:4" x14ac:dyDescent="0.25">
      <c r="B745"/>
      <c r="C745"/>
      <c r="D745"/>
    </row>
    <row r="746" spans="2:4" x14ac:dyDescent="0.25">
      <c r="B746"/>
      <c r="C746"/>
      <c r="D746"/>
    </row>
    <row r="747" spans="2:4" x14ac:dyDescent="0.25">
      <c r="B747"/>
      <c r="C747"/>
      <c r="D747"/>
    </row>
    <row r="748" spans="2:4" x14ac:dyDescent="0.25">
      <c r="B748"/>
      <c r="C748"/>
      <c r="D748"/>
    </row>
    <row r="749" spans="2:4" x14ac:dyDescent="0.25">
      <c r="B749"/>
      <c r="C749"/>
      <c r="D749"/>
    </row>
    <row r="750" spans="2:4" x14ac:dyDescent="0.25">
      <c r="B750"/>
      <c r="C750"/>
      <c r="D750"/>
    </row>
    <row r="751" spans="2:4" x14ac:dyDescent="0.25">
      <c r="B751"/>
      <c r="C751"/>
      <c r="D751"/>
    </row>
    <row r="752" spans="2:4" x14ac:dyDescent="0.25">
      <c r="B752"/>
      <c r="C752"/>
      <c r="D752"/>
    </row>
    <row r="753" spans="2:4" x14ac:dyDescent="0.25">
      <c r="B753"/>
      <c r="C753"/>
      <c r="D753"/>
    </row>
    <row r="754" spans="2:4" x14ac:dyDescent="0.25">
      <c r="B754"/>
      <c r="C754"/>
      <c r="D754"/>
    </row>
    <row r="755" spans="2:4" x14ac:dyDescent="0.25">
      <c r="B755"/>
      <c r="C755"/>
      <c r="D755"/>
    </row>
    <row r="756" spans="2:4" x14ac:dyDescent="0.25">
      <c r="B756"/>
      <c r="C756"/>
      <c r="D756"/>
    </row>
    <row r="757" spans="2:4" x14ac:dyDescent="0.25">
      <c r="B757"/>
      <c r="C757"/>
      <c r="D757"/>
    </row>
    <row r="758" spans="2:4" x14ac:dyDescent="0.25">
      <c r="B758"/>
      <c r="C758"/>
      <c r="D758"/>
    </row>
    <row r="759" spans="2:4" x14ac:dyDescent="0.25">
      <c r="B759"/>
      <c r="C759"/>
      <c r="D759"/>
    </row>
    <row r="760" spans="2:4" x14ac:dyDescent="0.25">
      <c r="B760"/>
      <c r="C760"/>
      <c r="D760"/>
    </row>
    <row r="761" spans="2:4" x14ac:dyDescent="0.25">
      <c r="B761"/>
      <c r="C761"/>
      <c r="D761"/>
    </row>
    <row r="762" spans="2:4" x14ac:dyDescent="0.25">
      <c r="B762"/>
      <c r="C762"/>
      <c r="D762"/>
    </row>
    <row r="763" spans="2:4" x14ac:dyDescent="0.25">
      <c r="B763"/>
      <c r="C763"/>
      <c r="D763"/>
    </row>
    <row r="764" spans="2:4" x14ac:dyDescent="0.25">
      <c r="B764"/>
      <c r="C764"/>
      <c r="D764"/>
    </row>
    <row r="765" spans="2:4" x14ac:dyDescent="0.25">
      <c r="B765"/>
      <c r="C765"/>
      <c r="D765"/>
    </row>
    <row r="766" spans="2:4" x14ac:dyDescent="0.25">
      <c r="B766"/>
      <c r="C766"/>
      <c r="D766"/>
    </row>
    <row r="767" spans="2:4" x14ac:dyDescent="0.25">
      <c r="B767"/>
      <c r="C767"/>
      <c r="D767"/>
    </row>
    <row r="768" spans="2:4" x14ac:dyDescent="0.25">
      <c r="B768"/>
      <c r="C768"/>
      <c r="D768"/>
    </row>
    <row r="769" spans="2:4" x14ac:dyDescent="0.25">
      <c r="B769"/>
      <c r="C769"/>
      <c r="D769"/>
    </row>
    <row r="770" spans="2:4" x14ac:dyDescent="0.25">
      <c r="B770"/>
      <c r="C770"/>
      <c r="D770"/>
    </row>
    <row r="771" spans="2:4" x14ac:dyDescent="0.25">
      <c r="B771"/>
      <c r="C771"/>
      <c r="D771"/>
    </row>
    <row r="772" spans="2:4" x14ac:dyDescent="0.25">
      <c r="B772"/>
      <c r="C772"/>
      <c r="D772"/>
    </row>
    <row r="773" spans="2:4" x14ac:dyDescent="0.25">
      <c r="B773"/>
      <c r="C773"/>
      <c r="D773"/>
    </row>
    <row r="774" spans="2:4" x14ac:dyDescent="0.25">
      <c r="B774"/>
      <c r="C774"/>
      <c r="D774"/>
    </row>
    <row r="775" spans="2:4" x14ac:dyDescent="0.25">
      <c r="B775"/>
      <c r="C775"/>
      <c r="D775"/>
    </row>
    <row r="776" spans="2:4" x14ac:dyDescent="0.25">
      <c r="B776"/>
      <c r="C776"/>
      <c r="D776"/>
    </row>
    <row r="777" spans="2:4" x14ac:dyDescent="0.25">
      <c r="B777"/>
      <c r="C777"/>
      <c r="D777"/>
    </row>
    <row r="778" spans="2:4" x14ac:dyDescent="0.25">
      <c r="B778"/>
      <c r="C778"/>
      <c r="D778"/>
    </row>
    <row r="779" spans="2:4" x14ac:dyDescent="0.25">
      <c r="B779"/>
      <c r="C779"/>
      <c r="D779"/>
    </row>
    <row r="780" spans="2:4" x14ac:dyDescent="0.25">
      <c r="B780"/>
      <c r="C780"/>
      <c r="D780"/>
    </row>
    <row r="781" spans="2:4" x14ac:dyDescent="0.25">
      <c r="B781"/>
      <c r="C781"/>
      <c r="D781"/>
    </row>
    <row r="782" spans="2:4" x14ac:dyDescent="0.25">
      <c r="B782"/>
      <c r="C782"/>
      <c r="D782"/>
    </row>
    <row r="783" spans="2:4" x14ac:dyDescent="0.25">
      <c r="B783"/>
      <c r="C783"/>
      <c r="D783"/>
    </row>
    <row r="784" spans="2:4" x14ac:dyDescent="0.25">
      <c r="B784"/>
      <c r="C784"/>
      <c r="D784"/>
    </row>
    <row r="785" spans="2:4" x14ac:dyDescent="0.25">
      <c r="B785"/>
      <c r="C785"/>
      <c r="D785"/>
    </row>
    <row r="786" spans="2:4" x14ac:dyDescent="0.25">
      <c r="B786"/>
      <c r="C786"/>
      <c r="D786"/>
    </row>
    <row r="787" spans="2:4" x14ac:dyDescent="0.25">
      <c r="B787"/>
      <c r="C787"/>
      <c r="D787"/>
    </row>
    <row r="788" spans="2:4" x14ac:dyDescent="0.25">
      <c r="B788"/>
      <c r="C788"/>
      <c r="D788"/>
    </row>
    <row r="789" spans="2:4" x14ac:dyDescent="0.25">
      <c r="B789"/>
      <c r="C789"/>
      <c r="D789"/>
    </row>
    <row r="790" spans="2:4" x14ac:dyDescent="0.25">
      <c r="B790"/>
      <c r="C790"/>
      <c r="D790"/>
    </row>
    <row r="791" spans="2:4" x14ac:dyDescent="0.25">
      <c r="B791"/>
      <c r="C791"/>
      <c r="D791"/>
    </row>
    <row r="792" spans="2:4" x14ac:dyDescent="0.25">
      <c r="B792"/>
      <c r="C792"/>
      <c r="D792"/>
    </row>
    <row r="793" spans="2:4" x14ac:dyDescent="0.25">
      <c r="B793"/>
      <c r="C793"/>
      <c r="D793"/>
    </row>
    <row r="794" spans="2:4" x14ac:dyDescent="0.25">
      <c r="B794"/>
      <c r="C794"/>
      <c r="D794"/>
    </row>
    <row r="795" spans="2:4" x14ac:dyDescent="0.25">
      <c r="B795"/>
      <c r="C795"/>
      <c r="D795"/>
    </row>
    <row r="796" spans="2:4" x14ac:dyDescent="0.25">
      <c r="B796"/>
      <c r="C796"/>
      <c r="D796"/>
    </row>
    <row r="797" spans="2:4" x14ac:dyDescent="0.25">
      <c r="B797"/>
      <c r="C797"/>
      <c r="D797"/>
    </row>
    <row r="798" spans="2:4" x14ac:dyDescent="0.25">
      <c r="B798"/>
      <c r="C798"/>
      <c r="D798"/>
    </row>
    <row r="799" spans="2:4" x14ac:dyDescent="0.25">
      <c r="B799"/>
      <c r="C799"/>
      <c r="D799"/>
    </row>
    <row r="800" spans="2:4" x14ac:dyDescent="0.25">
      <c r="B800"/>
      <c r="C800"/>
      <c r="D800"/>
    </row>
    <row r="801" spans="2:4" x14ac:dyDescent="0.25">
      <c r="B801"/>
      <c r="C801"/>
      <c r="D801"/>
    </row>
    <row r="802" spans="2:4" x14ac:dyDescent="0.25">
      <c r="B802"/>
      <c r="C802"/>
      <c r="D802"/>
    </row>
    <row r="803" spans="2:4" x14ac:dyDescent="0.25">
      <c r="B803"/>
      <c r="C803"/>
      <c r="D803"/>
    </row>
    <row r="804" spans="2:4" x14ac:dyDescent="0.25">
      <c r="B804"/>
      <c r="C804"/>
      <c r="D804"/>
    </row>
    <row r="805" spans="2:4" x14ac:dyDescent="0.25">
      <c r="B805"/>
      <c r="C805"/>
      <c r="D805"/>
    </row>
    <row r="806" spans="2:4" x14ac:dyDescent="0.25">
      <c r="B806"/>
      <c r="C806"/>
      <c r="D806"/>
    </row>
    <row r="807" spans="2:4" x14ac:dyDescent="0.25">
      <c r="B807"/>
      <c r="C807"/>
      <c r="D807"/>
    </row>
    <row r="808" spans="2:4" x14ac:dyDescent="0.25">
      <c r="B808"/>
      <c r="C808"/>
      <c r="D808"/>
    </row>
    <row r="809" spans="2:4" x14ac:dyDescent="0.25">
      <c r="B809"/>
      <c r="C809"/>
      <c r="D809"/>
    </row>
    <row r="810" spans="2:4" x14ac:dyDescent="0.25">
      <c r="B810"/>
      <c r="C810"/>
      <c r="D810"/>
    </row>
    <row r="811" spans="2:4" x14ac:dyDescent="0.25">
      <c r="B811"/>
      <c r="C811"/>
      <c r="D811"/>
    </row>
    <row r="812" spans="2:4" x14ac:dyDescent="0.25">
      <c r="B812"/>
      <c r="C812"/>
      <c r="D812"/>
    </row>
    <row r="813" spans="2:4" x14ac:dyDescent="0.25">
      <c r="B813"/>
      <c r="C813"/>
      <c r="D813"/>
    </row>
    <row r="814" spans="2:4" x14ac:dyDescent="0.25">
      <c r="B814"/>
      <c r="C814"/>
      <c r="D814"/>
    </row>
    <row r="815" spans="2:4" x14ac:dyDescent="0.25">
      <c r="B815"/>
      <c r="C815"/>
      <c r="D815"/>
    </row>
    <row r="816" spans="2:4" x14ac:dyDescent="0.25">
      <c r="B816"/>
      <c r="C816"/>
      <c r="D816"/>
    </row>
    <row r="817" spans="2:4" x14ac:dyDescent="0.25">
      <c r="B817"/>
      <c r="C817"/>
      <c r="D817"/>
    </row>
    <row r="818" spans="2:4" x14ac:dyDescent="0.25">
      <c r="B818"/>
      <c r="C818"/>
      <c r="D818"/>
    </row>
    <row r="819" spans="2:4" x14ac:dyDescent="0.25">
      <c r="B819"/>
      <c r="C819"/>
      <c r="D819"/>
    </row>
    <row r="820" spans="2:4" x14ac:dyDescent="0.25">
      <c r="B820"/>
      <c r="C820"/>
      <c r="D820"/>
    </row>
    <row r="821" spans="2:4" x14ac:dyDescent="0.25">
      <c r="B821"/>
      <c r="C821"/>
      <c r="D821"/>
    </row>
    <row r="822" spans="2:4" x14ac:dyDescent="0.25">
      <c r="B822"/>
      <c r="C822"/>
      <c r="D822"/>
    </row>
    <row r="823" spans="2:4" x14ac:dyDescent="0.25">
      <c r="B823"/>
      <c r="C823"/>
      <c r="D823"/>
    </row>
    <row r="824" spans="2:4" x14ac:dyDescent="0.25">
      <c r="B824"/>
      <c r="C824"/>
      <c r="D824"/>
    </row>
    <row r="825" spans="2:4" x14ac:dyDescent="0.25">
      <c r="B825"/>
      <c r="C825"/>
      <c r="D825"/>
    </row>
    <row r="826" spans="2:4" x14ac:dyDescent="0.25">
      <c r="B826"/>
      <c r="C826"/>
      <c r="D826"/>
    </row>
    <row r="827" spans="2:4" x14ac:dyDescent="0.25">
      <c r="B827"/>
      <c r="C827"/>
      <c r="D827"/>
    </row>
    <row r="828" spans="2:4" x14ac:dyDescent="0.25">
      <c r="B828"/>
      <c r="C828"/>
      <c r="D828"/>
    </row>
    <row r="829" spans="2:4" x14ac:dyDescent="0.25">
      <c r="B829"/>
      <c r="C829"/>
      <c r="D829"/>
    </row>
    <row r="830" spans="2:4" x14ac:dyDescent="0.25">
      <c r="B830"/>
      <c r="C830"/>
      <c r="D830"/>
    </row>
    <row r="831" spans="2:4" x14ac:dyDescent="0.25">
      <c r="B831"/>
      <c r="C831"/>
      <c r="D831"/>
    </row>
    <row r="832" spans="2:4" x14ac:dyDescent="0.25">
      <c r="B832"/>
      <c r="C832"/>
      <c r="D832"/>
    </row>
    <row r="833" spans="2:4" x14ac:dyDescent="0.25">
      <c r="B833"/>
      <c r="C833"/>
      <c r="D833"/>
    </row>
    <row r="834" spans="2:4" x14ac:dyDescent="0.25">
      <c r="B834"/>
      <c r="C834"/>
      <c r="D834"/>
    </row>
    <row r="835" spans="2:4" x14ac:dyDescent="0.25">
      <c r="B835"/>
      <c r="C835"/>
      <c r="D835"/>
    </row>
    <row r="836" spans="2:4" x14ac:dyDescent="0.25">
      <c r="B836"/>
      <c r="C836"/>
      <c r="D836"/>
    </row>
    <row r="837" spans="2:4" x14ac:dyDescent="0.25">
      <c r="B837"/>
      <c r="C837"/>
      <c r="D837"/>
    </row>
    <row r="838" spans="2:4" x14ac:dyDescent="0.25">
      <c r="B838"/>
      <c r="C838"/>
      <c r="D838"/>
    </row>
    <row r="839" spans="2:4" x14ac:dyDescent="0.25">
      <c r="B839"/>
      <c r="C839"/>
      <c r="D839"/>
    </row>
    <row r="840" spans="2:4" x14ac:dyDescent="0.25">
      <c r="B840"/>
      <c r="C840"/>
      <c r="D840"/>
    </row>
    <row r="841" spans="2:4" x14ac:dyDescent="0.25">
      <c r="B841"/>
      <c r="C841"/>
      <c r="D841"/>
    </row>
    <row r="842" spans="2:4" x14ac:dyDescent="0.25">
      <c r="B842"/>
      <c r="C842"/>
      <c r="D842"/>
    </row>
    <row r="843" spans="2:4" x14ac:dyDescent="0.25">
      <c r="B843"/>
      <c r="C843"/>
      <c r="D843"/>
    </row>
    <row r="844" spans="2:4" x14ac:dyDescent="0.25">
      <c r="B844"/>
      <c r="C844"/>
      <c r="D844"/>
    </row>
    <row r="845" spans="2:4" x14ac:dyDescent="0.25">
      <c r="B845"/>
      <c r="C845"/>
      <c r="D845"/>
    </row>
    <row r="846" spans="2:4" x14ac:dyDescent="0.25">
      <c r="B846"/>
      <c r="C846"/>
      <c r="D846"/>
    </row>
    <row r="847" spans="2:4" x14ac:dyDescent="0.25">
      <c r="B847"/>
      <c r="C847"/>
      <c r="D847"/>
    </row>
    <row r="848" spans="2:4" x14ac:dyDescent="0.25">
      <c r="B848"/>
      <c r="C848"/>
      <c r="D848"/>
    </row>
    <row r="849" spans="2:4" x14ac:dyDescent="0.25">
      <c r="B849"/>
      <c r="C849"/>
      <c r="D849"/>
    </row>
    <row r="850" spans="2:4" x14ac:dyDescent="0.25">
      <c r="B850"/>
      <c r="C850"/>
      <c r="D850"/>
    </row>
    <row r="851" spans="2:4" x14ac:dyDescent="0.25">
      <c r="B851"/>
      <c r="C851"/>
      <c r="D851"/>
    </row>
    <row r="852" spans="2:4" x14ac:dyDescent="0.25">
      <c r="B852"/>
      <c r="C852"/>
      <c r="D852"/>
    </row>
    <row r="853" spans="2:4" x14ac:dyDescent="0.25">
      <c r="B853"/>
      <c r="C853"/>
      <c r="D853"/>
    </row>
    <row r="854" spans="2:4" x14ac:dyDescent="0.25">
      <c r="B854"/>
      <c r="C854"/>
      <c r="D854"/>
    </row>
    <row r="855" spans="2:4" x14ac:dyDescent="0.25">
      <c r="B855"/>
      <c r="C855"/>
      <c r="D855"/>
    </row>
    <row r="856" spans="2:4" x14ac:dyDescent="0.25">
      <c r="B856"/>
      <c r="C856"/>
      <c r="D856"/>
    </row>
    <row r="857" spans="2:4" x14ac:dyDescent="0.25">
      <c r="B857"/>
      <c r="C857"/>
      <c r="D857"/>
    </row>
    <row r="858" spans="2:4" x14ac:dyDescent="0.25">
      <c r="B858"/>
      <c r="C858"/>
      <c r="D858"/>
    </row>
    <row r="859" spans="2:4" x14ac:dyDescent="0.25">
      <c r="B859"/>
      <c r="C859"/>
      <c r="D859"/>
    </row>
    <row r="860" spans="2:4" x14ac:dyDescent="0.25">
      <c r="B860"/>
      <c r="C860"/>
      <c r="D860"/>
    </row>
    <row r="861" spans="2:4" x14ac:dyDescent="0.25">
      <c r="B861"/>
      <c r="C861"/>
      <c r="D861"/>
    </row>
    <row r="862" spans="2:4" x14ac:dyDescent="0.25">
      <c r="B862"/>
      <c r="C862"/>
      <c r="D862"/>
    </row>
    <row r="863" spans="2:4" x14ac:dyDescent="0.25">
      <c r="B863"/>
      <c r="C863"/>
      <c r="D863"/>
    </row>
    <row r="864" spans="2:4" x14ac:dyDescent="0.25">
      <c r="B864"/>
      <c r="C864"/>
      <c r="D864"/>
    </row>
    <row r="865" spans="2:4" x14ac:dyDescent="0.25">
      <c r="B865"/>
      <c r="C865"/>
      <c r="D865"/>
    </row>
    <row r="866" spans="2:4" x14ac:dyDescent="0.25">
      <c r="B866"/>
      <c r="C866"/>
      <c r="D866"/>
    </row>
    <row r="867" spans="2:4" x14ac:dyDescent="0.25">
      <c r="B867"/>
      <c r="C867"/>
      <c r="D867"/>
    </row>
    <row r="868" spans="2:4" x14ac:dyDescent="0.25">
      <c r="B868"/>
      <c r="C868"/>
      <c r="D868"/>
    </row>
    <row r="869" spans="2:4" x14ac:dyDescent="0.25">
      <c r="B869"/>
      <c r="C869"/>
      <c r="D869"/>
    </row>
    <row r="870" spans="2:4" x14ac:dyDescent="0.25">
      <c r="B870"/>
      <c r="C870"/>
      <c r="D870"/>
    </row>
    <row r="871" spans="2:4" x14ac:dyDescent="0.25">
      <c r="B871"/>
      <c r="C871"/>
      <c r="D871"/>
    </row>
    <row r="872" spans="2:4" x14ac:dyDescent="0.25">
      <c r="B872"/>
      <c r="C872"/>
      <c r="D872"/>
    </row>
    <row r="873" spans="2:4" x14ac:dyDescent="0.25">
      <c r="B873"/>
      <c r="C873"/>
      <c r="D873"/>
    </row>
    <row r="874" spans="2:4" x14ac:dyDescent="0.25">
      <c r="B874"/>
      <c r="C874"/>
      <c r="D874"/>
    </row>
    <row r="875" spans="2:4" x14ac:dyDescent="0.25">
      <c r="B875"/>
      <c r="C875"/>
      <c r="D875"/>
    </row>
    <row r="876" spans="2:4" x14ac:dyDescent="0.25">
      <c r="B876"/>
      <c r="C876"/>
      <c r="D876"/>
    </row>
    <row r="877" spans="2:4" x14ac:dyDescent="0.25">
      <c r="B877"/>
      <c r="C877"/>
      <c r="D877"/>
    </row>
    <row r="878" spans="2:4" x14ac:dyDescent="0.25">
      <c r="B878"/>
      <c r="C878"/>
      <c r="D878"/>
    </row>
    <row r="879" spans="2:4" x14ac:dyDescent="0.25">
      <c r="B879"/>
      <c r="C879"/>
      <c r="D879"/>
    </row>
    <row r="880" spans="2:4" x14ac:dyDescent="0.25">
      <c r="B880"/>
      <c r="C880"/>
      <c r="D880"/>
    </row>
    <row r="881" spans="2:4" x14ac:dyDescent="0.25">
      <c r="B881"/>
      <c r="C881"/>
      <c r="D881"/>
    </row>
    <row r="882" spans="2:4" x14ac:dyDescent="0.25">
      <c r="B882"/>
      <c r="C882"/>
      <c r="D882"/>
    </row>
    <row r="883" spans="2:4" x14ac:dyDescent="0.25">
      <c r="B883"/>
      <c r="C883"/>
      <c r="D883"/>
    </row>
    <row r="884" spans="2:4" x14ac:dyDescent="0.25">
      <c r="B884"/>
      <c r="C884"/>
      <c r="D884"/>
    </row>
    <row r="885" spans="2:4" x14ac:dyDescent="0.25">
      <c r="B885"/>
      <c r="C885"/>
      <c r="D885"/>
    </row>
    <row r="886" spans="2:4" x14ac:dyDescent="0.25">
      <c r="B886"/>
      <c r="C886"/>
      <c r="D886"/>
    </row>
    <row r="887" spans="2:4" x14ac:dyDescent="0.25">
      <c r="B887"/>
      <c r="C887"/>
      <c r="D887"/>
    </row>
    <row r="888" spans="2:4" x14ac:dyDescent="0.25">
      <c r="B888"/>
      <c r="C888"/>
      <c r="D888"/>
    </row>
    <row r="889" spans="2:4" x14ac:dyDescent="0.25">
      <c r="B889"/>
      <c r="C889"/>
      <c r="D889"/>
    </row>
    <row r="890" spans="2:4" x14ac:dyDescent="0.25">
      <c r="B890"/>
      <c r="C890"/>
      <c r="D890"/>
    </row>
    <row r="891" spans="2:4" x14ac:dyDescent="0.25">
      <c r="B891"/>
      <c r="C891"/>
      <c r="D891"/>
    </row>
    <row r="892" spans="2:4" x14ac:dyDescent="0.25">
      <c r="B892"/>
      <c r="C892"/>
      <c r="D892"/>
    </row>
    <row r="893" spans="2:4" x14ac:dyDescent="0.25">
      <c r="B893"/>
      <c r="C893"/>
      <c r="D893"/>
    </row>
    <row r="894" spans="2:4" x14ac:dyDescent="0.25">
      <c r="B894"/>
      <c r="C894"/>
      <c r="D894"/>
    </row>
    <row r="895" spans="2:4" x14ac:dyDescent="0.25">
      <c r="B895"/>
      <c r="C895"/>
      <c r="D895"/>
    </row>
    <row r="896" spans="2:4" x14ac:dyDescent="0.25">
      <c r="B896"/>
      <c r="C896"/>
      <c r="D896"/>
    </row>
    <row r="897" spans="2:4" x14ac:dyDescent="0.25">
      <c r="B897"/>
      <c r="C897"/>
      <c r="D897"/>
    </row>
    <row r="898" spans="2:4" x14ac:dyDescent="0.25">
      <c r="B898"/>
      <c r="C898"/>
      <c r="D898"/>
    </row>
    <row r="899" spans="2:4" x14ac:dyDescent="0.25">
      <c r="B899"/>
      <c r="C899"/>
      <c r="D899"/>
    </row>
    <row r="900" spans="2:4" x14ac:dyDescent="0.25">
      <c r="B900"/>
      <c r="C900"/>
      <c r="D900"/>
    </row>
    <row r="901" spans="2:4" x14ac:dyDescent="0.25">
      <c r="B901"/>
      <c r="C901"/>
      <c r="D901"/>
    </row>
    <row r="902" spans="2:4" x14ac:dyDescent="0.25">
      <c r="B902"/>
      <c r="C902"/>
      <c r="D902"/>
    </row>
    <row r="903" spans="2:4" x14ac:dyDescent="0.25">
      <c r="B903"/>
      <c r="C903"/>
      <c r="D903"/>
    </row>
    <row r="904" spans="2:4" x14ac:dyDescent="0.25">
      <c r="B904"/>
      <c r="C904"/>
      <c r="D904"/>
    </row>
    <row r="905" spans="2:4" x14ac:dyDescent="0.25">
      <c r="B905"/>
      <c r="C905"/>
      <c r="D905"/>
    </row>
    <row r="906" spans="2:4" x14ac:dyDescent="0.25">
      <c r="B906"/>
      <c r="C906"/>
      <c r="D906"/>
    </row>
    <row r="907" spans="2:4" x14ac:dyDescent="0.25">
      <c r="B907"/>
      <c r="C907"/>
      <c r="D907"/>
    </row>
    <row r="908" spans="2:4" x14ac:dyDescent="0.25">
      <c r="B908"/>
      <c r="C908"/>
      <c r="D908"/>
    </row>
    <row r="909" spans="2:4" x14ac:dyDescent="0.25">
      <c r="B909"/>
      <c r="C909"/>
      <c r="D909"/>
    </row>
    <row r="910" spans="2:4" x14ac:dyDescent="0.25">
      <c r="B910"/>
      <c r="C910"/>
      <c r="D910"/>
    </row>
    <row r="911" spans="2:4" x14ac:dyDescent="0.25">
      <c r="B911"/>
      <c r="C911"/>
      <c r="D911"/>
    </row>
    <row r="912" spans="2:4" x14ac:dyDescent="0.25">
      <c r="B912"/>
      <c r="C912"/>
      <c r="D912"/>
    </row>
    <row r="913" spans="2:4" x14ac:dyDescent="0.25">
      <c r="B913"/>
      <c r="C913"/>
      <c r="D913"/>
    </row>
    <row r="914" spans="2:4" x14ac:dyDescent="0.25">
      <c r="B914"/>
      <c r="C914"/>
      <c r="D914"/>
    </row>
    <row r="915" spans="2:4" x14ac:dyDescent="0.25">
      <c r="B915"/>
      <c r="C915"/>
      <c r="D915"/>
    </row>
    <row r="916" spans="2:4" x14ac:dyDescent="0.25">
      <c r="B916"/>
      <c r="C916"/>
      <c r="D916"/>
    </row>
    <row r="917" spans="2:4" x14ac:dyDescent="0.25">
      <c r="B917"/>
      <c r="C917"/>
      <c r="D917"/>
    </row>
    <row r="918" spans="2:4" x14ac:dyDescent="0.25">
      <c r="B918"/>
      <c r="C918"/>
      <c r="D918"/>
    </row>
    <row r="919" spans="2:4" x14ac:dyDescent="0.25">
      <c r="B919"/>
      <c r="C919"/>
      <c r="D919"/>
    </row>
    <row r="920" spans="2:4" x14ac:dyDescent="0.25">
      <c r="B920"/>
      <c r="C920"/>
      <c r="D920"/>
    </row>
    <row r="921" spans="2:4" x14ac:dyDescent="0.25">
      <c r="B921"/>
      <c r="C921"/>
      <c r="D921"/>
    </row>
    <row r="922" spans="2:4" x14ac:dyDescent="0.25">
      <c r="B922"/>
      <c r="C922"/>
      <c r="D922"/>
    </row>
    <row r="923" spans="2:4" x14ac:dyDescent="0.25">
      <c r="B923"/>
      <c r="C923"/>
      <c r="D923"/>
    </row>
    <row r="924" spans="2:4" x14ac:dyDescent="0.25">
      <c r="B924"/>
      <c r="C924"/>
      <c r="D924"/>
    </row>
    <row r="925" spans="2:4" x14ac:dyDescent="0.25">
      <c r="B925"/>
      <c r="C925"/>
      <c r="D925"/>
    </row>
    <row r="926" spans="2:4" x14ac:dyDescent="0.25">
      <c r="B926"/>
      <c r="C926"/>
      <c r="D926"/>
    </row>
    <row r="927" spans="2:4" x14ac:dyDescent="0.25">
      <c r="B927"/>
      <c r="C927"/>
      <c r="D927"/>
    </row>
    <row r="928" spans="2:4" x14ac:dyDescent="0.25">
      <c r="B928"/>
      <c r="C928"/>
      <c r="D928"/>
    </row>
    <row r="929" spans="1:4" x14ac:dyDescent="0.25">
      <c r="B929"/>
      <c r="C929"/>
      <c r="D929"/>
    </row>
    <row r="930" spans="1:4" x14ac:dyDescent="0.25">
      <c r="B930"/>
      <c r="C930"/>
      <c r="D930"/>
    </row>
    <row r="931" spans="1:4" x14ac:dyDescent="0.25">
      <c r="B931"/>
      <c r="C931"/>
      <c r="D931"/>
    </row>
    <row r="932" spans="1:4" x14ac:dyDescent="0.25">
      <c r="B932"/>
      <c r="C932"/>
      <c r="D932"/>
    </row>
    <row r="933" spans="1:4" x14ac:dyDescent="0.25">
      <c r="B933"/>
      <c r="C933"/>
      <c r="D933"/>
    </row>
    <row r="934" spans="1:4" x14ac:dyDescent="0.25">
      <c r="B934"/>
      <c r="C934"/>
      <c r="D934"/>
    </row>
    <row r="935" spans="1:4" x14ac:dyDescent="0.25">
      <c r="B935"/>
      <c r="C935"/>
      <c r="D935"/>
    </row>
    <row r="936" spans="1:4" x14ac:dyDescent="0.25">
      <c r="B936"/>
      <c r="C936"/>
      <c r="D936"/>
    </row>
    <row r="937" spans="1:4" x14ac:dyDescent="0.25">
      <c r="B937"/>
      <c r="C937"/>
      <c r="D937"/>
    </row>
    <row r="938" spans="1:4" x14ac:dyDescent="0.25">
      <c r="B938"/>
      <c r="C938"/>
      <c r="D938"/>
    </row>
    <row r="939" spans="1:4" x14ac:dyDescent="0.25">
      <c r="B939"/>
      <c r="C939"/>
      <c r="D939"/>
    </row>
    <row r="940" spans="1:4" hidden="1" x14ac:dyDescent="0.25">
      <c r="A940" t="str">
        <f>""</f>
        <v/>
      </c>
    </row>
    <row r="941" spans="1:4" x14ac:dyDescent="0.25">
      <c r="A941" t="str">
        <f>""</f>
        <v/>
      </c>
    </row>
  </sheetData>
  <mergeCells count="9">
    <mergeCell ref="W5:Z5"/>
    <mergeCell ref="AA13:AA15"/>
    <mergeCell ref="W6:Z6"/>
    <mergeCell ref="F13:F16"/>
    <mergeCell ref="Z13:Z15"/>
    <mergeCell ref="W13:W15"/>
    <mergeCell ref="Y13:Y15"/>
    <mergeCell ref="X13:X15"/>
    <mergeCell ref="H6:J6"/>
  </mergeCells>
  <conditionalFormatting sqref="I11">
    <cfRule type="cellIs" dxfId="286" priority="981" operator="notBetween">
      <formula>-0.01</formula>
      <formula>0.01</formula>
    </cfRule>
    <cfRule type="cellIs" dxfId="285" priority="982" operator="lessThan">
      <formula>0.000000000000009</formula>
    </cfRule>
  </conditionalFormatting>
  <conditionalFormatting sqref="J11:U11">
    <cfRule type="cellIs" dxfId="284" priority="979" operator="notBetween">
      <formula>-0.01</formula>
      <formula>0.01</formula>
    </cfRule>
    <cfRule type="cellIs" dxfId="283" priority="980" operator="lessThan">
      <formula>0.000000000000009</formula>
    </cfRule>
  </conditionalFormatting>
  <conditionalFormatting sqref="F11">
    <cfRule type="notContainsBlanks" dxfId="282" priority="896">
      <formula>LEN(TRIM(F11))&gt;0</formula>
    </cfRule>
  </conditionalFormatting>
  <conditionalFormatting sqref="F17:G17">
    <cfRule type="expression" dxfId="281" priority="894">
      <formula>AND(COUNTBLANK(F17)=0,F17&gt;0.999)</formula>
    </cfRule>
  </conditionalFormatting>
  <conditionalFormatting sqref="F17:G17">
    <cfRule type="expression" dxfId="280" priority="893">
      <formula>AND(COUNTBLANK(F17)=0,OR(F17&lt;0.99,F17&gt;1.01))</formula>
    </cfRule>
  </conditionalFormatting>
  <conditionalFormatting sqref="A17">
    <cfRule type="expression" dxfId="279" priority="860">
      <formula>OR(#REF!="no",#REF!="add species?")</formula>
    </cfRule>
  </conditionalFormatting>
  <conditionalFormatting sqref="W6">
    <cfRule type="containsText" dxfId="278" priority="821" operator="containsText" text="Check mass balances">
      <formula>NOT(ISERROR(SEARCH("Check mass balances",W6)))</formula>
    </cfRule>
  </conditionalFormatting>
  <conditionalFormatting sqref="Z17 W17:X17">
    <cfRule type="expression" dxfId="277" priority="820">
      <formula>$F$11="rectify"</formula>
    </cfRule>
  </conditionalFormatting>
  <conditionalFormatting sqref="W13:Z15">
    <cfRule type="expression" dxfId="276" priority="795">
      <formula>$F$11="rectify"</formula>
    </cfRule>
  </conditionalFormatting>
  <conditionalFormatting sqref="W16:Z16">
    <cfRule type="expression" dxfId="275" priority="794">
      <formula>$F$11="rectify"</formula>
    </cfRule>
  </conditionalFormatting>
  <conditionalFormatting sqref="W8:Z11">
    <cfRule type="expression" dxfId="274" priority="786">
      <formula>$F$11="rectify"</formula>
    </cfRule>
  </conditionalFormatting>
  <conditionalFormatting sqref="H6">
    <cfRule type="containsText" dxfId="273" priority="771" operator="containsText" text="Correct mass flows">
      <formula>NOT(ISERROR(SEARCH("Correct mass flows",H6)))</formula>
    </cfRule>
  </conditionalFormatting>
  <conditionalFormatting sqref="AA13:AA15">
    <cfRule type="expression" dxfId="272" priority="756">
      <formula>$F$11="rectify"</formula>
    </cfRule>
  </conditionalFormatting>
  <conditionalFormatting sqref="AA16">
    <cfRule type="expression" dxfId="271" priority="755">
      <formula>$F$11="rectify"</formula>
    </cfRule>
  </conditionalFormatting>
  <conditionalFormatting sqref="AA17">
    <cfRule type="notContainsBlanks" dxfId="270" priority="734">
      <formula>LEN(TRIM(AA17))&gt;0</formula>
    </cfRule>
    <cfRule type="expression" dxfId="269" priority="735">
      <formula>X17="bypass"</formula>
    </cfRule>
    <cfRule type="expression" dxfId="268" priority="736">
      <formula>$F$11="rectify"</formula>
    </cfRule>
  </conditionalFormatting>
  <conditionalFormatting sqref="A9">
    <cfRule type="expression" dxfId="267" priority="377">
      <formula>$A$5="AlMg Alloy"</formula>
    </cfRule>
    <cfRule type="expression" dxfId="266" priority="669">
      <formula>AND($A$9&gt;0.01*$A$7,NOT($A$5="AlMg Alloy"))</formula>
    </cfRule>
  </conditionalFormatting>
  <conditionalFormatting sqref="X1:Y1">
    <cfRule type="expression" dxfId="265" priority="572">
      <formula>$F$11="rectify"</formula>
    </cfRule>
  </conditionalFormatting>
  <conditionalFormatting sqref="Y17">
    <cfRule type="expression" dxfId="264" priority="506">
      <formula>AND(X17="accept",COUNTBLANK(Y17)=0)</formula>
    </cfRule>
    <cfRule type="notContainsBlanks" dxfId="263" priority="509">
      <formula>LEN(TRIM(Y17))&gt;0</formula>
    </cfRule>
    <cfRule type="expression" dxfId="262" priority="510">
      <formula>X17="bypass"</formula>
    </cfRule>
  </conditionalFormatting>
  <conditionalFormatting sqref="Y17">
    <cfRule type="expression" dxfId="261" priority="508">
      <formula>X17="accept"</formula>
    </cfRule>
  </conditionalFormatting>
  <conditionalFormatting sqref="Y17">
    <cfRule type="expression" dxfId="260" priority="507">
      <formula>$F$11="rectify"</formula>
    </cfRule>
  </conditionalFormatting>
  <conditionalFormatting sqref="W5">
    <cfRule type="containsText" dxfId="259" priority="465" operator="containsText" text="Continue">
      <formula>NOT(ISERROR(SEARCH("Continue",W5)))</formula>
    </cfRule>
    <cfRule type="expression" dxfId="258" priority="466">
      <formula>$F$11="rectify"</formula>
    </cfRule>
  </conditionalFormatting>
  <conditionalFormatting sqref="W8">
    <cfRule type="expression" dxfId="257" priority="436">
      <formula>$F$11="rectify"</formula>
    </cfRule>
  </conditionalFormatting>
  <conditionalFormatting sqref="A5">
    <cfRule type="containsBlanks" dxfId="256" priority="335">
      <formula>LEN(TRIM(A5))=0</formula>
    </cfRule>
  </conditionalFormatting>
  <conditionalFormatting sqref="F17">
    <cfRule type="expression" dxfId="255" priority="283">
      <formula>$H$6="Correct mass flows."</formula>
    </cfRule>
  </conditionalFormatting>
  <conditionalFormatting sqref="W17:AA17">
    <cfRule type="expression" dxfId="254" priority="282">
      <formula>$H$6="Correct mass flows."</formula>
    </cfRule>
  </conditionalFormatting>
  <conditionalFormatting sqref="W9:Z11 W13:AA16">
    <cfRule type="expression" dxfId="253" priority="267">
      <formula>$H$6="Correct mass flows."</formula>
    </cfRule>
  </conditionalFormatting>
  <conditionalFormatting sqref="F18:G18">
    <cfRule type="expression" dxfId="252" priority="266">
      <formula>AND(COUNTBLANK(F18)=0,F18&gt;0.999)</formula>
    </cfRule>
  </conditionalFormatting>
  <conditionalFormatting sqref="F18:G18">
    <cfRule type="expression" dxfId="251" priority="265">
      <formula>AND(COUNTBLANK(F18)=0,OR(F18&lt;0.99,F18&gt;1.01))</formula>
    </cfRule>
  </conditionalFormatting>
  <conditionalFormatting sqref="A18">
    <cfRule type="expression" dxfId="250" priority="264">
      <formula>OR(#REF!="no",#REF!="add species?")</formula>
    </cfRule>
  </conditionalFormatting>
  <conditionalFormatting sqref="Z18 W18:X18">
    <cfRule type="expression" dxfId="249" priority="263">
      <formula>$F$11="rectify"</formula>
    </cfRule>
  </conditionalFormatting>
  <conditionalFormatting sqref="AA18">
    <cfRule type="notContainsBlanks" dxfId="248" priority="260">
      <formula>LEN(TRIM(AA18))&gt;0</formula>
    </cfRule>
    <cfRule type="expression" dxfId="247" priority="261">
      <formula>X18="bypass"</formula>
    </cfRule>
    <cfRule type="expression" dxfId="246" priority="262">
      <formula>$F$11="rectify"</formula>
    </cfRule>
  </conditionalFormatting>
  <conditionalFormatting sqref="Y18">
    <cfRule type="expression" dxfId="245" priority="255">
      <formula>AND(X18="accept",COUNTBLANK(Y18)=0)</formula>
    </cfRule>
    <cfRule type="notContainsBlanks" dxfId="244" priority="258">
      <formula>LEN(TRIM(Y18))&gt;0</formula>
    </cfRule>
    <cfRule type="expression" dxfId="243" priority="259">
      <formula>X18="bypass"</formula>
    </cfRule>
  </conditionalFormatting>
  <conditionalFormatting sqref="Y18">
    <cfRule type="expression" dxfId="242" priority="257">
      <formula>X18="accept"</formula>
    </cfRule>
  </conditionalFormatting>
  <conditionalFormatting sqref="Y18">
    <cfRule type="expression" dxfId="241" priority="256">
      <formula>$F$11="rectify"</formula>
    </cfRule>
  </conditionalFormatting>
  <conditionalFormatting sqref="F18">
    <cfRule type="expression" dxfId="240" priority="254">
      <formula>$H$6="Correct mass flows."</formula>
    </cfRule>
  </conditionalFormatting>
  <conditionalFormatting sqref="W18:AA18">
    <cfRule type="expression" dxfId="239" priority="253">
      <formula>$H$6="Correct mass flows."</formula>
    </cfRule>
  </conditionalFormatting>
  <conditionalFormatting sqref="F19:G19">
    <cfRule type="expression" dxfId="238" priority="252">
      <formula>AND(COUNTBLANK(F19)=0,F19&gt;0.999)</formula>
    </cfRule>
  </conditionalFormatting>
  <conditionalFormatting sqref="F19:G19">
    <cfRule type="expression" dxfId="237" priority="251">
      <formula>AND(COUNTBLANK(F19)=0,OR(F19&lt;0.99,F19&gt;1.01))</formula>
    </cfRule>
  </conditionalFormatting>
  <conditionalFormatting sqref="A19">
    <cfRule type="expression" dxfId="236" priority="250">
      <formula>OR(#REF!="no",#REF!="add species?")</formula>
    </cfRule>
  </conditionalFormatting>
  <conditionalFormatting sqref="Z19 W19:X19">
    <cfRule type="expression" dxfId="235" priority="249">
      <formula>$F$11="rectify"</formula>
    </cfRule>
  </conditionalFormatting>
  <conditionalFormatting sqref="AA19">
    <cfRule type="notContainsBlanks" dxfId="234" priority="246">
      <formula>LEN(TRIM(AA19))&gt;0</formula>
    </cfRule>
    <cfRule type="expression" dxfId="233" priority="247">
      <formula>X19="bypass"</formula>
    </cfRule>
    <cfRule type="expression" dxfId="232" priority="248">
      <formula>$F$11="rectify"</formula>
    </cfRule>
  </conditionalFormatting>
  <conditionalFormatting sqref="Y19">
    <cfRule type="expression" dxfId="231" priority="241">
      <formula>AND(X19="accept",COUNTBLANK(Y19)=0)</formula>
    </cfRule>
    <cfRule type="notContainsBlanks" dxfId="230" priority="244">
      <formula>LEN(TRIM(Y19))&gt;0</formula>
    </cfRule>
    <cfRule type="expression" dxfId="229" priority="245">
      <formula>X19="bypass"</formula>
    </cfRule>
  </conditionalFormatting>
  <conditionalFormatting sqref="Y19">
    <cfRule type="expression" dxfId="228" priority="243">
      <formula>X19="accept"</formula>
    </cfRule>
  </conditionalFormatting>
  <conditionalFormatting sqref="Y19">
    <cfRule type="expression" dxfId="227" priority="242">
      <formula>$F$11="rectify"</formula>
    </cfRule>
  </conditionalFormatting>
  <conditionalFormatting sqref="F19">
    <cfRule type="expression" dxfId="226" priority="240">
      <formula>$H$6="Correct mass flows."</formula>
    </cfRule>
  </conditionalFormatting>
  <conditionalFormatting sqref="W19:AA19">
    <cfRule type="expression" dxfId="225" priority="239">
      <formula>$H$6="Correct mass flows."</formula>
    </cfRule>
  </conditionalFormatting>
  <conditionalFormatting sqref="F20:G20">
    <cfRule type="expression" dxfId="224" priority="238">
      <formula>AND(COUNTBLANK(F20)=0,F20&gt;0.999)</formula>
    </cfRule>
  </conditionalFormatting>
  <conditionalFormatting sqref="F20:G20">
    <cfRule type="expression" dxfId="223" priority="237">
      <formula>AND(COUNTBLANK(F20)=0,OR(F20&lt;0.99,F20&gt;1.01))</formula>
    </cfRule>
  </conditionalFormatting>
  <conditionalFormatting sqref="A20">
    <cfRule type="expression" dxfId="222" priority="236">
      <formula>OR(#REF!="no",#REF!="add species?")</formula>
    </cfRule>
  </conditionalFormatting>
  <conditionalFormatting sqref="Z20 W20:X20">
    <cfRule type="expression" dxfId="221" priority="235">
      <formula>$F$11="rectify"</formula>
    </cfRule>
  </conditionalFormatting>
  <conditionalFormatting sqref="AA20">
    <cfRule type="notContainsBlanks" dxfId="220" priority="232">
      <formula>LEN(TRIM(AA20))&gt;0</formula>
    </cfRule>
    <cfRule type="expression" dxfId="219" priority="233">
      <formula>X20="bypass"</formula>
    </cfRule>
    <cfRule type="expression" dxfId="218" priority="234">
      <formula>$F$11="rectify"</formula>
    </cfRule>
  </conditionalFormatting>
  <conditionalFormatting sqref="Y20">
    <cfRule type="expression" dxfId="217" priority="227">
      <formula>AND(X20="accept",COUNTBLANK(Y20)=0)</formula>
    </cfRule>
    <cfRule type="notContainsBlanks" dxfId="216" priority="230">
      <formula>LEN(TRIM(Y20))&gt;0</formula>
    </cfRule>
    <cfRule type="expression" dxfId="215" priority="231">
      <formula>X20="bypass"</formula>
    </cfRule>
  </conditionalFormatting>
  <conditionalFormatting sqref="Y20">
    <cfRule type="expression" dxfId="214" priority="229">
      <formula>X20="accept"</formula>
    </cfRule>
  </conditionalFormatting>
  <conditionalFormatting sqref="Y20">
    <cfRule type="expression" dxfId="213" priority="228">
      <formula>$F$11="rectify"</formula>
    </cfRule>
  </conditionalFormatting>
  <conditionalFormatting sqref="F20">
    <cfRule type="expression" dxfId="212" priority="226">
      <formula>$H$6="Correct mass flows."</formula>
    </cfRule>
  </conditionalFormatting>
  <conditionalFormatting sqref="W20:AA20">
    <cfRule type="expression" dxfId="211" priority="225">
      <formula>$H$6="Correct mass flows."</formula>
    </cfRule>
  </conditionalFormatting>
  <conditionalFormatting sqref="F21:G21">
    <cfRule type="expression" dxfId="210" priority="224">
      <formula>AND(COUNTBLANK(F21)=0,F21&gt;0.999)</formula>
    </cfRule>
  </conditionalFormatting>
  <conditionalFormatting sqref="F21:G21">
    <cfRule type="expression" dxfId="209" priority="223">
      <formula>AND(COUNTBLANK(F21)=0,OR(F21&lt;0.99,F21&gt;1.01))</formula>
    </cfRule>
  </conditionalFormatting>
  <conditionalFormatting sqref="A21">
    <cfRule type="expression" dxfId="208" priority="222">
      <formula>OR(#REF!="no",#REF!="add species?")</formula>
    </cfRule>
  </conditionalFormatting>
  <conditionalFormatting sqref="Z21 W21:X21">
    <cfRule type="expression" dxfId="207" priority="221">
      <formula>$F$11="rectify"</formula>
    </cfRule>
  </conditionalFormatting>
  <conditionalFormatting sqref="AA21">
    <cfRule type="notContainsBlanks" dxfId="206" priority="218">
      <formula>LEN(TRIM(AA21))&gt;0</formula>
    </cfRule>
    <cfRule type="expression" dxfId="205" priority="219">
      <formula>X21="bypass"</formula>
    </cfRule>
    <cfRule type="expression" dxfId="204" priority="220">
      <formula>$F$11="rectify"</formula>
    </cfRule>
  </conditionalFormatting>
  <conditionalFormatting sqref="Y21">
    <cfRule type="expression" dxfId="203" priority="213">
      <formula>AND(X21="accept",COUNTBLANK(Y21)=0)</formula>
    </cfRule>
    <cfRule type="notContainsBlanks" dxfId="202" priority="216">
      <formula>LEN(TRIM(Y21))&gt;0</formula>
    </cfRule>
    <cfRule type="expression" dxfId="201" priority="217">
      <formula>X21="bypass"</formula>
    </cfRule>
  </conditionalFormatting>
  <conditionalFormatting sqref="Y21">
    <cfRule type="expression" dxfId="200" priority="215">
      <formula>X21="accept"</formula>
    </cfRule>
  </conditionalFormatting>
  <conditionalFormatting sqref="Y21">
    <cfRule type="expression" dxfId="199" priority="214">
      <formula>$F$11="rectify"</formula>
    </cfRule>
  </conditionalFormatting>
  <conditionalFormatting sqref="F21">
    <cfRule type="expression" dxfId="198" priority="212">
      <formula>$H$6="Correct mass flows."</formula>
    </cfRule>
  </conditionalFormatting>
  <conditionalFormatting sqref="W21:AA21">
    <cfRule type="expression" dxfId="197" priority="211">
      <formula>$H$6="Correct mass flows."</formula>
    </cfRule>
  </conditionalFormatting>
  <conditionalFormatting sqref="F22:G22">
    <cfRule type="expression" dxfId="196" priority="168">
      <formula>AND(COUNTBLANK(F22)=0,F22&gt;0.999)</formula>
    </cfRule>
  </conditionalFormatting>
  <conditionalFormatting sqref="F22:G22">
    <cfRule type="expression" dxfId="195" priority="167">
      <formula>AND(COUNTBLANK(F22)=0,OR(F22&lt;0.99,F22&gt;1.01))</formula>
    </cfRule>
  </conditionalFormatting>
  <conditionalFormatting sqref="A22">
    <cfRule type="expression" dxfId="194" priority="166">
      <formula>OR(#REF!="no",#REF!="add species?")</formula>
    </cfRule>
  </conditionalFormatting>
  <conditionalFormatting sqref="Z22 W22:X22">
    <cfRule type="expression" dxfId="193" priority="165">
      <formula>$F$11="rectify"</formula>
    </cfRule>
  </conditionalFormatting>
  <conditionalFormatting sqref="AA22">
    <cfRule type="notContainsBlanks" dxfId="192" priority="162">
      <formula>LEN(TRIM(AA22))&gt;0</formula>
    </cfRule>
    <cfRule type="expression" dxfId="191" priority="163">
      <formula>X22="bypass"</formula>
    </cfRule>
    <cfRule type="expression" dxfId="190" priority="164">
      <formula>$F$11="rectify"</formula>
    </cfRule>
  </conditionalFormatting>
  <conditionalFormatting sqref="Y22">
    <cfRule type="expression" dxfId="189" priority="157">
      <formula>AND(X22="accept",COUNTBLANK(Y22)=0)</formula>
    </cfRule>
    <cfRule type="notContainsBlanks" dxfId="188" priority="160">
      <formula>LEN(TRIM(Y22))&gt;0</formula>
    </cfRule>
    <cfRule type="expression" dxfId="187" priority="161">
      <formula>X22="bypass"</formula>
    </cfRule>
  </conditionalFormatting>
  <conditionalFormatting sqref="Y22">
    <cfRule type="expression" dxfId="186" priority="159">
      <formula>X22="accept"</formula>
    </cfRule>
  </conditionalFormatting>
  <conditionalFormatting sqref="Y22">
    <cfRule type="expression" dxfId="185" priority="158">
      <formula>$F$11="rectify"</formula>
    </cfRule>
  </conditionalFormatting>
  <conditionalFormatting sqref="F22">
    <cfRule type="expression" dxfId="184" priority="156">
      <formula>$H$6="Correct mass flows."</formula>
    </cfRule>
  </conditionalFormatting>
  <conditionalFormatting sqref="W22:AA22">
    <cfRule type="expression" dxfId="183" priority="155">
      <formula>$H$6="Correct mass flows."</formula>
    </cfRule>
  </conditionalFormatting>
  <conditionalFormatting sqref="F23:G23">
    <cfRule type="expression" dxfId="182" priority="154">
      <formula>AND(COUNTBLANK(F23)=0,F23&gt;0.999)</formula>
    </cfRule>
  </conditionalFormatting>
  <conditionalFormatting sqref="F23:G23">
    <cfRule type="expression" dxfId="181" priority="153">
      <formula>AND(COUNTBLANK(F23)=0,OR(F23&lt;0.99,F23&gt;1.01))</formula>
    </cfRule>
  </conditionalFormatting>
  <conditionalFormatting sqref="A23">
    <cfRule type="expression" dxfId="180" priority="152">
      <formula>OR(#REF!="no",#REF!="add species?")</formula>
    </cfRule>
  </conditionalFormatting>
  <conditionalFormatting sqref="Z23 W23:X23">
    <cfRule type="expression" dxfId="179" priority="151">
      <formula>$F$11="rectify"</formula>
    </cfRule>
  </conditionalFormatting>
  <conditionalFormatting sqref="AA23">
    <cfRule type="notContainsBlanks" dxfId="178" priority="148">
      <formula>LEN(TRIM(AA23))&gt;0</formula>
    </cfRule>
    <cfRule type="expression" dxfId="177" priority="149">
      <formula>X23="bypass"</formula>
    </cfRule>
    <cfRule type="expression" dxfId="176" priority="150">
      <formula>$F$11="rectify"</formula>
    </cfRule>
  </conditionalFormatting>
  <conditionalFormatting sqref="Y23">
    <cfRule type="expression" dxfId="175" priority="143">
      <formula>AND(X23="accept",COUNTBLANK(Y23)=0)</formula>
    </cfRule>
    <cfRule type="notContainsBlanks" dxfId="174" priority="146">
      <formula>LEN(TRIM(Y23))&gt;0</formula>
    </cfRule>
    <cfRule type="expression" dxfId="173" priority="147">
      <formula>X23="bypass"</formula>
    </cfRule>
  </conditionalFormatting>
  <conditionalFormatting sqref="Y23">
    <cfRule type="expression" dxfId="172" priority="145">
      <formula>X23="accept"</formula>
    </cfRule>
  </conditionalFormatting>
  <conditionalFormatting sqref="Y23">
    <cfRule type="expression" dxfId="171" priority="144">
      <formula>$F$11="rectify"</formula>
    </cfRule>
  </conditionalFormatting>
  <conditionalFormatting sqref="F23">
    <cfRule type="expression" dxfId="170" priority="142">
      <formula>$H$6="Correct mass flows."</formula>
    </cfRule>
  </conditionalFormatting>
  <conditionalFormatting sqref="W23:AA23">
    <cfRule type="expression" dxfId="169" priority="141">
      <formula>$H$6="Correct mass flows."</formula>
    </cfRule>
  </conditionalFormatting>
  <conditionalFormatting sqref="F24:G24">
    <cfRule type="expression" dxfId="168" priority="140">
      <formula>AND(COUNTBLANK(F24)=0,F24&gt;0.999)</formula>
    </cfRule>
  </conditionalFormatting>
  <conditionalFormatting sqref="F24:G24">
    <cfRule type="expression" dxfId="167" priority="139">
      <formula>AND(COUNTBLANK(F24)=0,OR(F24&lt;0.99,F24&gt;1.01))</formula>
    </cfRule>
  </conditionalFormatting>
  <conditionalFormatting sqref="A24">
    <cfRule type="expression" dxfId="166" priority="138">
      <formula>OR(#REF!="no",#REF!="add species?")</formula>
    </cfRule>
  </conditionalFormatting>
  <conditionalFormatting sqref="Z24 W24:X24">
    <cfRule type="expression" dxfId="165" priority="137">
      <formula>$F$11="rectify"</formula>
    </cfRule>
  </conditionalFormatting>
  <conditionalFormatting sqref="AA24">
    <cfRule type="notContainsBlanks" dxfId="164" priority="134">
      <formula>LEN(TRIM(AA24))&gt;0</formula>
    </cfRule>
    <cfRule type="expression" dxfId="163" priority="135">
      <formula>X24="bypass"</formula>
    </cfRule>
    <cfRule type="expression" dxfId="162" priority="136">
      <formula>$F$11="rectify"</formula>
    </cfRule>
  </conditionalFormatting>
  <conditionalFormatting sqref="Y24">
    <cfRule type="expression" dxfId="161" priority="129">
      <formula>AND(X24="accept",COUNTBLANK(Y24)=0)</formula>
    </cfRule>
    <cfRule type="notContainsBlanks" dxfId="160" priority="132">
      <formula>LEN(TRIM(Y24))&gt;0</formula>
    </cfRule>
    <cfRule type="expression" dxfId="159" priority="133">
      <formula>X24="bypass"</formula>
    </cfRule>
  </conditionalFormatting>
  <conditionalFormatting sqref="Y24">
    <cfRule type="expression" dxfId="158" priority="131">
      <formula>X24="accept"</formula>
    </cfRule>
  </conditionalFormatting>
  <conditionalFormatting sqref="Y24">
    <cfRule type="expression" dxfId="157" priority="130">
      <formula>$F$11="rectify"</formula>
    </cfRule>
  </conditionalFormatting>
  <conditionalFormatting sqref="F24">
    <cfRule type="expression" dxfId="156" priority="128">
      <formula>$H$6="Correct mass flows."</formula>
    </cfRule>
  </conditionalFormatting>
  <conditionalFormatting sqref="W24:AA24">
    <cfRule type="expression" dxfId="155" priority="127">
      <formula>$H$6="Correct mass flows."</formula>
    </cfRule>
  </conditionalFormatting>
  <conditionalFormatting sqref="F25:G25">
    <cfRule type="expression" dxfId="154" priority="126">
      <formula>AND(COUNTBLANK(F25)=0,F25&gt;0.999)</formula>
    </cfRule>
  </conditionalFormatting>
  <conditionalFormatting sqref="F25:G25">
    <cfRule type="expression" dxfId="153" priority="125">
      <formula>AND(COUNTBLANK(F25)=0,OR(F25&lt;0.99,F25&gt;1.01))</formula>
    </cfRule>
  </conditionalFormatting>
  <conditionalFormatting sqref="A25">
    <cfRule type="expression" dxfId="152" priority="124">
      <formula>OR(#REF!="no",#REF!="add species?")</formula>
    </cfRule>
  </conditionalFormatting>
  <conditionalFormatting sqref="Z25 W25:X25">
    <cfRule type="expression" dxfId="151" priority="123">
      <formula>$F$11="rectify"</formula>
    </cfRule>
  </conditionalFormatting>
  <conditionalFormatting sqref="AA25">
    <cfRule type="notContainsBlanks" dxfId="150" priority="120">
      <formula>LEN(TRIM(AA25))&gt;0</formula>
    </cfRule>
    <cfRule type="expression" dxfId="149" priority="121">
      <formula>X25="bypass"</formula>
    </cfRule>
    <cfRule type="expression" dxfId="148" priority="122">
      <formula>$F$11="rectify"</formula>
    </cfRule>
  </conditionalFormatting>
  <conditionalFormatting sqref="Y25">
    <cfRule type="expression" dxfId="147" priority="115">
      <formula>AND(X25="accept",COUNTBLANK(Y25)=0)</formula>
    </cfRule>
    <cfRule type="notContainsBlanks" dxfId="146" priority="118">
      <formula>LEN(TRIM(Y25))&gt;0</formula>
    </cfRule>
    <cfRule type="expression" dxfId="145" priority="119">
      <formula>X25="bypass"</formula>
    </cfRule>
  </conditionalFormatting>
  <conditionalFormatting sqref="Y25">
    <cfRule type="expression" dxfId="144" priority="117">
      <formula>X25="accept"</formula>
    </cfRule>
  </conditionalFormatting>
  <conditionalFormatting sqref="Y25">
    <cfRule type="expression" dxfId="143" priority="116">
      <formula>$F$11="rectify"</formula>
    </cfRule>
  </conditionalFormatting>
  <conditionalFormatting sqref="F25">
    <cfRule type="expression" dxfId="142" priority="114">
      <formula>$H$6="Correct mass flows."</formula>
    </cfRule>
  </conditionalFormatting>
  <conditionalFormatting sqref="W25:AA25">
    <cfRule type="expression" dxfId="141" priority="113">
      <formula>$H$6="Correct mass flows."</formula>
    </cfRule>
  </conditionalFormatting>
  <conditionalFormatting sqref="F26:G26">
    <cfRule type="expression" dxfId="140" priority="112">
      <formula>AND(COUNTBLANK(F26)=0,F26&gt;0.999)</formula>
    </cfRule>
  </conditionalFormatting>
  <conditionalFormatting sqref="F26:G26">
    <cfRule type="expression" dxfId="139" priority="111">
      <formula>AND(COUNTBLANK(F26)=0,OR(F26&lt;0.99,F26&gt;1.01))</formula>
    </cfRule>
  </conditionalFormatting>
  <conditionalFormatting sqref="A26">
    <cfRule type="expression" dxfId="138" priority="110">
      <formula>OR(#REF!="no",#REF!="add species?")</formula>
    </cfRule>
  </conditionalFormatting>
  <conditionalFormatting sqref="Z26 W26:X26">
    <cfRule type="expression" dxfId="137" priority="109">
      <formula>$F$11="rectify"</formula>
    </cfRule>
  </conditionalFormatting>
  <conditionalFormatting sqref="AA26">
    <cfRule type="notContainsBlanks" dxfId="136" priority="106">
      <formula>LEN(TRIM(AA26))&gt;0</formula>
    </cfRule>
    <cfRule type="expression" dxfId="135" priority="107">
      <formula>X26="bypass"</formula>
    </cfRule>
    <cfRule type="expression" dxfId="134" priority="108">
      <formula>$F$11="rectify"</formula>
    </cfRule>
  </conditionalFormatting>
  <conditionalFormatting sqref="Y26">
    <cfRule type="expression" dxfId="133" priority="101">
      <formula>AND(X26="accept",COUNTBLANK(Y26)=0)</formula>
    </cfRule>
    <cfRule type="notContainsBlanks" dxfId="132" priority="104">
      <formula>LEN(TRIM(Y26))&gt;0</formula>
    </cfRule>
    <cfRule type="expression" dxfId="131" priority="105">
      <formula>X26="bypass"</formula>
    </cfRule>
  </conditionalFormatting>
  <conditionalFormatting sqref="Y26">
    <cfRule type="expression" dxfId="130" priority="103">
      <formula>X26="accept"</formula>
    </cfRule>
  </conditionalFormatting>
  <conditionalFormatting sqref="Y26">
    <cfRule type="expression" dxfId="129" priority="102">
      <formula>$F$11="rectify"</formula>
    </cfRule>
  </conditionalFormatting>
  <conditionalFormatting sqref="F26">
    <cfRule type="expression" dxfId="128" priority="100">
      <formula>$H$6="Correct mass flows."</formula>
    </cfRule>
  </conditionalFormatting>
  <conditionalFormatting sqref="W26:AA26">
    <cfRule type="expression" dxfId="127" priority="99">
      <formula>$H$6="Correct mass flows."</formula>
    </cfRule>
  </conditionalFormatting>
  <conditionalFormatting sqref="F27:G27">
    <cfRule type="expression" dxfId="126" priority="98">
      <formula>AND(COUNTBLANK(F27)=0,F27&gt;0.999)</formula>
    </cfRule>
  </conditionalFormatting>
  <conditionalFormatting sqref="F27:G27">
    <cfRule type="expression" dxfId="125" priority="97">
      <formula>AND(COUNTBLANK(F27)=0,OR(F27&lt;0.99,F27&gt;1.01))</formula>
    </cfRule>
  </conditionalFormatting>
  <conditionalFormatting sqref="A27">
    <cfRule type="expression" dxfId="124" priority="96">
      <formula>OR(#REF!="no",#REF!="add species?")</formula>
    </cfRule>
  </conditionalFormatting>
  <conditionalFormatting sqref="Z27 W27:X27">
    <cfRule type="expression" dxfId="123" priority="95">
      <formula>$F$11="rectify"</formula>
    </cfRule>
  </conditionalFormatting>
  <conditionalFormatting sqref="AA27">
    <cfRule type="notContainsBlanks" dxfId="122" priority="92">
      <formula>LEN(TRIM(AA27))&gt;0</formula>
    </cfRule>
    <cfRule type="expression" dxfId="121" priority="93">
      <formula>X27="bypass"</formula>
    </cfRule>
    <cfRule type="expression" dxfId="120" priority="94">
      <formula>$F$11="rectify"</formula>
    </cfRule>
  </conditionalFormatting>
  <conditionalFormatting sqref="Y27">
    <cfRule type="expression" dxfId="119" priority="87">
      <formula>AND(X27="accept",COUNTBLANK(Y27)=0)</formula>
    </cfRule>
    <cfRule type="notContainsBlanks" dxfId="118" priority="90">
      <formula>LEN(TRIM(Y27))&gt;0</formula>
    </cfRule>
    <cfRule type="expression" dxfId="117" priority="91">
      <formula>X27="bypass"</formula>
    </cfRule>
  </conditionalFormatting>
  <conditionalFormatting sqref="Y27">
    <cfRule type="expression" dxfId="116" priority="89">
      <formula>X27="accept"</formula>
    </cfRule>
  </conditionalFormatting>
  <conditionalFormatting sqref="Y27">
    <cfRule type="expression" dxfId="115" priority="88">
      <formula>$F$11="rectify"</formula>
    </cfRule>
  </conditionalFormatting>
  <conditionalFormatting sqref="F27">
    <cfRule type="expression" dxfId="114" priority="86">
      <formula>$H$6="Correct mass flows."</formula>
    </cfRule>
  </conditionalFormatting>
  <conditionalFormatting sqref="W27:AA27">
    <cfRule type="expression" dxfId="113" priority="85">
      <formula>$H$6="Correct mass flows."</formula>
    </cfRule>
  </conditionalFormatting>
  <conditionalFormatting sqref="F28:G28">
    <cfRule type="expression" dxfId="112" priority="84">
      <formula>AND(COUNTBLANK(F28)=0,F28&gt;0.999)</formula>
    </cfRule>
  </conditionalFormatting>
  <conditionalFormatting sqref="F28:G28">
    <cfRule type="expression" dxfId="111" priority="83">
      <formula>AND(COUNTBLANK(F28)=0,OR(F28&lt;0.99,F28&gt;1.01))</formula>
    </cfRule>
  </conditionalFormatting>
  <conditionalFormatting sqref="A28">
    <cfRule type="expression" dxfId="110" priority="82">
      <formula>OR(#REF!="no",#REF!="add species?")</formula>
    </cfRule>
  </conditionalFormatting>
  <conditionalFormatting sqref="Z28 W28:X28">
    <cfRule type="expression" dxfId="109" priority="81">
      <formula>$F$11="rectify"</formula>
    </cfRule>
  </conditionalFormatting>
  <conditionalFormatting sqref="AA28">
    <cfRule type="notContainsBlanks" dxfId="108" priority="78">
      <formula>LEN(TRIM(AA28))&gt;0</formula>
    </cfRule>
    <cfRule type="expression" dxfId="107" priority="79">
      <formula>X28="bypass"</formula>
    </cfRule>
    <cfRule type="expression" dxfId="106" priority="80">
      <formula>$F$11="rectify"</formula>
    </cfRule>
  </conditionalFormatting>
  <conditionalFormatting sqref="Y28">
    <cfRule type="expression" dxfId="105" priority="73">
      <formula>AND(X28="accept",COUNTBLANK(Y28)=0)</formula>
    </cfRule>
    <cfRule type="notContainsBlanks" dxfId="104" priority="76">
      <formula>LEN(TRIM(Y28))&gt;0</formula>
    </cfRule>
    <cfRule type="expression" dxfId="103" priority="77">
      <formula>X28="bypass"</formula>
    </cfRule>
  </conditionalFormatting>
  <conditionalFormatting sqref="Y28">
    <cfRule type="expression" dxfId="102" priority="75">
      <formula>X28="accept"</formula>
    </cfRule>
  </conditionalFormatting>
  <conditionalFormatting sqref="Y28">
    <cfRule type="expression" dxfId="101" priority="74">
      <formula>$F$11="rectify"</formula>
    </cfRule>
  </conditionalFormatting>
  <conditionalFormatting sqref="F28">
    <cfRule type="expression" dxfId="100" priority="72">
      <formula>$H$6="Correct mass flows."</formula>
    </cfRule>
  </conditionalFormatting>
  <conditionalFormatting sqref="W28:AA28">
    <cfRule type="expression" dxfId="99" priority="71">
      <formula>$H$6="Correct mass flows."</formula>
    </cfRule>
  </conditionalFormatting>
  <conditionalFormatting sqref="F29:G29">
    <cfRule type="expression" dxfId="98" priority="70">
      <formula>AND(COUNTBLANK(F29)=0,F29&gt;0.999)</formula>
    </cfRule>
  </conditionalFormatting>
  <conditionalFormatting sqref="F29:G29">
    <cfRule type="expression" dxfId="97" priority="69">
      <formula>AND(COUNTBLANK(F29)=0,OR(F29&lt;0.99,F29&gt;1.01))</formula>
    </cfRule>
  </conditionalFormatting>
  <conditionalFormatting sqref="A29">
    <cfRule type="expression" dxfId="96" priority="68">
      <formula>OR(#REF!="no",#REF!="add species?")</formula>
    </cfRule>
  </conditionalFormatting>
  <conditionalFormatting sqref="Z29 W29:X29">
    <cfRule type="expression" dxfId="95" priority="67">
      <formula>$F$11="rectify"</formula>
    </cfRule>
  </conditionalFormatting>
  <conditionalFormatting sqref="AA29">
    <cfRule type="notContainsBlanks" dxfId="94" priority="64">
      <formula>LEN(TRIM(AA29))&gt;0</formula>
    </cfRule>
    <cfRule type="expression" dxfId="93" priority="65">
      <formula>X29="bypass"</formula>
    </cfRule>
    <cfRule type="expression" dxfId="92" priority="66">
      <formula>$F$11="rectify"</formula>
    </cfRule>
  </conditionalFormatting>
  <conditionalFormatting sqref="Y29">
    <cfRule type="expression" dxfId="91" priority="59">
      <formula>AND(X29="accept",COUNTBLANK(Y29)=0)</formula>
    </cfRule>
    <cfRule type="notContainsBlanks" dxfId="90" priority="62">
      <formula>LEN(TRIM(Y29))&gt;0</formula>
    </cfRule>
    <cfRule type="expression" dxfId="89" priority="63">
      <formula>X29="bypass"</formula>
    </cfRule>
  </conditionalFormatting>
  <conditionalFormatting sqref="Y29">
    <cfRule type="expression" dxfId="88" priority="61">
      <formula>X29="accept"</formula>
    </cfRule>
  </conditionalFormatting>
  <conditionalFormatting sqref="Y29">
    <cfRule type="expression" dxfId="87" priority="60">
      <formula>$F$11="rectify"</formula>
    </cfRule>
  </conditionalFormatting>
  <conditionalFormatting sqref="F29">
    <cfRule type="expression" dxfId="86" priority="58">
      <formula>$H$6="Correct mass flows."</formula>
    </cfRule>
  </conditionalFormatting>
  <conditionalFormatting sqref="W29:AA29">
    <cfRule type="expression" dxfId="85" priority="57">
      <formula>$H$6="Correct mass flows."</formula>
    </cfRule>
  </conditionalFormatting>
  <conditionalFormatting sqref="H11">
    <cfRule type="expression" dxfId="84" priority="1794">
      <formula>OR($H$11/SUM($E$17:$E$937)&lt;-0.0005,$H$11/SUM($E$17:$E$937)&gt;0.0005)</formula>
    </cfRule>
    <cfRule type="cellIs" dxfId="83" priority="1795" operator="equal">
      <formula>0</formula>
    </cfRule>
  </conditionalFormatting>
  <dataValidations count="4">
    <dataValidation type="list" allowBlank="1" showInputMessage="1" showErrorMessage="1" sqref="A5" xr:uid="{00000000-0002-0000-0200-000000000000}">
      <formula1>"Titanium, Aluminum, Magnesium, AlMg Alloy, Silicon"</formula1>
    </dataValidation>
    <dataValidation type="list" allowBlank="1" showInputMessage="1" showErrorMessage="1" sqref="D17:D29" xr:uid="{00000000-0002-0000-0200-000001000000}">
      <formula1>"[select],in,out"</formula1>
    </dataValidation>
    <dataValidation type="list" allowBlank="1" showInputMessage="1" showErrorMessage="1" sqref="C17:C29" xr:uid="{00000000-0002-0000-0200-000002000000}">
      <formula1>"[select], gas, liquid, solid"</formula1>
    </dataValidation>
    <dataValidation type="list" allowBlank="1" showInputMessage="1" showErrorMessage="1" sqref="X17:X29" xr:uid="{00000000-0002-0000-0200-000003000000}">
      <formula1>"accept, bypass"</formula1>
    </dataValidation>
  </dataValidations>
  <hyperlinks>
    <hyperlink ref="W5:Z5" location="EquipmentList" display="EquipmentList" xr:uid="{00000000-0004-0000-0200-000000000000}"/>
    <hyperlink ref="F11" location="DescribeSpecies" display="DescribeSpecies" xr:uid="{00000000-0004-0000-0200-000001000000}"/>
  </hyperlink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79998168889431442"/>
  </sheetPr>
  <dimension ref="A1:AV53"/>
  <sheetViews>
    <sheetView topLeftCell="A8" zoomScale="80" zoomScaleNormal="80" workbookViewId="0">
      <selection activeCell="D26" sqref="D26"/>
    </sheetView>
  </sheetViews>
  <sheetFormatPr defaultRowHeight="15" x14ac:dyDescent="0.25"/>
  <cols>
    <col min="1" max="1" width="14.5703125" customWidth="1"/>
    <col min="2" max="2" width="10.42578125" style="3" customWidth="1"/>
    <col min="3" max="3" width="13" customWidth="1"/>
    <col min="4" max="4" width="21" customWidth="1"/>
    <col min="5" max="5" width="17.140625" style="3" customWidth="1"/>
    <col min="6" max="6" width="6.85546875" style="3" customWidth="1"/>
    <col min="7" max="7" width="4" style="3" customWidth="1"/>
    <col min="8" max="8" width="5.42578125" style="3" customWidth="1"/>
    <col min="9" max="25" width="4" style="3" customWidth="1"/>
    <col min="26" max="26" width="11.140625" customWidth="1"/>
    <col min="29" max="29" width="16" customWidth="1"/>
    <col min="30" max="30" width="12.140625" customWidth="1"/>
    <col min="31" max="31" width="12.5703125" customWidth="1"/>
    <col min="32" max="32" width="16" customWidth="1"/>
    <col min="33" max="33" width="9.42578125" customWidth="1"/>
    <col min="34" max="45" width="9.42578125" style="6" customWidth="1"/>
    <col min="49" max="50" width="9.42578125" customWidth="1"/>
    <col min="53" max="53" width="9.42578125" customWidth="1"/>
    <col min="16384" max="16384" width="8.85546875" bestFit="1" customWidth="1"/>
  </cols>
  <sheetData>
    <row r="1" spans="1:48" ht="21" x14ac:dyDescent="0.35">
      <c r="A1" s="1" t="s">
        <v>109</v>
      </c>
      <c r="B1" s="762"/>
      <c r="C1" s="132"/>
      <c r="D1" s="6"/>
      <c r="E1" s="9"/>
      <c r="F1" s="762"/>
      <c r="G1" s="762"/>
      <c r="H1" s="762"/>
      <c r="I1" s="762"/>
      <c r="J1" s="762"/>
      <c r="K1" s="762"/>
      <c r="L1" s="762"/>
      <c r="M1" s="762"/>
      <c r="N1" s="762"/>
      <c r="O1" s="762"/>
      <c r="P1" s="762"/>
      <c r="Q1" s="762"/>
      <c r="R1" s="762"/>
      <c r="S1" s="762"/>
      <c r="T1" s="762"/>
      <c r="U1" s="762"/>
      <c r="V1" s="762"/>
      <c r="W1" s="762"/>
      <c r="X1" s="762"/>
      <c r="Y1" s="762"/>
    </row>
    <row r="2" spans="1:48" x14ac:dyDescent="0.25">
      <c r="A2" s="128" t="s">
        <v>110</v>
      </c>
      <c r="B2" s="9"/>
      <c r="D2" s="9"/>
      <c r="E2" s="9"/>
      <c r="F2" s="762"/>
      <c r="G2" s="762"/>
      <c r="H2" s="762"/>
      <c r="I2" s="762"/>
      <c r="J2" s="762"/>
      <c r="K2" s="762"/>
      <c r="L2" s="762"/>
      <c r="M2" s="762"/>
      <c r="N2" s="762"/>
      <c r="O2" s="762"/>
      <c r="P2" s="762"/>
      <c r="Q2" s="762"/>
      <c r="R2" s="762"/>
      <c r="S2" s="762"/>
      <c r="T2" s="762"/>
      <c r="U2" s="762"/>
      <c r="V2" s="762"/>
      <c r="W2" s="762"/>
      <c r="X2" s="762"/>
      <c r="Y2" s="762"/>
      <c r="AH2"/>
      <c r="AI2"/>
      <c r="AJ2"/>
      <c r="AK2"/>
      <c r="AL2"/>
      <c r="AM2"/>
      <c r="AN2"/>
      <c r="AO2"/>
      <c r="AP2"/>
      <c r="AQ2"/>
      <c r="AR2"/>
      <c r="AS2"/>
    </row>
    <row r="3" spans="1:48" x14ac:dyDescent="0.25">
      <c r="A3" s="128"/>
      <c r="B3" s="762"/>
      <c r="D3" s="6"/>
      <c r="E3" s="9"/>
      <c r="F3" s="762"/>
      <c r="G3" s="762"/>
      <c r="H3" s="762"/>
      <c r="I3" s="762"/>
      <c r="J3" s="762"/>
      <c r="K3" s="762"/>
      <c r="L3" s="762"/>
      <c r="M3" s="762"/>
      <c r="N3" s="762"/>
      <c r="O3" s="762"/>
      <c r="P3" s="762"/>
      <c r="Q3" s="762"/>
      <c r="R3" s="762"/>
      <c r="S3" s="762"/>
      <c r="T3" s="762"/>
      <c r="U3" s="762"/>
      <c r="V3" s="762"/>
      <c r="W3" s="762"/>
      <c r="X3" s="762"/>
      <c r="Y3" s="762"/>
    </row>
    <row r="4" spans="1:48" x14ac:dyDescent="0.25">
      <c r="B4" s="9"/>
      <c r="D4" s="9"/>
      <c r="E4" s="9"/>
      <c r="F4" s="762"/>
      <c r="G4" s="762"/>
      <c r="H4" s="762"/>
      <c r="I4" s="762"/>
      <c r="J4" s="762"/>
      <c r="K4" s="762"/>
      <c r="L4" s="762"/>
      <c r="M4" s="762"/>
      <c r="N4" s="762"/>
      <c r="O4" s="762"/>
      <c r="P4" s="762"/>
      <c r="Q4" s="762"/>
      <c r="R4" s="762"/>
      <c r="S4" s="762"/>
      <c r="T4" s="762"/>
      <c r="U4" s="762"/>
      <c r="V4" s="762"/>
      <c r="W4" s="762"/>
      <c r="X4" s="762"/>
      <c r="Y4" s="762"/>
    </row>
    <row r="5" spans="1:48" x14ac:dyDescent="0.25">
      <c r="B5" s="9"/>
      <c r="D5" s="6"/>
      <c r="E5" s="320" t="s">
        <v>58</v>
      </c>
      <c r="F5" s="762"/>
      <c r="G5" s="762"/>
      <c r="H5" s="762"/>
      <c r="I5" s="762"/>
      <c r="J5" s="762"/>
      <c r="K5" s="762"/>
      <c r="L5" s="762"/>
      <c r="M5" s="762"/>
      <c r="N5" s="762"/>
      <c r="O5" s="762"/>
      <c r="P5" s="762"/>
      <c r="Q5" s="762"/>
      <c r="R5" s="762"/>
      <c r="S5" s="762"/>
      <c r="T5" s="762"/>
      <c r="U5" s="762"/>
      <c r="V5" s="762"/>
      <c r="W5" s="762"/>
      <c r="X5" s="762"/>
      <c r="Y5" s="762"/>
    </row>
    <row r="6" spans="1:48" x14ac:dyDescent="0.25">
      <c r="B6" s="9"/>
      <c r="D6" s="6"/>
      <c r="E6" s="759" t="str">
        <f ca="1">IF(OR(Streams!$F$11="rectify",Streams!$H$6="Correct mass flows."),"","Continue here to confirm economic values.")</f>
        <v>Continue here to confirm economic values.</v>
      </c>
      <c r="F6" s="762"/>
      <c r="G6" s="762"/>
      <c r="H6" s="762"/>
      <c r="I6" s="762"/>
      <c r="J6" s="762"/>
      <c r="K6" s="762"/>
      <c r="L6" s="762"/>
      <c r="M6" s="762"/>
      <c r="N6" s="762"/>
      <c r="O6" s="762"/>
      <c r="P6" s="762"/>
      <c r="Q6" s="762"/>
      <c r="R6" s="762"/>
      <c r="S6" s="762"/>
      <c r="T6" s="762"/>
      <c r="U6" s="762"/>
      <c r="V6" s="762"/>
      <c r="W6" s="762"/>
      <c r="X6" s="762"/>
      <c r="Y6" s="762"/>
      <c r="AD6" s="18"/>
      <c r="AG6" s="42" t="s">
        <v>63</v>
      </c>
      <c r="AH6" s="42"/>
      <c r="AI6" s="42"/>
      <c r="AJ6" s="42"/>
      <c r="AK6" s="42"/>
      <c r="AL6" s="42"/>
      <c r="AM6" s="42"/>
      <c r="AN6" s="42"/>
      <c r="AO6" s="42"/>
      <c r="AP6" s="42"/>
      <c r="AQ6" s="42"/>
      <c r="AR6" s="42"/>
      <c r="AS6" s="42"/>
      <c r="AT6" s="6"/>
      <c r="AU6" s="6"/>
      <c r="AV6" s="6"/>
    </row>
    <row r="7" spans="1:48" ht="15" customHeight="1" x14ac:dyDescent="0.25">
      <c r="A7" s="190">
        <f>COUNTA(A11:A941)+ROW(A11)-1</f>
        <v>41</v>
      </c>
      <c r="B7" s="9"/>
      <c r="D7" s="6"/>
      <c r="E7" s="31" t="str">
        <f ca="1">IF(AND(SUM(Streams!F17:F939)&gt;0.999*COUNT(Streams!F17:F939),SUM(Streams!F17:F939)&lt;1.001*COUNT(Streams!F17:F939)),"","Find issue below.")</f>
        <v/>
      </c>
      <c r="F7" s="762"/>
      <c r="G7" s="762"/>
      <c r="H7" s="762"/>
      <c r="I7" s="762"/>
      <c r="J7" s="762"/>
      <c r="K7" s="762"/>
      <c r="L7" s="762"/>
      <c r="M7" s="762"/>
      <c r="N7" s="762"/>
      <c r="O7" s="762"/>
      <c r="P7" s="762"/>
      <c r="Q7" s="762"/>
      <c r="R7" s="762"/>
      <c r="S7" s="762"/>
      <c r="T7" s="762"/>
      <c r="U7" s="762"/>
      <c r="V7" s="762"/>
      <c r="W7" s="762"/>
      <c r="X7" s="762"/>
      <c r="Y7" s="762"/>
      <c r="AB7" s="12"/>
      <c r="AC7" s="12"/>
      <c r="AD7" s="784" t="s">
        <v>111</v>
      </c>
      <c r="AE7" s="784" t="s">
        <v>112</v>
      </c>
      <c r="AG7" s="320" t="s">
        <v>45</v>
      </c>
      <c r="AH7" s="320" t="str">
        <f>Streams!J8</f>
        <v>O</v>
      </c>
      <c r="AI7" s="320" t="s">
        <v>67</v>
      </c>
      <c r="AJ7" s="320" t="s">
        <v>68</v>
      </c>
      <c r="AK7" s="320" t="s">
        <v>69</v>
      </c>
      <c r="AL7" s="320" t="s">
        <v>70</v>
      </c>
      <c r="AM7" s="320" t="s">
        <v>47</v>
      </c>
      <c r="AN7" s="320" t="s">
        <v>46</v>
      </c>
      <c r="AO7" s="320" t="s">
        <v>71</v>
      </c>
      <c r="AP7" s="320" t="s">
        <v>72</v>
      </c>
      <c r="AQ7" s="320" t="s">
        <v>73</v>
      </c>
      <c r="AR7" s="320" t="s">
        <v>74</v>
      </c>
      <c r="AS7" s="320" t="s">
        <v>75</v>
      </c>
      <c r="AT7" s="9"/>
      <c r="AU7" s="9"/>
      <c r="AV7" s="9"/>
    </row>
    <row r="8" spans="1:48" x14ac:dyDescent="0.25">
      <c r="B8" s="762"/>
      <c r="E8" s="762"/>
      <c r="F8" s="762"/>
      <c r="G8" s="762"/>
      <c r="H8" s="762"/>
      <c r="I8" s="762"/>
      <c r="J8" s="762"/>
      <c r="K8" s="762"/>
      <c r="L8" s="762"/>
      <c r="M8" s="762"/>
      <c r="N8" s="762"/>
      <c r="O8" s="762"/>
      <c r="P8" s="762"/>
      <c r="Q8" s="762"/>
      <c r="R8" s="762"/>
      <c r="S8" s="762"/>
      <c r="T8" s="762"/>
      <c r="U8" s="762"/>
      <c r="V8" s="762"/>
      <c r="W8" s="762"/>
      <c r="X8" s="762"/>
      <c r="Y8" s="762"/>
      <c r="AB8" s="8" t="s">
        <v>113</v>
      </c>
      <c r="AC8" s="320" t="s">
        <v>114</v>
      </c>
      <c r="AD8" s="784"/>
      <c r="AE8" s="784"/>
      <c r="AG8" s="320" t="s">
        <v>115</v>
      </c>
      <c r="AH8" s="320" t="s">
        <v>115</v>
      </c>
      <c r="AI8" s="320" t="s">
        <v>115</v>
      </c>
      <c r="AJ8" s="320" t="s">
        <v>115</v>
      </c>
      <c r="AK8" s="320" t="s">
        <v>115</v>
      </c>
      <c r="AL8" s="320" t="s">
        <v>115</v>
      </c>
      <c r="AM8" s="320" t="s">
        <v>115</v>
      </c>
      <c r="AN8" s="320" t="s">
        <v>115</v>
      </c>
      <c r="AO8" s="320" t="s">
        <v>115</v>
      </c>
      <c r="AP8" s="320" t="s">
        <v>115</v>
      </c>
      <c r="AQ8" s="320" t="s">
        <v>115</v>
      </c>
      <c r="AR8" s="320" t="s">
        <v>115</v>
      </c>
      <c r="AS8" s="320" t="s">
        <v>115</v>
      </c>
      <c r="AT8" s="6"/>
      <c r="AU8" s="6"/>
      <c r="AV8" s="6"/>
    </row>
    <row r="9" spans="1:48" x14ac:dyDescent="0.25">
      <c r="A9" s="30" t="s">
        <v>116</v>
      </c>
      <c r="B9" s="320"/>
      <c r="C9" s="26"/>
      <c r="D9" s="8"/>
      <c r="E9" s="320" t="s">
        <v>117</v>
      </c>
      <c r="F9" s="786" t="s">
        <v>118</v>
      </c>
      <c r="G9" s="788"/>
      <c r="H9" s="788"/>
      <c r="I9" s="788"/>
      <c r="J9" s="788"/>
      <c r="K9" s="788"/>
      <c r="L9" s="788"/>
      <c r="M9" s="788"/>
      <c r="N9" s="788"/>
      <c r="O9" s="788"/>
      <c r="P9" s="788"/>
      <c r="Q9" s="788"/>
      <c r="R9" s="788"/>
      <c r="S9" s="788"/>
      <c r="T9" s="788"/>
      <c r="U9" s="788"/>
      <c r="V9" s="788"/>
      <c r="W9" s="788"/>
      <c r="X9" s="788"/>
      <c r="Y9" s="787"/>
      <c r="Z9" s="8"/>
      <c r="AA9" s="8"/>
      <c r="AB9" s="320" t="s">
        <v>119</v>
      </c>
      <c r="AC9" s="320" t="s">
        <v>119</v>
      </c>
      <c r="AD9" s="784"/>
      <c r="AE9" s="784"/>
      <c r="AG9" s="320" t="s">
        <v>119</v>
      </c>
      <c r="AH9" s="320" t="s">
        <v>119</v>
      </c>
      <c r="AI9" s="320" t="s">
        <v>119</v>
      </c>
      <c r="AJ9" s="320" t="s">
        <v>119</v>
      </c>
      <c r="AK9" s="320" t="s">
        <v>119</v>
      </c>
      <c r="AL9" s="320" t="s">
        <v>119</v>
      </c>
      <c r="AM9" s="320" t="s">
        <v>119</v>
      </c>
      <c r="AN9" s="320" t="s">
        <v>119</v>
      </c>
      <c r="AO9" s="320" t="s">
        <v>119</v>
      </c>
      <c r="AP9" s="320" t="s">
        <v>119</v>
      </c>
      <c r="AQ9" s="320" t="s">
        <v>119</v>
      </c>
      <c r="AR9" s="320" t="s">
        <v>119</v>
      </c>
      <c r="AS9" s="320" t="s">
        <v>119</v>
      </c>
      <c r="AT9" s="126"/>
      <c r="AU9" s="126"/>
      <c r="AV9" s="126"/>
    </row>
    <row r="10" spans="1:48" x14ac:dyDescent="0.25">
      <c r="A10" s="320" t="s">
        <v>120</v>
      </c>
      <c r="B10" s="320" t="s">
        <v>89</v>
      </c>
      <c r="C10" s="320" t="s">
        <v>91</v>
      </c>
      <c r="D10" s="8" t="s">
        <v>121</v>
      </c>
      <c r="E10" s="320" t="s">
        <v>122</v>
      </c>
      <c r="F10" s="786">
        <v>1</v>
      </c>
      <c r="G10" s="787"/>
      <c r="H10" s="786">
        <v>2</v>
      </c>
      <c r="I10" s="787"/>
      <c r="J10" s="786">
        <v>3</v>
      </c>
      <c r="K10" s="787"/>
      <c r="L10" s="786">
        <v>4</v>
      </c>
      <c r="M10" s="787"/>
      <c r="N10" s="786">
        <v>5</v>
      </c>
      <c r="O10" s="787"/>
      <c r="P10" s="786">
        <v>6</v>
      </c>
      <c r="Q10" s="787"/>
      <c r="R10" s="786">
        <v>7</v>
      </c>
      <c r="S10" s="787"/>
      <c r="T10" s="786">
        <v>8</v>
      </c>
      <c r="U10" s="787"/>
      <c r="V10" s="786">
        <v>9</v>
      </c>
      <c r="W10" s="787"/>
      <c r="X10" s="786">
        <v>10</v>
      </c>
      <c r="Y10" s="787"/>
      <c r="Z10" s="8" t="s">
        <v>123</v>
      </c>
      <c r="AA10" s="8" t="s">
        <v>124</v>
      </c>
      <c r="AB10" s="320" t="s">
        <v>82</v>
      </c>
      <c r="AC10" s="320" t="s">
        <v>82</v>
      </c>
      <c r="AD10" s="320" t="s">
        <v>95</v>
      </c>
      <c r="AE10" s="320" t="s">
        <v>83</v>
      </c>
      <c r="AG10" s="320" t="s">
        <v>82</v>
      </c>
      <c r="AH10" s="320" t="s">
        <v>82</v>
      </c>
      <c r="AI10" s="320" t="s">
        <v>82</v>
      </c>
      <c r="AJ10" s="320" t="s">
        <v>82</v>
      </c>
      <c r="AK10" s="320" t="s">
        <v>82</v>
      </c>
      <c r="AL10" s="320" t="s">
        <v>82</v>
      </c>
      <c r="AM10" s="320" t="s">
        <v>82</v>
      </c>
      <c r="AN10" s="320" t="s">
        <v>82</v>
      </c>
      <c r="AO10" s="320" t="s">
        <v>82</v>
      </c>
      <c r="AP10" s="320" t="s">
        <v>82</v>
      </c>
      <c r="AQ10" s="320" t="s">
        <v>82</v>
      </c>
      <c r="AR10" s="320" t="s">
        <v>82</v>
      </c>
      <c r="AS10" s="320" t="s">
        <v>82</v>
      </c>
      <c r="AT10" s="126"/>
      <c r="AU10" s="126"/>
      <c r="AV10" s="126"/>
    </row>
    <row r="11" spans="1:48" x14ac:dyDescent="0.25">
      <c r="A11" s="325">
        <f t="shared" ref="A11:A19" si="0">IF(TYPE(A10)=2,1,1+A10)</f>
        <v>1</v>
      </c>
      <c r="B11" s="321">
        <v>1</v>
      </c>
      <c r="C11" s="321" t="str">
        <f>VLOOKUP(B11,Streams!$A$17:$C$937,3,FALSE)</f>
        <v>solid</v>
      </c>
      <c r="D11" s="18" t="s">
        <v>125</v>
      </c>
      <c r="E11" s="487">
        <f>'Material Balance'!M5</f>
        <v>0.998</v>
      </c>
      <c r="F11" s="321" t="s">
        <v>45</v>
      </c>
      <c r="G11" s="321">
        <v>1</v>
      </c>
      <c r="H11" s="321" t="s">
        <v>66</v>
      </c>
      <c r="I11" s="321">
        <v>2</v>
      </c>
      <c r="J11" s="321"/>
      <c r="K11" s="321"/>
      <c r="L11" s="321"/>
      <c r="M11" s="321"/>
      <c r="N11" s="321"/>
      <c r="O11" s="321"/>
      <c r="P11" s="321"/>
      <c r="Q11" s="321"/>
      <c r="R11" s="321"/>
      <c r="S11" s="321"/>
      <c r="T11" s="321"/>
      <c r="U11" s="321"/>
      <c r="V11" s="321"/>
      <c r="W11" s="321"/>
      <c r="X11" s="321"/>
      <c r="Y11" s="321"/>
      <c r="Z11" s="18" t="str">
        <f t="shared" ref="Z11" si="1">F11&amp;IF(G11=1,"",G11)&amp;H11&amp;IF(I11=1,"",I11)&amp;J11&amp;IF(K11=1,"",K11)&amp;L11&amp;IF(M11=1,"",M11)&amp;N11&amp;IF(O11=1,"",O11)&amp;P11&amp;IF(Q11=1,"",Q11)&amp;R11&amp;IF(S11=1,"",S11)&amp;T11&amp;IF(U11=1,"",U11)&amp;V11&amp;IF(W11=1,"",W11)&amp;X11&amp;IF(Y11=1,"",Y11)</f>
        <v>SiO2</v>
      </c>
      <c r="AA11" s="18">
        <f>IF(COUNTBLANK(F11)=0,VLOOKUP(F11,Reference!$B$5:$C$115,2,FALSE)*G11,0)+IF(COUNTBLANK(H11)=0,VLOOKUP(H11,Reference!$B$5:$C$115,2,FALSE)*I11,0)+IF(COUNTBLANK(J11)=0,VLOOKUP(J11,Reference!$B$5:$C$115,2,FALSE)*K11,0)+IF(COUNTBLANK(L11)=0,VLOOKUP(L11,Reference!$B$5:$C$115,2,FALSE)*M11,0)+IF(COUNTBLANK(N11)=0,VLOOKUP(N11,Reference!$B$5:$C$115,2,FALSE)*O11,0)+IF(COUNTBLANK(P11)=0,VLOOKUP(P11,Reference!$B$5:$C$115,2,FALSE)*Q11,0)+IF(COUNTBLANK(R11)=0,VLOOKUP(R11,Reference!$B$5:$C$115,2,FALSE)*S11,0)+IF(COUNTBLANK(T11)=0,VLOOKUP(T11,Reference!$B$5:$C$115,2,FALSE)*U11,0)+IF(COUNTBLANK(V11)=0,VLOOKUP(V11,Reference!$B$5:$C$115,2,FALSE)*W11,0)+IF(COUNTBLANK(X11)=0,VLOOKUP(X11,Reference!$B$5:$C$115,2,FALSE)*Y11,0)</f>
        <v>60.084299999999999</v>
      </c>
      <c r="AB11" s="321">
        <f>VLOOKUP(B11,Streams!$A$17:$E$939,5,FALSE)</f>
        <v>2.1544040278823093</v>
      </c>
      <c r="AC11" s="321">
        <f>E11*AB11</f>
        <v>2.1500952198265448</v>
      </c>
      <c r="AD11" s="495">
        <f>VLOOKUP(Z11,Reference!O27:P40,2,FALSE)</f>
        <v>0.15</v>
      </c>
      <c r="AE11" s="326">
        <f>AD11*AC11</f>
        <v>0.32251428297398171</v>
      </c>
      <c r="AF11" s="6"/>
      <c r="AG11" s="762">
        <f>$AC11*(IF(TYPE(INDEX($F11:$Y11,1,MATCH(AG$7,$F11:$Y11,0)+1))=1,INDEX($F11:$Y11,1,MATCH(AG$7,$F11:$Y11,0)+1),0))*VLOOKUP(AG$7,Reference!$B$7:$C$117,2,FALSE)/$AA11</f>
        <v>1.0050295883689819</v>
      </c>
      <c r="AH11" s="762">
        <f>$AC11*(IF(TYPE(INDEX($F11:$Y11,1,MATCH(AH$7,$F11:$Y11,0)+1))=1,INDEX($F11:$Y11,1,MATCH(AH$7,$F11:$Y11,0)+1),0))*VLOOKUP(AH$7,Reference!$B$7:$C$117,2,FALSE)/$AA11</f>
        <v>1.1450656314575629</v>
      </c>
      <c r="AI11" s="762">
        <f>$AC11*(IF(TYPE(INDEX($F11:$Y11,1,MATCH(AI$7,$F11:$Y11,0)+1))=1,INDEX($F11:$Y11,1,MATCH(AI$7,$F11:$Y11,0)+1),0))*VLOOKUP(AI$7,Reference!$B$7:$C$117,2,FALSE)/$AA11</f>
        <v>0</v>
      </c>
      <c r="AJ11" s="762">
        <f>$AC11*(IF(TYPE(INDEX($F11:$Y11,1,MATCH(AJ$7,$F11:$Y11,0)+1))=1,INDEX($F11:$Y11,1,MATCH(AJ$7,$F11:$Y11,0)+1),0))*VLOOKUP(AJ$7,Reference!$B$7:$C$117,2,FALSE)/$AA11</f>
        <v>0</v>
      </c>
      <c r="AK11" s="762">
        <f>$AC11*(IF(TYPE(INDEX($F11:$Y11,1,MATCH(AK$7,$F11:$Y11,0)+1))=1,INDEX($F11:$Y11,1,MATCH(AK$7,$F11:$Y11,0)+1),0))*VLOOKUP(AK$7,Reference!$B$7:$C$117,2,FALSE)/$AA11</f>
        <v>0</v>
      </c>
      <c r="AL11" s="762">
        <f>$AC11*(IF(TYPE(INDEX($F11:$Y11,1,MATCH(AL$7,$F11:$Y11,0)+1))=1,INDEX($F11:$Y11,1,MATCH(AL$7,$F11:$Y11,0)+1),0))*VLOOKUP(AL$7,Reference!$B$7:$C$117,2,FALSE)/$AA11</f>
        <v>0</v>
      </c>
      <c r="AM11" s="762">
        <f>$AC11*(IF(TYPE(INDEX($F11:$Y11,1,MATCH(AM$7,$F11:$Y11,0)+1))=1,INDEX($F11:$Y11,1,MATCH(AM$7,$F11:$Y11,0)+1),0))*VLOOKUP(AM$7,Reference!$B$7:$C$117,2,FALSE)/$AA11</f>
        <v>0</v>
      </c>
      <c r="AN11" s="762">
        <f>$AC11*(IF(TYPE(INDEX($F11:$Y11,1,MATCH(AN$7,$F11:$Y11,0)+1))=1,INDEX($F11:$Y11,1,MATCH(AN$7,$F11:$Y11,0)+1),0))*VLOOKUP(AN$7,Reference!$B$7:$C$117,2,FALSE)/$AA11</f>
        <v>0</v>
      </c>
      <c r="AO11" s="762">
        <f>$AC11*(IF(TYPE(INDEX($F11:$Y11,1,MATCH(AO$7,$F11:$Y11,0)+1))=1,INDEX($F11:$Y11,1,MATCH(AO$7,$F11:$Y11,0)+1),0))*VLOOKUP(AO$7,Reference!$B$7:$C$117,2,FALSE)/$AA11</f>
        <v>0</v>
      </c>
      <c r="AP11" s="762">
        <f>$AC11*(IF(TYPE(INDEX($F11:$Y11,1,MATCH(AP$7,$F11:$Y11,0)+1))=1,INDEX($F11:$Y11,1,MATCH(AP$7,$F11:$Y11,0)+1),0))*VLOOKUP(AP$7,Reference!$B$7:$C$117,2,FALSE)/$AA11</f>
        <v>0</v>
      </c>
      <c r="AQ11" s="762">
        <f>$AC11*(IF(TYPE(INDEX($F11:$Y11,1,MATCH(AQ$7,$F11:$Y11,0)+1))=1,INDEX($F11:$Y11,1,MATCH(AQ$7,$F11:$Y11,0)+1),0))*VLOOKUP(AQ$7,Reference!$B$7:$C$117,2,FALSE)/$AA11</f>
        <v>0</v>
      </c>
      <c r="AR11" s="762">
        <f>$AC11*(IF(TYPE(INDEX($F11:$Y11,1,MATCH(AR$7,$F11:$Y11,0)+1))=1,INDEX($F11:$Y11,1,MATCH(AR$7,$F11:$Y11,0)+1),0))*VLOOKUP(AR$7,Reference!$B$7:$C$117,2,FALSE)/$AA11</f>
        <v>0</v>
      </c>
      <c r="AS11" s="762">
        <f>$AC11*(IF(TYPE(INDEX($F11:$Y11,1,MATCH(AS$7,$F11:$Y11,0)+1))=1,INDEX($F11:$Y11,1,MATCH(AS$7,$F11:$Y11,0)+1),0))*VLOOKUP(AS$7,Reference!$B$7:$C$117,2,FALSE)/$AA11</f>
        <v>0</v>
      </c>
      <c r="AT11" s="6"/>
      <c r="AU11" s="6"/>
      <c r="AV11" s="6"/>
    </row>
    <row r="12" spans="1:48" x14ac:dyDescent="0.25">
      <c r="A12" s="325">
        <f>IF(TYPE(A11)=2,1,1+A11)</f>
        <v>2</v>
      </c>
      <c r="B12" s="321">
        <v>1</v>
      </c>
      <c r="C12" s="321" t="str">
        <f>VLOOKUP(B12,Streams!$A$17:$C$937,3,FALSE)</f>
        <v>solid</v>
      </c>
      <c r="D12" s="18" t="s">
        <v>126</v>
      </c>
      <c r="E12" s="487">
        <f>'Material Balance'!M6</f>
        <v>1.0000000000000009E-3</v>
      </c>
      <c r="F12" s="321" t="s">
        <v>46</v>
      </c>
      <c r="G12" s="321">
        <v>2</v>
      </c>
      <c r="H12" s="321" t="s">
        <v>66</v>
      </c>
      <c r="I12" s="321">
        <v>3</v>
      </c>
      <c r="J12" s="321"/>
      <c r="K12" s="321"/>
      <c r="L12" s="321"/>
      <c r="M12" s="321"/>
      <c r="N12" s="321"/>
      <c r="O12" s="321"/>
      <c r="P12" s="321"/>
      <c r="Q12" s="321"/>
      <c r="R12" s="321"/>
      <c r="S12" s="321"/>
      <c r="T12" s="321"/>
      <c r="U12" s="321"/>
      <c r="V12" s="321"/>
      <c r="W12" s="321"/>
      <c r="X12" s="321"/>
      <c r="Y12" s="321"/>
      <c r="Z12" s="18" t="str">
        <f t="shared" ref="Z12" si="2">F12&amp;IF(G12=1,"",G12)&amp;H12&amp;IF(I12=1,"",I12)&amp;J12&amp;IF(K12=1,"",K12)&amp;L12&amp;IF(M12=1,"",M12)&amp;N12&amp;IF(O12=1,"",O12)&amp;P12&amp;IF(Q12=1,"",Q12)&amp;R12&amp;IF(S12=1,"",S12)&amp;T12&amp;IF(U12=1,"",U12)&amp;V12&amp;IF(W12=1,"",W12)&amp;X12&amp;IF(Y12=1,"",Y12)</f>
        <v>Al2O3</v>
      </c>
      <c r="AA12" s="18">
        <f>IF(COUNTBLANK(F12)=0,VLOOKUP(F12,Reference!$B$5:$C$115,2,FALSE)*G12,0)+IF(COUNTBLANK(H12)=0,VLOOKUP(H12,Reference!$B$5:$C$115,2,FALSE)*I12,0)+IF(COUNTBLANK(J12)=0,VLOOKUP(J12,Reference!$B$5:$C$115,2,FALSE)*K12,0)+IF(COUNTBLANK(L12)=0,VLOOKUP(L12,Reference!$B$5:$C$115,2,FALSE)*M12,0)+IF(COUNTBLANK(N12)=0,VLOOKUP(N12,Reference!$B$5:$C$115,2,FALSE)*O12,0)+IF(COUNTBLANK(P12)=0,VLOOKUP(P12,Reference!$B$5:$C$115,2,FALSE)*Q12,0)+IF(COUNTBLANK(R12)=0,VLOOKUP(R12,Reference!$B$5:$C$115,2,FALSE)*S12,0)+IF(COUNTBLANK(T12)=0,VLOOKUP(T12,Reference!$B$5:$C$115,2,FALSE)*U12,0)+IF(COUNTBLANK(V12)=0,VLOOKUP(V12,Reference!$B$5:$C$115,2,FALSE)*W12,0)+IF(COUNTBLANK(X12)=0,VLOOKUP(X12,Reference!$B$5:$C$115,2,FALSE)*Y12,0)</f>
        <v>101.96119999999999</v>
      </c>
      <c r="AB12" s="321">
        <f>VLOOKUP(B12,Streams!$A$17:$E$939,5,FALSE)</f>
        <v>2.1544040278823093</v>
      </c>
      <c r="AC12" s="321">
        <f>E12*AB12</f>
        <v>2.1544040278823114E-3</v>
      </c>
      <c r="AD12" s="495" t="e">
        <f>VLOOKUP(Z12,Reference!O27:P40,2,FALSE)</f>
        <v>#N/A</v>
      </c>
      <c r="AE12" s="326" t="e">
        <f t="shared" ref="AE12" si="3">AD12*AC12</f>
        <v>#N/A</v>
      </c>
      <c r="AF12" s="6"/>
      <c r="AG12" s="762">
        <f>$AC12*(IF(TYPE(INDEX($F12:$Y12,1,MATCH(AG$7,$F12:$Y12,0)+1))=1,INDEX($F12:$Y12,1,MATCH(AG$7,$F12:$Y12,0)+1),0))*VLOOKUP(AG$7,Reference!$B$7:$C$117,2,FALSE)/$AA12</f>
        <v>0</v>
      </c>
      <c r="AH12" s="762">
        <f>$AC12*(IF(TYPE(INDEX($F12:$Y12,1,MATCH(AH$7,$F12:$Y12,0)+1))=1,INDEX($F12:$Y12,1,MATCH(AH$7,$F12:$Y12,0)+1),0))*VLOOKUP(AH$7,Reference!$B$7:$C$117,2,FALSE)/$AA12</f>
        <v>1.0141849587009643E-3</v>
      </c>
      <c r="AI12" s="762">
        <f>$AC12*(IF(TYPE(INDEX($F12:$Y12,1,MATCH(AI$7,$F12:$Y12,0)+1))=1,INDEX($F12:$Y12,1,MATCH(AI$7,$F12:$Y12,0)+1),0))*VLOOKUP(AI$7,Reference!$B$7:$C$117,2,FALSE)/$AA12</f>
        <v>0</v>
      </c>
      <c r="AJ12" s="762">
        <f>$AC12*(IF(TYPE(INDEX($F12:$Y12,1,MATCH(AJ$7,$F12:$Y12,0)+1))=1,INDEX($F12:$Y12,1,MATCH(AJ$7,$F12:$Y12,0)+1),0))*VLOOKUP(AJ$7,Reference!$B$7:$C$117,2,FALSE)/$AA12</f>
        <v>0</v>
      </c>
      <c r="AK12" s="762">
        <f>$AC12*(IF(TYPE(INDEX($F12:$Y12,1,MATCH(AK$7,$F12:$Y12,0)+1))=1,INDEX($F12:$Y12,1,MATCH(AK$7,$F12:$Y12,0)+1),0))*VLOOKUP(AK$7,Reference!$B$7:$C$117,2,FALSE)/$AA12</f>
        <v>0</v>
      </c>
      <c r="AL12" s="762">
        <f>$AC12*(IF(TYPE(INDEX($F12:$Y12,1,MATCH(AL$7,$F12:$Y12,0)+1))=1,INDEX($F12:$Y12,1,MATCH(AL$7,$F12:$Y12,0)+1),0))*VLOOKUP(AL$7,Reference!$B$7:$C$117,2,FALSE)/$AA12</f>
        <v>0</v>
      </c>
      <c r="AM12" s="762">
        <f>$AC12*(IF(TYPE(INDEX($F12:$Y12,1,MATCH(AM$7,$F12:$Y12,0)+1))=1,INDEX($F12:$Y12,1,MATCH(AM$7,$F12:$Y12,0)+1),0))*VLOOKUP(AM$7,Reference!$B$7:$C$117,2,FALSE)/$AA12</f>
        <v>0</v>
      </c>
      <c r="AN12" s="762">
        <f>$AC12*(IF(TYPE(INDEX($F12:$Y12,1,MATCH(AN$7,$F12:$Y12,0)+1))=1,INDEX($F12:$Y12,1,MATCH(AN$7,$F12:$Y12,0)+1),0))*VLOOKUP(AN$7,Reference!$B$7:$C$117,2,FALSE)/$AA12</f>
        <v>1.1402190691813473E-3</v>
      </c>
      <c r="AO12" s="762">
        <f>$AC12*(IF(TYPE(INDEX($F12:$Y12,1,MATCH(AO$7,$F12:$Y12,0)+1))=1,INDEX($F12:$Y12,1,MATCH(AO$7,$F12:$Y12,0)+1),0))*VLOOKUP(AO$7,Reference!$B$7:$C$117,2,FALSE)/$AA12</f>
        <v>0</v>
      </c>
      <c r="AP12" s="762">
        <f>$AC12*(IF(TYPE(INDEX($F12:$Y12,1,MATCH(AP$7,$F12:$Y12,0)+1))=1,INDEX($F12:$Y12,1,MATCH(AP$7,$F12:$Y12,0)+1),0))*VLOOKUP(AP$7,Reference!$B$7:$C$117,2,FALSE)/$AA12</f>
        <v>0</v>
      </c>
      <c r="AQ12" s="762">
        <f>$AC12*(IF(TYPE(INDEX($F12:$Y12,1,MATCH(AQ$7,$F12:$Y12,0)+1))=1,INDEX($F12:$Y12,1,MATCH(AQ$7,$F12:$Y12,0)+1),0))*VLOOKUP(AQ$7,Reference!$B$7:$C$117,2,FALSE)/$AA12</f>
        <v>0</v>
      </c>
      <c r="AR12" s="762">
        <f>$AC12*(IF(TYPE(INDEX($F12:$Y12,1,MATCH(AR$7,$F12:$Y12,0)+1))=1,INDEX($F12:$Y12,1,MATCH(AR$7,$F12:$Y12,0)+1),0))*VLOOKUP(AR$7,Reference!$B$7:$C$117,2,FALSE)/$AA12</f>
        <v>0</v>
      </c>
      <c r="AS12" s="762">
        <f>$AC12*(IF(TYPE(INDEX($F12:$Y12,1,MATCH(AS$7,$F12:$Y12,0)+1))=1,INDEX($F12:$Y12,1,MATCH(AS$7,$F12:$Y12,0)+1),0))*VLOOKUP(AS$7,Reference!$B$7:$C$117,2,FALSE)/$AA12</f>
        <v>0</v>
      </c>
      <c r="AT12" s="6"/>
      <c r="AU12" s="6"/>
      <c r="AV12" s="6"/>
    </row>
    <row r="13" spans="1:48" x14ac:dyDescent="0.25">
      <c r="A13" s="325">
        <f t="shared" si="0"/>
        <v>3</v>
      </c>
      <c r="B13" s="321">
        <v>1</v>
      </c>
      <c r="C13" s="321" t="str">
        <f>VLOOKUP(B13,Streams!$A$17:$C$937,3,FALSE)</f>
        <v>solid</v>
      </c>
      <c r="D13" s="18" t="s">
        <v>127</v>
      </c>
      <c r="E13" s="488">
        <f>'Material Balance'!M7</f>
        <v>3.0000000000000024E-4</v>
      </c>
      <c r="F13" s="321" t="s">
        <v>71</v>
      </c>
      <c r="G13" s="321">
        <v>2</v>
      </c>
      <c r="H13" s="321" t="s">
        <v>66</v>
      </c>
      <c r="I13" s="321">
        <v>3</v>
      </c>
      <c r="J13" s="321"/>
      <c r="K13" s="321"/>
      <c r="L13" s="321"/>
      <c r="M13" s="321"/>
      <c r="N13" s="321"/>
      <c r="O13" s="321"/>
      <c r="P13" s="321"/>
      <c r="Q13" s="321"/>
      <c r="R13" s="321"/>
      <c r="S13" s="321"/>
      <c r="T13" s="321"/>
      <c r="U13" s="321"/>
      <c r="V13" s="321"/>
      <c r="W13" s="321"/>
      <c r="X13" s="321"/>
      <c r="Y13" s="321"/>
      <c r="Z13" s="18" t="str">
        <f t="shared" ref="Z13" si="4">F13&amp;IF(G13=1,"",G13)&amp;H13&amp;IF(I13=1,"",I13)&amp;J13&amp;IF(K13=1,"",K13)&amp;L13&amp;IF(M13=1,"",M13)&amp;N13&amp;IF(O13=1,"",O13)&amp;P13&amp;IF(Q13=1,"",Q13)&amp;R13&amp;IF(S13=1,"",S13)&amp;T13&amp;IF(U13=1,"",U13)&amp;V13&amp;IF(W13=1,"",W13)&amp;X13&amp;IF(Y13=1,"",Y13)</f>
        <v>Fe2O3</v>
      </c>
      <c r="AA13" s="18">
        <f>IF(COUNTBLANK(F13)=0,VLOOKUP(F13,Reference!$B$5:$C$115,2,FALSE)*G13,0)+IF(COUNTBLANK(H13)=0,VLOOKUP(H13,Reference!$B$5:$C$115,2,FALSE)*I13,0)+IF(COUNTBLANK(J13)=0,VLOOKUP(J13,Reference!$B$5:$C$115,2,FALSE)*K13,0)+IF(COUNTBLANK(L13)=0,VLOOKUP(L13,Reference!$B$5:$C$115,2,FALSE)*M13,0)+IF(COUNTBLANK(N13)=0,VLOOKUP(N13,Reference!$B$5:$C$115,2,FALSE)*O13,0)+IF(COUNTBLANK(P13)=0,VLOOKUP(P13,Reference!$B$5:$C$115,2,FALSE)*Q13,0)+IF(COUNTBLANK(R13)=0,VLOOKUP(R13,Reference!$B$5:$C$115,2,FALSE)*S13,0)+IF(COUNTBLANK(T13)=0,VLOOKUP(T13,Reference!$B$5:$C$115,2,FALSE)*U13,0)+IF(COUNTBLANK(V13)=0,VLOOKUP(V13,Reference!$B$5:$C$115,2,FALSE)*W13,0)+IF(COUNTBLANK(X13)=0,VLOOKUP(X13,Reference!$B$5:$C$115,2,FALSE)*Y13,0)</f>
        <v>159.68819999999999</v>
      </c>
      <c r="AB13" s="321">
        <f>VLOOKUP(B13,Streams!$A$17:$E$939,5,FALSE)</f>
        <v>2.1544040278823093</v>
      </c>
      <c r="AC13" s="321">
        <f>E13*AB13</f>
        <v>6.4632120836469328E-4</v>
      </c>
      <c r="AD13" s="495" t="e">
        <f>VLOOKUP(Z13,Reference!O27:P40,2,FALSE)</f>
        <v>#N/A</v>
      </c>
      <c r="AE13" s="326" t="e">
        <f t="shared" ref="AE13" si="5">AD13*AC13</f>
        <v>#N/A</v>
      </c>
      <c r="AF13" s="6"/>
      <c r="AG13" s="762">
        <f>$AC13*(IF(TYPE(INDEX($F13:$Y13,1,MATCH(AG$7,$F13:$Y13,0)+1))=1,INDEX($F13:$Y13,1,MATCH(AG$7,$F13:$Y13,0)+1),0))*VLOOKUP(AG$7,Reference!$B$7:$C$117,2,FALSE)/$AA13</f>
        <v>0</v>
      </c>
      <c r="AH13" s="762">
        <f>$AC13*(IF(TYPE(INDEX($F13:$Y13,1,MATCH(AH$7,$F13:$Y13,0)+1))=1,INDEX($F13:$Y13,1,MATCH(AH$7,$F13:$Y13,0)+1),0))*VLOOKUP(AH$7,Reference!$B$7:$C$117,2,FALSE)/$AA13</f>
        <v>1.942676705187373E-4</v>
      </c>
      <c r="AI13" s="762">
        <f>$AC13*(IF(TYPE(INDEX($F13:$Y13,1,MATCH(AI$7,$F13:$Y13,0)+1))=1,INDEX($F13:$Y13,1,MATCH(AI$7,$F13:$Y13,0)+1),0))*VLOOKUP(AI$7,Reference!$B$7:$C$117,2,FALSE)/$AA13</f>
        <v>0</v>
      </c>
      <c r="AJ13" s="762">
        <f>$AC13*(IF(TYPE(INDEX($F13:$Y13,1,MATCH(AJ$7,$F13:$Y13,0)+1))=1,INDEX($F13:$Y13,1,MATCH(AJ$7,$F13:$Y13,0)+1),0))*VLOOKUP(AJ$7,Reference!$B$7:$C$117,2,FALSE)/$AA13</f>
        <v>0</v>
      </c>
      <c r="AK13" s="762">
        <f>$AC13*(IF(TYPE(INDEX($F13:$Y13,1,MATCH(AK$7,$F13:$Y13,0)+1))=1,INDEX($F13:$Y13,1,MATCH(AK$7,$F13:$Y13,0)+1),0))*VLOOKUP(AK$7,Reference!$B$7:$C$117,2,FALSE)/$AA13</f>
        <v>0</v>
      </c>
      <c r="AL13" s="762">
        <f>$AC13*(IF(TYPE(INDEX($F13:$Y13,1,MATCH(AL$7,$F13:$Y13,0)+1))=1,INDEX($F13:$Y13,1,MATCH(AL$7,$F13:$Y13,0)+1),0))*VLOOKUP(AL$7,Reference!$B$7:$C$117,2,FALSE)/$AA13</f>
        <v>0</v>
      </c>
      <c r="AM13" s="762">
        <f>$AC13*(IF(TYPE(INDEX($F13:$Y13,1,MATCH(AM$7,$F13:$Y13,0)+1))=1,INDEX($F13:$Y13,1,MATCH(AM$7,$F13:$Y13,0)+1),0))*VLOOKUP(AM$7,Reference!$B$7:$C$117,2,FALSE)/$AA13</f>
        <v>0</v>
      </c>
      <c r="AN13" s="762">
        <f>$AC13*(IF(TYPE(INDEX($F13:$Y13,1,MATCH(AN$7,$F13:$Y13,0)+1))=1,INDEX($F13:$Y13,1,MATCH(AN$7,$F13:$Y13,0)+1),0))*VLOOKUP(AN$7,Reference!$B$7:$C$117,2,FALSE)/$AA13</f>
        <v>0</v>
      </c>
      <c r="AO13" s="762">
        <f>$AC13*(IF(TYPE(INDEX($F13:$Y13,1,MATCH(AO$7,$F13:$Y13,0)+1))=1,INDEX($F13:$Y13,1,MATCH(AO$7,$F13:$Y13,0)+1),0))*VLOOKUP(AO$7,Reference!$B$7:$C$117,2,FALSE)/$AA13</f>
        <v>4.5205353784595604E-4</v>
      </c>
      <c r="AP13" s="762">
        <f>$AC13*(IF(TYPE(INDEX($F13:$Y13,1,MATCH(AP$7,$F13:$Y13,0)+1))=1,INDEX($F13:$Y13,1,MATCH(AP$7,$F13:$Y13,0)+1),0))*VLOOKUP(AP$7,Reference!$B$7:$C$117,2,FALSE)/$AA13</f>
        <v>0</v>
      </c>
      <c r="AQ13" s="762">
        <f>$AC13*(IF(TYPE(INDEX($F13:$Y13,1,MATCH(AQ$7,$F13:$Y13,0)+1))=1,INDEX($F13:$Y13,1,MATCH(AQ$7,$F13:$Y13,0)+1),0))*VLOOKUP(AQ$7,Reference!$B$7:$C$117,2,FALSE)/$AA13</f>
        <v>0</v>
      </c>
      <c r="AR13" s="762">
        <f>$AC13*(IF(TYPE(INDEX($F13:$Y13,1,MATCH(AR$7,$F13:$Y13,0)+1))=1,INDEX($F13:$Y13,1,MATCH(AR$7,$F13:$Y13,0)+1),0))*VLOOKUP(AR$7,Reference!$B$7:$C$117,2,FALSE)/$AA13</f>
        <v>0</v>
      </c>
      <c r="AS13" s="762">
        <f>$AC13*(IF(TYPE(INDEX($F13:$Y13,1,MATCH(AS$7,$F13:$Y13,0)+1))=1,INDEX($F13:$Y13,1,MATCH(AS$7,$F13:$Y13,0)+1),0))*VLOOKUP(AS$7,Reference!$B$7:$C$117,2,FALSE)/$AA13</f>
        <v>0</v>
      </c>
      <c r="AT13" s="6"/>
      <c r="AU13" s="6"/>
      <c r="AV13" s="6"/>
    </row>
    <row r="14" spans="1:48" x14ac:dyDescent="0.25">
      <c r="A14" s="325">
        <f t="shared" si="0"/>
        <v>4</v>
      </c>
      <c r="B14" s="321">
        <v>1</v>
      </c>
      <c r="C14" s="321" t="str">
        <f>VLOOKUP(B14,Streams!$A$17:$C$937,3,FALSE)</f>
        <v>solid</v>
      </c>
      <c r="D14" s="18" t="s">
        <v>128</v>
      </c>
      <c r="E14" s="488">
        <f>'Material Balance'!M8</f>
        <v>3.0000000000000024E-4</v>
      </c>
      <c r="F14" s="321" t="s">
        <v>69</v>
      </c>
      <c r="G14" s="321">
        <v>1</v>
      </c>
      <c r="H14" s="321" t="s">
        <v>66</v>
      </c>
      <c r="I14" s="321">
        <v>1</v>
      </c>
      <c r="J14" s="321"/>
      <c r="K14" s="321"/>
      <c r="L14" s="321"/>
      <c r="M14" s="321"/>
      <c r="N14" s="321"/>
      <c r="O14" s="321"/>
      <c r="P14" s="321"/>
      <c r="Q14" s="321"/>
      <c r="R14" s="321"/>
      <c r="S14" s="321"/>
      <c r="T14" s="321"/>
      <c r="U14" s="321"/>
      <c r="V14" s="321"/>
      <c r="W14" s="321"/>
      <c r="X14" s="321"/>
      <c r="Y14" s="321"/>
      <c r="Z14" s="18" t="str">
        <f t="shared" ref="Z14" si="6">F14&amp;IF(G14=1,"",G14)&amp;H14&amp;IF(I14=1,"",I14)&amp;J14&amp;IF(K14=1,"",K14)&amp;L14&amp;IF(M14=1,"",M14)&amp;N14&amp;IF(O14=1,"",O14)&amp;P14&amp;IF(Q14=1,"",Q14)&amp;R14&amp;IF(S14=1,"",S14)&amp;T14&amp;IF(U14=1,"",U14)&amp;V14&amp;IF(W14=1,"",W14)&amp;X14&amp;IF(Y14=1,"",Y14)</f>
        <v>CaO</v>
      </c>
      <c r="AA14" s="18">
        <f>IF(COUNTBLANK(F14)=0,VLOOKUP(F14,Reference!$B$5:$C$115,2,FALSE)*G14,0)+IF(COUNTBLANK(H14)=0,VLOOKUP(H14,Reference!$B$5:$C$115,2,FALSE)*I14,0)+IF(COUNTBLANK(J14)=0,VLOOKUP(J14,Reference!$B$5:$C$115,2,FALSE)*K14,0)+IF(COUNTBLANK(L14)=0,VLOOKUP(L14,Reference!$B$5:$C$115,2,FALSE)*M14,0)+IF(COUNTBLANK(N14)=0,VLOOKUP(N14,Reference!$B$5:$C$115,2,FALSE)*O14,0)+IF(COUNTBLANK(P14)=0,VLOOKUP(P14,Reference!$B$5:$C$115,2,FALSE)*Q14,0)+IF(COUNTBLANK(R14)=0,VLOOKUP(R14,Reference!$B$5:$C$115,2,FALSE)*S14,0)+IF(COUNTBLANK(T14)=0,VLOOKUP(T14,Reference!$B$5:$C$115,2,FALSE)*U14,0)+IF(COUNTBLANK(V14)=0,VLOOKUP(V14,Reference!$B$5:$C$115,2,FALSE)*W14,0)+IF(COUNTBLANK(X14)=0,VLOOKUP(X14,Reference!$B$5:$C$115,2,FALSE)*Y14,0)</f>
        <v>56.077400000000004</v>
      </c>
      <c r="AB14" s="321">
        <f>VLOOKUP(B14,Streams!$A$17:$E$939,5,FALSE)</f>
        <v>2.1544040278823093</v>
      </c>
      <c r="AC14" s="321">
        <f t="shared" ref="AC14" si="7">E14*AB14</f>
        <v>6.4632120836469328E-4</v>
      </c>
      <c r="AD14" s="495">
        <f>VLOOKUP(Z14,Reference!O27:P40,2,FALSE)</f>
        <v>0.15</v>
      </c>
      <c r="AE14" s="326">
        <f t="shared" ref="AE14" si="8">AD14*AC14</f>
        <v>9.6948181254703989E-5</v>
      </c>
      <c r="AG14" s="762">
        <f>$AC14*(IF(TYPE(INDEX($F14:$Y14,1,MATCH(AG$7,$F14:$Y14,0)+1))=1,INDEX($F14:$Y14,1,MATCH(AG$7,$F14:$Y14,0)+1),0))*VLOOKUP(AG$7,Reference!$B$7:$C$117,2,FALSE)/$AA14</f>
        <v>0</v>
      </c>
      <c r="AH14" s="762">
        <f>$AC14*(IF(TYPE(INDEX($F14:$Y14,1,MATCH(AH$7,$F14:$Y14,0)+1))=1,INDEX($F14:$Y14,1,MATCH(AH$7,$F14:$Y14,0)+1),0))*VLOOKUP(AH$7,Reference!$B$7:$C$117,2,FALSE)/$AA14</f>
        <v>1.8440140843031368E-4</v>
      </c>
      <c r="AI14" s="762">
        <f>$AC14*(IF(TYPE(INDEX($F14:$Y14,1,MATCH(AI$7,$F14:$Y14,0)+1))=1,INDEX($F14:$Y14,1,MATCH(AI$7,$F14:$Y14,0)+1),0))*VLOOKUP(AI$7,Reference!$B$7:$C$117,2,FALSE)/$AA14</f>
        <v>0</v>
      </c>
      <c r="AJ14" s="762">
        <f>$AC14*(IF(TYPE(INDEX($F14:$Y14,1,MATCH(AJ$7,$F14:$Y14,0)+1))=1,INDEX($F14:$Y14,1,MATCH(AJ$7,$F14:$Y14,0)+1),0))*VLOOKUP(AJ$7,Reference!$B$7:$C$117,2,FALSE)/$AA14</f>
        <v>0</v>
      </c>
      <c r="AK14" s="762">
        <f>$AC14*(IF(TYPE(INDEX($F14:$Y14,1,MATCH(AK$7,$F14:$Y14,0)+1))=1,INDEX($F14:$Y14,1,MATCH(AK$7,$F14:$Y14,0)+1),0))*VLOOKUP(AK$7,Reference!$B$7:$C$117,2,FALSE)/$AA14</f>
        <v>4.6191979993437957E-4</v>
      </c>
      <c r="AL14" s="762">
        <f>$AC14*(IF(TYPE(INDEX($F14:$Y14,1,MATCH(AL$7,$F14:$Y14,0)+1))=1,INDEX($F14:$Y14,1,MATCH(AL$7,$F14:$Y14,0)+1),0))*VLOOKUP(AL$7,Reference!$B$7:$C$117,2,FALSE)/$AA14</f>
        <v>0</v>
      </c>
      <c r="AM14" s="762">
        <f>$AC14*(IF(TYPE(INDEX($F14:$Y14,1,MATCH(AM$7,$F14:$Y14,0)+1))=1,INDEX($F14:$Y14,1,MATCH(AM$7,$F14:$Y14,0)+1),0))*VLOOKUP(AM$7,Reference!$B$7:$C$117,2,FALSE)/$AA14</f>
        <v>0</v>
      </c>
      <c r="AN14" s="762">
        <f>$AC14*(IF(TYPE(INDEX($F14:$Y14,1,MATCH(AN$7,$F14:$Y14,0)+1))=1,INDEX($F14:$Y14,1,MATCH(AN$7,$F14:$Y14,0)+1),0))*VLOOKUP(AN$7,Reference!$B$7:$C$117,2,FALSE)/$AA14</f>
        <v>0</v>
      </c>
      <c r="AO14" s="762">
        <f>$AC14*(IF(TYPE(INDEX($F14:$Y14,1,MATCH(AO$7,$F14:$Y14,0)+1))=1,INDEX($F14:$Y14,1,MATCH(AO$7,$F14:$Y14,0)+1),0))*VLOOKUP(AO$7,Reference!$B$7:$C$117,2,FALSE)/$AA14</f>
        <v>0</v>
      </c>
      <c r="AP14" s="762">
        <f>$AC14*(IF(TYPE(INDEX($F14:$Y14,1,MATCH(AP$7,$F14:$Y14,0)+1))=1,INDEX($F14:$Y14,1,MATCH(AP$7,$F14:$Y14,0)+1),0))*VLOOKUP(AP$7,Reference!$B$7:$C$117,2,FALSE)/$AA14</f>
        <v>0</v>
      </c>
      <c r="AQ14" s="762">
        <f>$AC14*(IF(TYPE(INDEX($F14:$Y14,1,MATCH(AQ$7,$F14:$Y14,0)+1))=1,INDEX($F14:$Y14,1,MATCH(AQ$7,$F14:$Y14,0)+1),0))*VLOOKUP(AQ$7,Reference!$B$7:$C$117,2,FALSE)/$AA14</f>
        <v>0</v>
      </c>
      <c r="AR14" s="762">
        <f>$AC14*(IF(TYPE(INDEX($F14:$Y14,1,MATCH(AR$7,$F14:$Y14,0)+1))=1,INDEX($F14:$Y14,1,MATCH(AR$7,$F14:$Y14,0)+1),0))*VLOOKUP(AR$7,Reference!$B$7:$C$117,2,FALSE)/$AA14</f>
        <v>0</v>
      </c>
      <c r="AS14" s="762">
        <f>$AC14*(IF(TYPE(INDEX($F14:$Y14,1,MATCH(AS$7,$F14:$Y14,0)+1))=1,INDEX($F14:$Y14,1,MATCH(AS$7,$F14:$Y14,0)+1),0))*VLOOKUP(AS$7,Reference!$B$7:$C$117,2,FALSE)/$AA14</f>
        <v>0</v>
      </c>
      <c r="AT14" s="6"/>
      <c r="AU14" s="6"/>
      <c r="AV14" s="6"/>
    </row>
    <row r="15" spans="1:48" x14ac:dyDescent="0.25">
      <c r="A15" s="325">
        <f t="shared" si="0"/>
        <v>5</v>
      </c>
      <c r="B15" s="321">
        <v>1</v>
      </c>
      <c r="C15" s="321" t="str">
        <f>VLOOKUP(B15,Streams!$A$17:$C$937,3,FALSE)</f>
        <v>solid</v>
      </c>
      <c r="D15" s="18" t="s">
        <v>129</v>
      </c>
      <c r="E15" s="488">
        <f>'Material Balance'!M9</f>
        <v>2.000000000000002E-4</v>
      </c>
      <c r="F15" s="321" t="s">
        <v>75</v>
      </c>
      <c r="G15" s="321">
        <v>2</v>
      </c>
      <c r="H15" s="321" t="s">
        <v>66</v>
      </c>
      <c r="I15" s="321">
        <v>5</v>
      </c>
      <c r="J15" s="321"/>
      <c r="K15" s="321"/>
      <c r="L15" s="321"/>
      <c r="M15" s="321"/>
      <c r="N15" s="321"/>
      <c r="O15" s="321"/>
      <c r="P15" s="321"/>
      <c r="Q15" s="321"/>
      <c r="R15" s="321"/>
      <c r="S15" s="321"/>
      <c r="T15" s="321"/>
      <c r="U15" s="321"/>
      <c r="V15" s="321"/>
      <c r="W15" s="321"/>
      <c r="X15" s="321"/>
      <c r="Y15" s="321"/>
      <c r="Z15" s="18" t="str">
        <f t="shared" ref="Z15" si="9">F15&amp;IF(G15=1,"",G15)&amp;H15&amp;IF(I15=1,"",I15)&amp;J15&amp;IF(K15=1,"",K15)&amp;L15&amp;IF(M15=1,"",M15)&amp;N15&amp;IF(O15=1,"",O15)&amp;P15&amp;IF(Q15=1,"",Q15)&amp;R15&amp;IF(S15=1,"",S15)&amp;T15&amp;IF(U15=1,"",U15)&amp;V15&amp;IF(W15=1,"",W15)&amp;X15&amp;IF(Y15=1,"",Y15)</f>
        <v>P2O5</v>
      </c>
      <c r="AA15" s="18">
        <f>IF(COUNTBLANK(F15)=0,VLOOKUP(F15,Reference!$B$5:$C$115,2,FALSE)*G15,0)+IF(COUNTBLANK(H15)=0,VLOOKUP(H15,Reference!$B$5:$C$115,2,FALSE)*I15,0)+IF(COUNTBLANK(J15)=0,VLOOKUP(J15,Reference!$B$5:$C$115,2,FALSE)*K15,0)+IF(COUNTBLANK(L15)=0,VLOOKUP(L15,Reference!$B$5:$C$115,2,FALSE)*M15,0)+IF(COUNTBLANK(N15)=0,VLOOKUP(N15,Reference!$B$5:$C$115,2,FALSE)*O15,0)+IF(COUNTBLANK(P15)=0,VLOOKUP(P15,Reference!$B$5:$C$115,2,FALSE)*Q15,0)+IF(COUNTBLANK(R15)=0,VLOOKUP(R15,Reference!$B$5:$C$115,2,FALSE)*S15,0)+IF(COUNTBLANK(T15)=0,VLOOKUP(T15,Reference!$B$5:$C$115,2,FALSE)*U15,0)+IF(COUNTBLANK(V15)=0,VLOOKUP(V15,Reference!$B$5:$C$115,2,FALSE)*W15,0)+IF(COUNTBLANK(X15)=0,VLOOKUP(X15,Reference!$B$5:$C$115,2,FALSE)*Y15,0)</f>
        <v>141.94460000000001</v>
      </c>
      <c r="AB15" s="321">
        <f>VLOOKUP(B15,Streams!$A$17:$E$939,5,FALSE)</f>
        <v>2.1544040278823093</v>
      </c>
      <c r="AC15" s="321">
        <f t="shared" ref="AC15" si="10">E15*AB15</f>
        <v>4.3088080557646228E-4</v>
      </c>
      <c r="AD15" s="495" t="e">
        <f>VLOOKUP(Z15,Reference!O27:P40,2,FALSE)</f>
        <v>#N/A</v>
      </c>
      <c r="AE15" s="326" t="e">
        <f t="shared" ref="AE15" si="11">AD15*AC15</f>
        <v>#N/A</v>
      </c>
      <c r="AG15" s="762">
        <f>$AC15*(IF(TYPE(INDEX($F15:$Y15,1,MATCH(AG$7,$F15:$Y15,0)+1))=1,INDEX($F15:$Y15,1,MATCH(AG$7,$F15:$Y15,0)+1),0))*VLOOKUP(AG$7,Reference!$B$7:$C$117,2,FALSE)/$AA15</f>
        <v>0</v>
      </c>
      <c r="AH15" s="762">
        <f>$AC15*(IF(TYPE(INDEX($F15:$Y15,1,MATCH(AH$7,$F15:$Y15,0)+1))=1,INDEX($F15:$Y15,1,MATCH(AH$7,$F15:$Y15,0)+1),0))*VLOOKUP(AH$7,Reference!$B$7:$C$117,2,FALSE)/$AA15</f>
        <v>2.4283538650783651E-4</v>
      </c>
      <c r="AI15" s="762">
        <f>$AC15*(IF(TYPE(INDEX($F15:$Y15,1,MATCH(AI$7,$F15:$Y15,0)+1))=1,INDEX($F15:$Y15,1,MATCH(AI$7,$F15:$Y15,0)+1),0))*VLOOKUP(AI$7,Reference!$B$7:$C$117,2,FALSE)/$AA15</f>
        <v>0</v>
      </c>
      <c r="AJ15" s="762">
        <f>$AC15*(IF(TYPE(INDEX($F15:$Y15,1,MATCH(AJ$7,$F15:$Y15,0)+1))=1,INDEX($F15:$Y15,1,MATCH(AJ$7,$F15:$Y15,0)+1),0))*VLOOKUP(AJ$7,Reference!$B$7:$C$117,2,FALSE)/$AA15</f>
        <v>0</v>
      </c>
      <c r="AK15" s="762">
        <f>$AC15*(IF(TYPE(INDEX($F15:$Y15,1,MATCH(AK$7,$F15:$Y15,0)+1))=1,INDEX($F15:$Y15,1,MATCH(AK$7,$F15:$Y15,0)+1),0))*VLOOKUP(AK$7,Reference!$B$7:$C$117,2,FALSE)/$AA15</f>
        <v>0</v>
      </c>
      <c r="AL15" s="762">
        <f>$AC15*(IF(TYPE(INDEX($F15:$Y15,1,MATCH(AL$7,$F15:$Y15,0)+1))=1,INDEX($F15:$Y15,1,MATCH(AL$7,$F15:$Y15,0)+1),0))*VLOOKUP(AL$7,Reference!$B$7:$C$117,2,FALSE)/$AA15</f>
        <v>0</v>
      </c>
      <c r="AM15" s="762">
        <f>$AC15*(IF(TYPE(INDEX($F15:$Y15,1,MATCH(AM$7,$F15:$Y15,0)+1))=1,INDEX($F15:$Y15,1,MATCH(AM$7,$F15:$Y15,0)+1),0))*VLOOKUP(AM$7,Reference!$B$7:$C$117,2,FALSE)/$AA15</f>
        <v>0</v>
      </c>
      <c r="AN15" s="762">
        <f>$AC15*(IF(TYPE(INDEX($F15:$Y15,1,MATCH(AN$7,$F15:$Y15,0)+1))=1,INDEX($F15:$Y15,1,MATCH(AN$7,$F15:$Y15,0)+1),0))*VLOOKUP(AN$7,Reference!$B$7:$C$117,2,FALSE)/$AA15</f>
        <v>0</v>
      </c>
      <c r="AO15" s="762">
        <f>$AC15*(IF(TYPE(INDEX($F15:$Y15,1,MATCH(AO$7,$F15:$Y15,0)+1))=1,INDEX($F15:$Y15,1,MATCH(AO$7,$F15:$Y15,0)+1),0))*VLOOKUP(AO$7,Reference!$B$7:$C$117,2,FALSE)/$AA15</f>
        <v>0</v>
      </c>
      <c r="AP15" s="762">
        <f>$AC15*(IF(TYPE(INDEX($F15:$Y15,1,MATCH(AP$7,$F15:$Y15,0)+1))=1,INDEX($F15:$Y15,1,MATCH(AP$7,$F15:$Y15,0)+1),0))*VLOOKUP(AP$7,Reference!$B$7:$C$117,2,FALSE)/$AA15</f>
        <v>0</v>
      </c>
      <c r="AQ15" s="762">
        <f>$AC15*(IF(TYPE(INDEX($F15:$Y15,1,MATCH(AQ$7,$F15:$Y15,0)+1))=1,INDEX($F15:$Y15,1,MATCH(AQ$7,$F15:$Y15,0)+1),0))*VLOOKUP(AQ$7,Reference!$B$7:$C$117,2,FALSE)/$AA15</f>
        <v>0</v>
      </c>
      <c r="AR15" s="762">
        <f>$AC15*(IF(TYPE(INDEX($F15:$Y15,1,MATCH(AR$7,$F15:$Y15,0)+1))=1,INDEX($F15:$Y15,1,MATCH(AR$7,$F15:$Y15,0)+1),0))*VLOOKUP(AR$7,Reference!$B$7:$C$117,2,FALSE)/$AA15</f>
        <v>0</v>
      </c>
      <c r="AS15" s="762">
        <f>$AC15*(IF(TYPE(INDEX($F15:$Y15,1,MATCH(AS$7,$F15:$Y15,0)+1))=1,INDEX($F15:$Y15,1,MATCH(AS$7,$F15:$Y15,0)+1),0))*VLOOKUP(AS$7,Reference!$B$7:$C$117,2,FALSE)/$AA15</f>
        <v>1.8804541906862574E-4</v>
      </c>
      <c r="AT15" s="6"/>
      <c r="AU15" s="6"/>
      <c r="AV15" s="6"/>
    </row>
    <row r="16" spans="1:48" x14ac:dyDescent="0.25">
      <c r="A16" s="325">
        <f t="shared" si="0"/>
        <v>6</v>
      </c>
      <c r="B16" s="321">
        <v>1</v>
      </c>
      <c r="C16" s="321" t="str">
        <f>VLOOKUP(B16,Streams!$A$17:$C$937,3,FALSE)</f>
        <v>solid</v>
      </c>
      <c r="D16" s="18" t="s">
        <v>130</v>
      </c>
      <c r="E16" s="488">
        <f>'Material Balance'!M10</f>
        <v>1.000000000000001E-4</v>
      </c>
      <c r="F16" s="321" t="s">
        <v>74</v>
      </c>
      <c r="G16" s="321">
        <v>1</v>
      </c>
      <c r="H16" s="321" t="s">
        <v>66</v>
      </c>
      <c r="I16" s="321">
        <v>2</v>
      </c>
      <c r="J16" s="321"/>
      <c r="K16" s="321"/>
      <c r="L16" s="321"/>
      <c r="M16" s="321"/>
      <c r="N16" s="321"/>
      <c r="O16" s="321"/>
      <c r="P16" s="321"/>
      <c r="Q16" s="321"/>
      <c r="R16" s="321"/>
      <c r="S16" s="321"/>
      <c r="T16" s="321"/>
      <c r="U16" s="321"/>
      <c r="V16" s="321"/>
      <c r="W16" s="321"/>
      <c r="X16" s="321"/>
      <c r="Y16" s="321"/>
      <c r="Z16" s="18" t="str">
        <f t="shared" ref="Z16" si="12">F16&amp;IF(G16=1,"",G16)&amp;H16&amp;IF(I16=1,"",I16)&amp;J16&amp;IF(K16=1,"",K16)&amp;L16&amp;IF(M16=1,"",M16)&amp;N16&amp;IF(O16=1,"",O16)&amp;P16&amp;IF(Q16=1,"",Q16)&amp;R16&amp;IF(S16=1,"",S16)&amp;T16&amp;IF(U16=1,"",U16)&amp;V16&amp;IF(W16=1,"",W16)&amp;X16&amp;IF(Y16=1,"",Y16)</f>
        <v>TiO2</v>
      </c>
      <c r="AA16" s="18">
        <f>IF(COUNTBLANK(F16)=0,VLOOKUP(F16,Reference!$B$5:$C$115,2,FALSE)*G16,0)+IF(COUNTBLANK(H16)=0,VLOOKUP(H16,Reference!$B$5:$C$115,2,FALSE)*I16,0)+IF(COUNTBLANK(J16)=0,VLOOKUP(J16,Reference!$B$5:$C$115,2,FALSE)*K16,0)+IF(COUNTBLANK(L16)=0,VLOOKUP(L16,Reference!$B$5:$C$115,2,FALSE)*M16,0)+IF(COUNTBLANK(N16)=0,VLOOKUP(N16,Reference!$B$5:$C$115,2,FALSE)*O16,0)+IF(COUNTBLANK(P16)=0,VLOOKUP(P16,Reference!$B$5:$C$115,2,FALSE)*Q16,0)+IF(COUNTBLANK(R16)=0,VLOOKUP(R16,Reference!$B$5:$C$115,2,FALSE)*S16,0)+IF(COUNTBLANK(T16)=0,VLOOKUP(T16,Reference!$B$5:$C$115,2,FALSE)*U16,0)+IF(COUNTBLANK(V16)=0,VLOOKUP(V16,Reference!$B$5:$C$115,2,FALSE)*W16,0)+IF(COUNTBLANK(X16)=0,VLOOKUP(X16,Reference!$B$5:$C$115,2,FALSE)*Y16,0)</f>
        <v>79.874799999999993</v>
      </c>
      <c r="AB16" s="321">
        <f>VLOOKUP(B16,Streams!$A$17:$E$939,5,FALSE)</f>
        <v>2.1544040278823093</v>
      </c>
      <c r="AC16" s="321">
        <f t="shared" ref="AC16" si="13">E16*AB16</f>
        <v>2.1544040278823114E-4</v>
      </c>
      <c r="AD16" s="495" t="e">
        <f>VLOOKUP(Z16,Reference!O27:P40,2,FALSE)</f>
        <v>#N/A</v>
      </c>
      <c r="AE16" s="326" t="e">
        <f t="shared" ref="AE16" si="14">AD16*AC16</f>
        <v>#N/A</v>
      </c>
      <c r="AG16" s="762">
        <f>$AC16*(IF(TYPE(INDEX($F16:$Y16,1,MATCH(AG$7,$F16:$Y16,0)+1))=1,INDEX($F16:$Y16,1,MATCH(AG$7,$F16:$Y16,0)+1),0))*VLOOKUP(AG$7,Reference!$B$7:$C$117,2,FALSE)/$AA16</f>
        <v>0</v>
      </c>
      <c r="AH16" s="762">
        <f>$AC16*(IF(TYPE(INDEX($F16:$Y16,1,MATCH(AH$7,$F16:$Y16,0)+1))=1,INDEX($F16:$Y16,1,MATCH(AH$7,$F16:$Y16,0)+1),0))*VLOOKUP(AH$7,Reference!$B$7:$C$117,2,FALSE)/$AA16</f>
        <v>8.6308001531647667E-5</v>
      </c>
      <c r="AI16" s="762">
        <f>$AC16*(IF(TYPE(INDEX($F16:$Y16,1,MATCH(AI$7,$F16:$Y16,0)+1))=1,INDEX($F16:$Y16,1,MATCH(AI$7,$F16:$Y16,0)+1),0))*VLOOKUP(AI$7,Reference!$B$7:$C$117,2,FALSE)/$AA16</f>
        <v>0</v>
      </c>
      <c r="AJ16" s="762">
        <f>$AC16*(IF(TYPE(INDEX($F16:$Y16,1,MATCH(AJ$7,$F16:$Y16,0)+1))=1,INDEX($F16:$Y16,1,MATCH(AJ$7,$F16:$Y16,0)+1),0))*VLOOKUP(AJ$7,Reference!$B$7:$C$117,2,FALSE)/$AA16</f>
        <v>0</v>
      </c>
      <c r="AK16" s="762">
        <f>$AC16*(IF(TYPE(INDEX($F16:$Y16,1,MATCH(AK$7,$F16:$Y16,0)+1))=1,INDEX($F16:$Y16,1,MATCH(AK$7,$F16:$Y16,0)+1),0))*VLOOKUP(AK$7,Reference!$B$7:$C$117,2,FALSE)/$AA16</f>
        <v>0</v>
      </c>
      <c r="AL16" s="762">
        <f>$AC16*(IF(TYPE(INDEX($F16:$Y16,1,MATCH(AL$7,$F16:$Y16,0)+1))=1,INDEX($F16:$Y16,1,MATCH(AL$7,$F16:$Y16,0)+1),0))*VLOOKUP(AL$7,Reference!$B$7:$C$117,2,FALSE)/$AA16</f>
        <v>0</v>
      </c>
      <c r="AM16" s="762">
        <f>$AC16*(IF(TYPE(INDEX($F16:$Y16,1,MATCH(AM$7,$F16:$Y16,0)+1))=1,INDEX($F16:$Y16,1,MATCH(AM$7,$F16:$Y16,0)+1),0))*VLOOKUP(AM$7,Reference!$B$7:$C$117,2,FALSE)/$AA16</f>
        <v>0</v>
      </c>
      <c r="AN16" s="762">
        <f>$AC16*(IF(TYPE(INDEX($F16:$Y16,1,MATCH(AN$7,$F16:$Y16,0)+1))=1,INDEX($F16:$Y16,1,MATCH(AN$7,$F16:$Y16,0)+1),0))*VLOOKUP(AN$7,Reference!$B$7:$C$117,2,FALSE)/$AA16</f>
        <v>0</v>
      </c>
      <c r="AO16" s="762">
        <f>$AC16*(IF(TYPE(INDEX($F16:$Y16,1,MATCH(AO$7,$F16:$Y16,0)+1))=1,INDEX($F16:$Y16,1,MATCH(AO$7,$F16:$Y16,0)+1),0))*VLOOKUP(AO$7,Reference!$B$7:$C$117,2,FALSE)/$AA16</f>
        <v>0</v>
      </c>
      <c r="AP16" s="762">
        <f>$AC16*(IF(TYPE(INDEX($F16:$Y16,1,MATCH(AP$7,$F16:$Y16,0)+1))=1,INDEX($F16:$Y16,1,MATCH(AP$7,$F16:$Y16,0)+1),0))*VLOOKUP(AP$7,Reference!$B$7:$C$117,2,FALSE)/$AA16</f>
        <v>0</v>
      </c>
      <c r="AQ16" s="762">
        <f>$AC16*(IF(TYPE(INDEX($F16:$Y16,1,MATCH(AQ$7,$F16:$Y16,0)+1))=1,INDEX($F16:$Y16,1,MATCH(AQ$7,$F16:$Y16,0)+1),0))*VLOOKUP(AQ$7,Reference!$B$7:$C$117,2,FALSE)/$AA16</f>
        <v>0</v>
      </c>
      <c r="AR16" s="762">
        <f>$AC16*(IF(TYPE(INDEX($F16:$Y16,1,MATCH(AR$7,$F16:$Y16,0)+1))=1,INDEX($F16:$Y16,1,MATCH(AR$7,$F16:$Y16,0)+1),0))*VLOOKUP(AR$7,Reference!$B$7:$C$117,2,FALSE)/$AA16</f>
        <v>1.291324012565835E-4</v>
      </c>
      <c r="AS16" s="762">
        <f>$AC16*(IF(TYPE(INDEX($F16:$Y16,1,MATCH(AS$7,$F16:$Y16,0)+1))=1,INDEX($F16:$Y16,1,MATCH(AS$7,$F16:$Y16,0)+1),0))*VLOOKUP(AS$7,Reference!$B$7:$C$117,2,FALSE)/$AA16</f>
        <v>0</v>
      </c>
      <c r="AT16" s="6"/>
      <c r="AU16" s="6"/>
      <c r="AV16" s="6"/>
    </row>
    <row r="17" spans="1:48" x14ac:dyDescent="0.25">
      <c r="A17" s="325">
        <f t="shared" si="0"/>
        <v>7</v>
      </c>
      <c r="B17" s="321">
        <v>1</v>
      </c>
      <c r="C17" s="321" t="str">
        <f>VLOOKUP(B17,Streams!$A$17:$C$937,3,FALSE)</f>
        <v>solid</v>
      </c>
      <c r="D17" s="18" t="s">
        <v>131</v>
      </c>
      <c r="E17" s="489">
        <f>'Material Balance'!M11</f>
        <v>6.0000000000000049E-5</v>
      </c>
      <c r="F17" s="321" t="s">
        <v>73</v>
      </c>
      <c r="G17" s="321">
        <v>2</v>
      </c>
      <c r="H17" s="321" t="s">
        <v>66</v>
      </c>
      <c r="I17" s="321">
        <v>1</v>
      </c>
      <c r="J17" s="321"/>
      <c r="K17" s="321"/>
      <c r="L17" s="321"/>
      <c r="M17" s="321"/>
      <c r="N17" s="321"/>
      <c r="O17" s="321"/>
      <c r="P17" s="321"/>
      <c r="Q17" s="321"/>
      <c r="R17" s="321"/>
      <c r="S17" s="321"/>
      <c r="T17" s="321"/>
      <c r="U17" s="321"/>
      <c r="V17" s="321"/>
      <c r="W17" s="321"/>
      <c r="X17" s="321"/>
      <c r="Y17" s="321"/>
      <c r="Z17" s="18" t="str">
        <f t="shared" ref="Z17" si="15">F17&amp;IF(G17=1,"",G17)&amp;H17&amp;IF(I17=1,"",I17)&amp;J17&amp;IF(K17=1,"",K17)&amp;L17&amp;IF(M17=1,"",M17)&amp;N17&amp;IF(O17=1,"",O17)&amp;P17&amp;IF(Q17=1,"",Q17)&amp;R17&amp;IF(S17=1,"",S17)&amp;T17&amp;IF(U17=1,"",U17)&amp;V17&amp;IF(W17=1,"",W17)&amp;X17&amp;IF(Y17=1,"",Y17)</f>
        <v>Na2O</v>
      </c>
      <c r="AA17" s="18">
        <f>IF(COUNTBLANK(F17)=0,VLOOKUP(F17,Reference!$B$5:$C$115,2,FALSE)*G17,0)+IF(COUNTBLANK(H17)=0,VLOOKUP(H17,Reference!$B$5:$C$115,2,FALSE)*I17,0)+IF(COUNTBLANK(J17)=0,VLOOKUP(J17,Reference!$B$5:$C$115,2,FALSE)*K17,0)+IF(COUNTBLANK(L17)=0,VLOOKUP(L17,Reference!$B$5:$C$115,2,FALSE)*M17,0)+IF(COUNTBLANK(N17)=0,VLOOKUP(N17,Reference!$B$5:$C$115,2,FALSE)*O17,0)+IF(COUNTBLANK(P17)=0,VLOOKUP(P17,Reference!$B$5:$C$115,2,FALSE)*Q17,0)+IF(COUNTBLANK(R17)=0,VLOOKUP(R17,Reference!$B$5:$C$115,2,FALSE)*S17,0)+IF(COUNTBLANK(T17)=0,VLOOKUP(T17,Reference!$B$5:$C$115,2,FALSE)*U17,0)+IF(COUNTBLANK(V17)=0,VLOOKUP(V17,Reference!$B$5:$C$115,2,FALSE)*W17,0)+IF(COUNTBLANK(X17)=0,VLOOKUP(X17,Reference!$B$5:$C$115,2,FALSE)*Y17,0)</f>
        <v>61.9788</v>
      </c>
      <c r="AB17" s="321">
        <f>VLOOKUP(B17,Streams!$A$17:$E$939,5,FALSE)</f>
        <v>2.1544040278823093</v>
      </c>
      <c r="AC17" s="321">
        <f t="shared" ref="AC17" si="16">E17*AB17</f>
        <v>1.2926424167293866E-4</v>
      </c>
      <c r="AD17" s="495" t="e">
        <f>VLOOKUP(Z17,Reference!O27:P40,2,FALSE)</f>
        <v>#N/A</v>
      </c>
      <c r="AE17" s="326" t="e">
        <f t="shared" ref="AE17" si="17">AD17*AC17</f>
        <v>#N/A</v>
      </c>
      <c r="AG17" s="762">
        <f>$AC17*(IF(TYPE(INDEX($F17:$Y17,1,MATCH(AG$7,$F17:$Y17,0)+1))=1,INDEX($F17:$Y17,1,MATCH(AG$7,$F17:$Y17,0)+1),0))*VLOOKUP(AG$7,Reference!$B$7:$C$117,2,FALSE)/$AA17</f>
        <v>0</v>
      </c>
      <c r="AH17" s="762">
        <f>$AC17*(IF(TYPE(INDEX($F17:$Y17,1,MATCH(AH$7,$F17:$Y17,0)+1))=1,INDEX($F17:$Y17,1,MATCH(AH$7,$F17:$Y17,0)+1),0))*VLOOKUP(AH$7,Reference!$B$7:$C$117,2,FALSE)/$AA17</f>
        <v>3.3368672969176794E-5</v>
      </c>
      <c r="AI17" s="762">
        <f>$AC17*(IF(TYPE(INDEX($F17:$Y17,1,MATCH(AI$7,$F17:$Y17,0)+1))=1,INDEX($F17:$Y17,1,MATCH(AI$7,$F17:$Y17,0)+1),0))*VLOOKUP(AI$7,Reference!$B$7:$C$117,2,FALSE)/$AA17</f>
        <v>0</v>
      </c>
      <c r="AJ17" s="762">
        <f>$AC17*(IF(TYPE(INDEX($F17:$Y17,1,MATCH(AJ$7,$F17:$Y17,0)+1))=1,INDEX($F17:$Y17,1,MATCH(AJ$7,$F17:$Y17,0)+1),0))*VLOOKUP(AJ$7,Reference!$B$7:$C$117,2,FALSE)/$AA17</f>
        <v>0</v>
      </c>
      <c r="AK17" s="762">
        <f>$AC17*(IF(TYPE(INDEX($F17:$Y17,1,MATCH(AK$7,$F17:$Y17,0)+1))=1,INDEX($F17:$Y17,1,MATCH(AK$7,$F17:$Y17,0)+1),0))*VLOOKUP(AK$7,Reference!$B$7:$C$117,2,FALSE)/$AA17</f>
        <v>0</v>
      </c>
      <c r="AL17" s="762">
        <f>$AC17*(IF(TYPE(INDEX($F17:$Y17,1,MATCH(AL$7,$F17:$Y17,0)+1))=1,INDEX($F17:$Y17,1,MATCH(AL$7,$F17:$Y17,0)+1),0))*VLOOKUP(AL$7,Reference!$B$7:$C$117,2,FALSE)/$AA17</f>
        <v>0</v>
      </c>
      <c r="AM17" s="762">
        <f>$AC17*(IF(TYPE(INDEX($F17:$Y17,1,MATCH(AM$7,$F17:$Y17,0)+1))=1,INDEX($F17:$Y17,1,MATCH(AM$7,$F17:$Y17,0)+1),0))*VLOOKUP(AM$7,Reference!$B$7:$C$117,2,FALSE)/$AA17</f>
        <v>0</v>
      </c>
      <c r="AN17" s="762">
        <f>$AC17*(IF(TYPE(INDEX($F17:$Y17,1,MATCH(AN$7,$F17:$Y17,0)+1))=1,INDEX($F17:$Y17,1,MATCH(AN$7,$F17:$Y17,0)+1),0))*VLOOKUP(AN$7,Reference!$B$7:$C$117,2,FALSE)/$AA17</f>
        <v>0</v>
      </c>
      <c r="AO17" s="762">
        <f>$AC17*(IF(TYPE(INDEX($F17:$Y17,1,MATCH(AO$7,$F17:$Y17,0)+1))=1,INDEX($F17:$Y17,1,MATCH(AO$7,$F17:$Y17,0)+1),0))*VLOOKUP(AO$7,Reference!$B$7:$C$117,2,FALSE)/$AA17</f>
        <v>0</v>
      </c>
      <c r="AP17" s="762">
        <f>$AC17*(IF(TYPE(INDEX($F17:$Y17,1,MATCH(AP$7,$F17:$Y17,0)+1))=1,INDEX($F17:$Y17,1,MATCH(AP$7,$F17:$Y17,0)+1),0))*VLOOKUP(AP$7,Reference!$B$7:$C$117,2,FALSE)/$AA17</f>
        <v>0</v>
      </c>
      <c r="AQ17" s="762">
        <f>$AC17*(IF(TYPE(INDEX($F17:$Y17,1,MATCH(AQ$7,$F17:$Y17,0)+1))=1,INDEX($F17:$Y17,1,MATCH(AQ$7,$F17:$Y17,0)+1),0))*VLOOKUP(AQ$7,Reference!$B$7:$C$117,2,FALSE)/$AA17</f>
        <v>9.5895568703761861E-5</v>
      </c>
      <c r="AR17" s="762">
        <f>$AC17*(IF(TYPE(INDEX($F17:$Y17,1,MATCH(AR$7,$F17:$Y17,0)+1))=1,INDEX($F17:$Y17,1,MATCH(AR$7,$F17:$Y17,0)+1),0))*VLOOKUP(AR$7,Reference!$B$7:$C$117,2,FALSE)/$AA17</f>
        <v>0</v>
      </c>
      <c r="AS17" s="762">
        <f>$AC17*(IF(TYPE(INDEX($F17:$Y17,1,MATCH(AS$7,$F17:$Y17,0)+1))=1,INDEX($F17:$Y17,1,MATCH(AS$7,$F17:$Y17,0)+1),0))*VLOOKUP(AS$7,Reference!$B$7:$C$117,2,FALSE)/$AA17</f>
        <v>0</v>
      </c>
      <c r="AT17" s="6"/>
      <c r="AU17" s="6"/>
      <c r="AV17" s="6"/>
    </row>
    <row r="18" spans="1:48" x14ac:dyDescent="0.25">
      <c r="A18" s="325">
        <f t="shared" si="0"/>
        <v>8</v>
      </c>
      <c r="B18" s="321">
        <v>1</v>
      </c>
      <c r="C18" s="321" t="str">
        <f>VLOOKUP(B18,Streams!$A$17:$C$937,3,FALSE)</f>
        <v>solid</v>
      </c>
      <c r="D18" s="18" t="s">
        <v>132</v>
      </c>
      <c r="E18" s="489">
        <f>'Material Balance'!M12</f>
        <v>3.0000000000000024E-5</v>
      </c>
      <c r="F18" s="321" t="s">
        <v>72</v>
      </c>
      <c r="G18" s="321">
        <v>1</v>
      </c>
      <c r="H18" s="321" t="s">
        <v>66</v>
      </c>
      <c r="I18" s="321">
        <v>2</v>
      </c>
      <c r="J18" s="321"/>
      <c r="K18" s="321"/>
      <c r="L18" s="321"/>
      <c r="M18" s="321"/>
      <c r="N18" s="321"/>
      <c r="O18" s="321"/>
      <c r="P18" s="321"/>
      <c r="Q18" s="321"/>
      <c r="R18" s="321"/>
      <c r="S18" s="321"/>
      <c r="T18" s="321"/>
      <c r="U18" s="321"/>
      <c r="V18" s="321"/>
      <c r="W18" s="321"/>
      <c r="X18" s="321"/>
      <c r="Y18" s="321"/>
      <c r="Z18" s="18" t="str">
        <f t="shared" ref="Z18" si="18">F18&amp;IF(G18=1,"",G18)&amp;H18&amp;IF(I18=1,"",I18)&amp;J18&amp;IF(K18=1,"",K18)&amp;L18&amp;IF(M18=1,"",M18)&amp;N18&amp;IF(O18=1,"",O18)&amp;P18&amp;IF(Q18=1,"",Q18)&amp;R18&amp;IF(S18=1,"",S18)&amp;T18&amp;IF(U18=1,"",U18)&amp;V18&amp;IF(W18=1,"",W18)&amp;X18&amp;IF(Y18=1,"",Y18)</f>
        <v>ZrO2</v>
      </c>
      <c r="AA18" s="18">
        <f>IF(COUNTBLANK(F18)=0,VLOOKUP(F18,Reference!$B$5:$C$115,2,FALSE)*G18,0)+IF(COUNTBLANK(H18)=0,VLOOKUP(H18,Reference!$B$5:$C$115,2,FALSE)*I18,0)+IF(COUNTBLANK(J18)=0,VLOOKUP(J18,Reference!$B$5:$C$115,2,FALSE)*K18,0)+IF(COUNTBLANK(L18)=0,VLOOKUP(L18,Reference!$B$5:$C$115,2,FALSE)*M18,0)+IF(COUNTBLANK(N18)=0,VLOOKUP(N18,Reference!$B$5:$C$115,2,FALSE)*O18,0)+IF(COUNTBLANK(P18)=0,VLOOKUP(P18,Reference!$B$5:$C$115,2,FALSE)*Q18,0)+IF(COUNTBLANK(R18)=0,VLOOKUP(R18,Reference!$B$5:$C$115,2,FALSE)*S18,0)+IF(COUNTBLANK(T18)=0,VLOOKUP(T18,Reference!$B$5:$C$115,2,FALSE)*U18,0)+IF(COUNTBLANK(V18)=0,VLOOKUP(V18,Reference!$B$5:$C$115,2,FALSE)*W18,0)+IF(COUNTBLANK(X18)=0,VLOOKUP(X18,Reference!$B$5:$C$115,2,FALSE)*Y18,0)</f>
        <v>123.22280000000001</v>
      </c>
      <c r="AB18" s="321">
        <f>VLOOKUP(B18,Streams!$A$17:$E$939,5,FALSE)</f>
        <v>2.1544040278823093</v>
      </c>
      <c r="AC18" s="321">
        <f t="shared" ref="AC18" si="19">E18*AB18</f>
        <v>6.463212083646933E-5</v>
      </c>
      <c r="AD18" s="495" t="e">
        <f>VLOOKUP(Z18,Reference!O27:P40,2,FALSE)</f>
        <v>#N/A</v>
      </c>
      <c r="AE18" s="326" t="e">
        <f t="shared" ref="AE18" si="20">AD18*AC18</f>
        <v>#N/A</v>
      </c>
      <c r="AG18" s="762">
        <f>$AC18*(IF(TYPE(INDEX($F18:$Y18,1,MATCH(AG$7,$F18:$Y18,0)+1))=1,INDEX($F18:$Y18,1,MATCH(AG$7,$F18:$Y18,0)+1),0))*VLOOKUP(AG$7,Reference!$B$7:$C$117,2,FALSE)/$AA18</f>
        <v>0</v>
      </c>
      <c r="AH18" s="762">
        <f>$AC18*(IF(TYPE(INDEX($F18:$Y18,1,MATCH(AH$7,$F18:$Y18,0)+1))=1,INDEX($F18:$Y18,1,MATCH(AH$7,$F18:$Y18,0)+1),0))*VLOOKUP(AH$7,Reference!$B$7:$C$117,2,FALSE)/$AA18</f>
        <v>1.6783828221903855E-5</v>
      </c>
      <c r="AI18" s="762">
        <f>$AC18*(IF(TYPE(INDEX($F18:$Y18,1,MATCH(AI$7,$F18:$Y18,0)+1))=1,INDEX($F18:$Y18,1,MATCH(AI$7,$F18:$Y18,0)+1),0))*VLOOKUP(AI$7,Reference!$B$7:$C$117,2,FALSE)/$AA18</f>
        <v>0</v>
      </c>
      <c r="AJ18" s="762">
        <f>$AC18*(IF(TYPE(INDEX($F18:$Y18,1,MATCH(AJ$7,$F18:$Y18,0)+1))=1,INDEX($F18:$Y18,1,MATCH(AJ$7,$F18:$Y18,0)+1),0))*VLOOKUP(AJ$7,Reference!$B$7:$C$117,2,FALSE)/$AA18</f>
        <v>0</v>
      </c>
      <c r="AK18" s="762">
        <f>$AC18*(IF(TYPE(INDEX($F18:$Y18,1,MATCH(AK$7,$F18:$Y18,0)+1))=1,INDEX($F18:$Y18,1,MATCH(AK$7,$F18:$Y18,0)+1),0))*VLOOKUP(AK$7,Reference!$B$7:$C$117,2,FALSE)/$AA18</f>
        <v>0</v>
      </c>
      <c r="AL18" s="762">
        <f>$AC18*(IF(TYPE(INDEX($F18:$Y18,1,MATCH(AL$7,$F18:$Y18,0)+1))=1,INDEX($F18:$Y18,1,MATCH(AL$7,$F18:$Y18,0)+1),0))*VLOOKUP(AL$7,Reference!$B$7:$C$117,2,FALSE)/$AA18</f>
        <v>0</v>
      </c>
      <c r="AM18" s="762">
        <f>$AC18*(IF(TYPE(INDEX($F18:$Y18,1,MATCH(AM$7,$F18:$Y18,0)+1))=1,INDEX($F18:$Y18,1,MATCH(AM$7,$F18:$Y18,0)+1),0))*VLOOKUP(AM$7,Reference!$B$7:$C$117,2,FALSE)/$AA18</f>
        <v>0</v>
      </c>
      <c r="AN18" s="762">
        <f>$AC18*(IF(TYPE(INDEX($F18:$Y18,1,MATCH(AN$7,$F18:$Y18,0)+1))=1,INDEX($F18:$Y18,1,MATCH(AN$7,$F18:$Y18,0)+1),0))*VLOOKUP(AN$7,Reference!$B$7:$C$117,2,FALSE)/$AA18</f>
        <v>0</v>
      </c>
      <c r="AO18" s="762">
        <f>$AC18*(IF(TYPE(INDEX($F18:$Y18,1,MATCH(AO$7,$F18:$Y18,0)+1))=1,INDEX($F18:$Y18,1,MATCH(AO$7,$F18:$Y18,0)+1),0))*VLOOKUP(AO$7,Reference!$B$7:$C$117,2,FALSE)/$AA18</f>
        <v>0</v>
      </c>
      <c r="AP18" s="762">
        <f>$AC18*(IF(TYPE(INDEX($F18:$Y18,1,MATCH(AP$7,$F18:$Y18,0)+1))=1,INDEX($F18:$Y18,1,MATCH(AP$7,$F18:$Y18,0)+1),0))*VLOOKUP(AP$7,Reference!$B$7:$C$117,2,FALSE)/$AA18</f>
        <v>4.7848292614565472E-5</v>
      </c>
      <c r="AQ18" s="762">
        <f>$AC18*(IF(TYPE(INDEX($F18:$Y18,1,MATCH(AQ$7,$F18:$Y18,0)+1))=1,INDEX($F18:$Y18,1,MATCH(AQ$7,$F18:$Y18,0)+1),0))*VLOOKUP(AQ$7,Reference!$B$7:$C$117,2,FALSE)/$AA18</f>
        <v>0</v>
      </c>
      <c r="AR18" s="762">
        <f>$AC18*(IF(TYPE(INDEX($F18:$Y18,1,MATCH(AR$7,$F18:$Y18,0)+1))=1,INDEX($F18:$Y18,1,MATCH(AR$7,$F18:$Y18,0)+1),0))*VLOOKUP(AR$7,Reference!$B$7:$C$117,2,FALSE)/$AA18</f>
        <v>0</v>
      </c>
      <c r="AS18" s="762">
        <f>$AC18*(IF(TYPE(INDEX($F18:$Y18,1,MATCH(AS$7,$F18:$Y18,0)+1))=1,INDEX($F18:$Y18,1,MATCH(AS$7,$F18:$Y18,0)+1),0))*VLOOKUP(AS$7,Reference!$B$7:$C$117,2,FALSE)/$AA18</f>
        <v>0</v>
      </c>
      <c r="AT18" s="6"/>
      <c r="AU18" s="6"/>
      <c r="AV18" s="6"/>
    </row>
    <row r="19" spans="1:48" x14ac:dyDescent="0.25">
      <c r="A19" s="330">
        <f t="shared" si="0"/>
        <v>9</v>
      </c>
      <c r="B19" s="322">
        <v>1</v>
      </c>
      <c r="C19" s="322" t="str">
        <f>VLOOKUP(B19,Streams!$A$17:$C$937,3,FALSE)</f>
        <v>solid</v>
      </c>
      <c r="D19" s="11" t="s">
        <v>133</v>
      </c>
      <c r="E19" s="490">
        <f>'Material Balance'!M13</f>
        <v>1.0000000000000009E-5</v>
      </c>
      <c r="F19" s="322" t="s">
        <v>47</v>
      </c>
      <c r="G19" s="322">
        <v>2</v>
      </c>
      <c r="H19" s="322" t="s">
        <v>66</v>
      </c>
      <c r="I19" s="322">
        <v>3</v>
      </c>
      <c r="J19" s="322"/>
      <c r="K19" s="322"/>
      <c r="L19" s="322"/>
      <c r="M19" s="322"/>
      <c r="N19" s="322"/>
      <c r="O19" s="322"/>
      <c r="P19" s="322"/>
      <c r="Q19" s="322"/>
      <c r="R19" s="322"/>
      <c r="S19" s="322"/>
      <c r="T19" s="322"/>
      <c r="U19" s="322"/>
      <c r="V19" s="322"/>
      <c r="W19" s="322"/>
      <c r="X19" s="322"/>
      <c r="Y19" s="322"/>
      <c r="Z19" s="11" t="str">
        <f t="shared" ref="Z19" si="21">F19&amp;IF(G19=1,"",G19)&amp;H19&amp;IF(I19=1,"",I19)&amp;J19&amp;IF(K19=1,"",K19)&amp;L19&amp;IF(M19=1,"",M19)&amp;N19&amp;IF(O19=1,"",O19)&amp;P19&amp;IF(Q19=1,"",Q19)&amp;R19&amp;IF(S19=1,"",S19)&amp;T19&amp;IF(U19=1,"",U19)&amp;V19&amp;IF(W19=1,"",W19)&amp;X19&amp;IF(Y19=1,"",Y19)</f>
        <v>B2O3</v>
      </c>
      <c r="AA19" s="11">
        <f>IF(COUNTBLANK(F19)=0,VLOOKUP(F19,Reference!$B$5:$C$115,2,FALSE)*G19,0)+IF(COUNTBLANK(H19)=0,VLOOKUP(H19,Reference!$B$5:$C$115,2,FALSE)*I19,0)+IF(COUNTBLANK(J19)=0,VLOOKUP(J19,Reference!$B$5:$C$115,2,FALSE)*K19,0)+IF(COUNTBLANK(L19)=0,VLOOKUP(L19,Reference!$B$5:$C$115,2,FALSE)*M19,0)+IF(COUNTBLANK(N19)=0,VLOOKUP(N19,Reference!$B$5:$C$115,2,FALSE)*O19,0)+IF(COUNTBLANK(P19)=0,VLOOKUP(P19,Reference!$B$5:$C$115,2,FALSE)*Q19,0)+IF(COUNTBLANK(R19)=0,VLOOKUP(R19,Reference!$B$5:$C$115,2,FALSE)*S19,0)+IF(COUNTBLANK(T19)=0,VLOOKUP(T19,Reference!$B$5:$C$115,2,FALSE)*U19,0)+IF(COUNTBLANK(V19)=0,VLOOKUP(V19,Reference!$B$5:$C$115,2,FALSE)*W19,0)+IF(COUNTBLANK(X19)=0,VLOOKUP(X19,Reference!$B$5:$C$115,2,FALSE)*Y19,0)</f>
        <v>69.620199999999997</v>
      </c>
      <c r="AB19" s="322">
        <f>VLOOKUP(B19,Streams!$A$17:$E$939,5,FALSE)</f>
        <v>2.1544040278823093</v>
      </c>
      <c r="AC19" s="322">
        <f t="shared" ref="AC19" si="22">E19*AB19</f>
        <v>2.1544040278823112E-5</v>
      </c>
      <c r="AD19" s="496" t="e">
        <f>VLOOKUP(Z19,Reference!O27:P40,2,FALSE)</f>
        <v>#N/A</v>
      </c>
      <c r="AE19" s="331" t="e">
        <f t="shared" ref="AE19" si="23">AD19*AC19</f>
        <v>#N/A</v>
      </c>
      <c r="AG19" s="762">
        <f>$AC19*(IF(TYPE(INDEX($F19:$Y19,1,MATCH(AG$7,$F19:$Y19,0)+1))=1,INDEX($F19:$Y19,1,MATCH(AG$7,$F19:$Y19,0)+1),0))*VLOOKUP(AG$7,Reference!$B$7:$C$117,2,FALSE)/$AA19</f>
        <v>0</v>
      </c>
      <c r="AH19" s="762">
        <f>$AC19*(IF(TYPE(INDEX($F19:$Y19,1,MATCH(AH$7,$F19:$Y19,0)+1))=1,INDEX($F19:$Y19,1,MATCH(AH$7,$F19:$Y19,0)+1),0))*VLOOKUP(AH$7,Reference!$B$7:$C$117,2,FALSE)/$AA19</f>
        <v>1.4853090828682015E-5</v>
      </c>
      <c r="AI19" s="762">
        <f>$AC19*(IF(TYPE(INDEX($F19:$Y19,1,MATCH(AI$7,$F19:$Y19,0)+1))=1,INDEX($F19:$Y19,1,MATCH(AI$7,$F19:$Y19,0)+1),0))*VLOOKUP(AI$7,Reference!$B$7:$C$117,2,FALSE)/$AA19</f>
        <v>0</v>
      </c>
      <c r="AJ19" s="762">
        <f>$AC19*(IF(TYPE(INDEX($F19:$Y19,1,MATCH(AJ$7,$F19:$Y19,0)+1))=1,INDEX($F19:$Y19,1,MATCH(AJ$7,$F19:$Y19,0)+1),0))*VLOOKUP(AJ$7,Reference!$B$7:$C$117,2,FALSE)/$AA19</f>
        <v>0</v>
      </c>
      <c r="AK19" s="762">
        <f>$AC19*(IF(TYPE(INDEX($F19:$Y19,1,MATCH(AK$7,$F19:$Y19,0)+1))=1,INDEX($F19:$Y19,1,MATCH(AK$7,$F19:$Y19,0)+1),0))*VLOOKUP(AK$7,Reference!$B$7:$C$117,2,FALSE)/$AA19</f>
        <v>0</v>
      </c>
      <c r="AL19" s="762">
        <f>$AC19*(IF(TYPE(INDEX($F19:$Y19,1,MATCH(AL$7,$F19:$Y19,0)+1))=1,INDEX($F19:$Y19,1,MATCH(AL$7,$F19:$Y19,0)+1),0))*VLOOKUP(AL$7,Reference!$B$7:$C$117,2,FALSE)/$AA19</f>
        <v>0</v>
      </c>
      <c r="AM19" s="762">
        <f>$AC19*(IF(TYPE(INDEX($F19:$Y19,1,MATCH(AM$7,$F19:$Y19,0)+1))=1,INDEX($F19:$Y19,1,MATCH(AM$7,$F19:$Y19,0)+1),0))*VLOOKUP(AM$7,Reference!$B$7:$C$117,2,FALSE)/$AA19</f>
        <v>6.6909494501410998E-6</v>
      </c>
      <c r="AN19" s="762">
        <f>$AC19*(IF(TYPE(INDEX($F19:$Y19,1,MATCH(AN$7,$F19:$Y19,0)+1))=1,INDEX($F19:$Y19,1,MATCH(AN$7,$F19:$Y19,0)+1),0))*VLOOKUP(AN$7,Reference!$B$7:$C$117,2,FALSE)/$AA19</f>
        <v>0</v>
      </c>
      <c r="AO19" s="762">
        <f>$AC19*(IF(TYPE(INDEX($F19:$Y19,1,MATCH(AO$7,$F19:$Y19,0)+1))=1,INDEX($F19:$Y19,1,MATCH(AO$7,$F19:$Y19,0)+1),0))*VLOOKUP(AO$7,Reference!$B$7:$C$117,2,FALSE)/$AA19</f>
        <v>0</v>
      </c>
      <c r="AP19" s="762">
        <f>$AC19*(IF(TYPE(INDEX($F19:$Y19,1,MATCH(AP$7,$F19:$Y19,0)+1))=1,INDEX($F19:$Y19,1,MATCH(AP$7,$F19:$Y19,0)+1),0))*VLOOKUP(AP$7,Reference!$B$7:$C$117,2,FALSE)/$AA19</f>
        <v>0</v>
      </c>
      <c r="AQ19" s="762">
        <f>$AC19*(IF(TYPE(INDEX($F19:$Y19,1,MATCH(AQ$7,$F19:$Y19,0)+1))=1,INDEX($F19:$Y19,1,MATCH(AQ$7,$F19:$Y19,0)+1),0))*VLOOKUP(AQ$7,Reference!$B$7:$C$117,2,FALSE)/$AA19</f>
        <v>0</v>
      </c>
      <c r="AR19" s="762">
        <f>$AC19*(IF(TYPE(INDEX($F19:$Y19,1,MATCH(AR$7,$F19:$Y19,0)+1))=1,INDEX($F19:$Y19,1,MATCH(AR$7,$F19:$Y19,0)+1),0))*VLOOKUP(AR$7,Reference!$B$7:$C$117,2,FALSE)/$AA19</f>
        <v>0</v>
      </c>
      <c r="AS19" s="762">
        <f>$AC19*(IF(TYPE(INDEX($F19:$Y19,1,MATCH(AS$7,$F19:$Y19,0)+1))=1,INDEX($F19:$Y19,1,MATCH(AS$7,$F19:$Y19,0)+1),0))*VLOOKUP(AS$7,Reference!$B$7:$C$117,2,FALSE)/$AA19</f>
        <v>0</v>
      </c>
      <c r="AT19" s="6"/>
      <c r="AU19" s="6"/>
      <c r="AV19" s="6"/>
    </row>
    <row r="20" spans="1:48" x14ac:dyDescent="0.25">
      <c r="A20" s="332">
        <f t="shared" ref="A20:A31" si="24">IF(TYPE(A19)=2,1,1+A19)</f>
        <v>10</v>
      </c>
      <c r="B20" s="323">
        <v>6</v>
      </c>
      <c r="C20" s="323" t="str">
        <f>VLOOKUP(B20,Streams!$A$17:$C$937,3,FALSE)</f>
        <v>gas</v>
      </c>
      <c r="D20" s="324" t="s">
        <v>134</v>
      </c>
      <c r="E20" s="333">
        <f>100%</f>
        <v>1</v>
      </c>
      <c r="F20" s="323" t="s">
        <v>66</v>
      </c>
      <c r="G20" s="323">
        <v>2</v>
      </c>
      <c r="H20" s="323"/>
      <c r="I20" s="323"/>
      <c r="J20" s="323"/>
      <c r="K20" s="323"/>
      <c r="L20" s="323"/>
      <c r="M20" s="323"/>
      <c r="N20" s="323"/>
      <c r="O20" s="323"/>
      <c r="P20" s="323"/>
      <c r="Q20" s="323"/>
      <c r="R20" s="323"/>
      <c r="S20" s="323"/>
      <c r="T20" s="323"/>
      <c r="U20" s="323"/>
      <c r="V20" s="323"/>
      <c r="W20" s="323"/>
      <c r="X20" s="323"/>
      <c r="Y20" s="323"/>
      <c r="Z20" s="324" t="str">
        <f t="shared" ref="Z20" si="25">F20&amp;IF(G20=1,"",G20)&amp;H20&amp;IF(I20=1,"",I20)&amp;J20&amp;IF(K20=1,"",K20)&amp;L20&amp;IF(M20=1,"",M20)&amp;N20&amp;IF(O20=1,"",O20)&amp;P20&amp;IF(Q20=1,"",Q20)&amp;R20&amp;IF(S20=1,"",S20)&amp;T20&amp;IF(U20=1,"",U20)&amp;V20&amp;IF(W20=1,"",W20)&amp;X20&amp;IF(Y20=1,"",Y20)</f>
        <v>O2</v>
      </c>
      <c r="AA20" s="324">
        <f>IF(COUNTBLANK(F20)=0,VLOOKUP(F20,Reference!$B$5:$C$115,2,FALSE)*G20,0)+IF(COUNTBLANK(H20)=0,VLOOKUP(H20,Reference!$B$5:$C$115,2,FALSE)*I20,0)+IF(COUNTBLANK(J20)=0,VLOOKUP(J20,Reference!$B$5:$C$115,2,FALSE)*K20,0)+IF(COUNTBLANK(L20)=0,VLOOKUP(L20,Reference!$B$5:$C$115,2,FALSE)*M20,0)+IF(COUNTBLANK(N20)=0,VLOOKUP(N20,Reference!$B$5:$C$115,2,FALSE)*O20,0)+IF(COUNTBLANK(P20)=0,VLOOKUP(P20,Reference!$B$5:$C$115,2,FALSE)*Q20,0)+IF(COUNTBLANK(R20)=0,VLOOKUP(R20,Reference!$B$5:$C$115,2,FALSE)*S20,0)+IF(COUNTBLANK(T20)=0,VLOOKUP(T20,Reference!$B$5:$C$115,2,FALSE)*U20,0)+IF(COUNTBLANK(V20)=0,VLOOKUP(V20,Reference!$B$5:$C$115,2,FALSE)*W20,0)+IF(COUNTBLANK(X20)=0,VLOOKUP(X20,Reference!$B$5:$C$115,2,FALSE)*Y20,0)</f>
        <v>31.998799999999999</v>
      </c>
      <c r="AB20" s="527">
        <f>VLOOKUP(B20,Streams!$A$17:$E$939,5,FALSE)</f>
        <v>1.1393352255310267</v>
      </c>
      <c r="AC20" s="323">
        <f>E20*AB20</f>
        <v>1.1393352255310267</v>
      </c>
      <c r="AD20" s="496" t="e">
        <f>VLOOKUP(Z20,Reference!O27:P40,2,FALSE)</f>
        <v>#N/A</v>
      </c>
      <c r="AE20" s="334" t="e">
        <f t="shared" ref="AE20" si="26">AD20*AC20</f>
        <v>#N/A</v>
      </c>
      <c r="AG20" s="762">
        <f>$AC20*(IF(TYPE(INDEX($F20:$Y20,1,MATCH(AG$7,$F20:$Y20,0)+1))=1,INDEX($F20:$Y20,1,MATCH(AG$7,$F20:$Y20,0)+1),0))*VLOOKUP(AG$7,Reference!$B$7:$C$117,2,FALSE)/$AA20</f>
        <v>0</v>
      </c>
      <c r="AH20" s="762">
        <f>$AC20*(IF(TYPE(INDEX($F20:$Y20,1,MATCH(AH$7,$F20:$Y20,0)+1))=1,INDEX($F20:$Y20,1,MATCH(AH$7,$F20:$Y20,0)+1),0))*VLOOKUP(AH$7,Reference!$B$7:$C$117,2,FALSE)/$AA20</f>
        <v>1.1393352255310267</v>
      </c>
      <c r="AI20" s="762">
        <f>$AC20*(IF(TYPE(INDEX($F20:$Y20,1,MATCH(AI$7,$F20:$Y20,0)+1))=1,INDEX($F20:$Y20,1,MATCH(AI$7,$F20:$Y20,0)+1),0))*VLOOKUP(AI$7,Reference!$B$7:$C$117,2,FALSE)/$AA20</f>
        <v>0</v>
      </c>
      <c r="AJ20" s="762">
        <f>$AC20*(IF(TYPE(INDEX($F20:$Y20,1,MATCH(AJ$7,$F20:$Y20,0)+1))=1,INDEX($F20:$Y20,1,MATCH(AJ$7,$F20:$Y20,0)+1),0))*VLOOKUP(AJ$7,Reference!$B$7:$C$117,2,FALSE)/$AA20</f>
        <v>0</v>
      </c>
      <c r="AK20" s="762">
        <f>$AC20*(IF(TYPE(INDEX($F20:$Y20,1,MATCH(AK$7,$F20:$Y20,0)+1))=1,INDEX($F20:$Y20,1,MATCH(AK$7,$F20:$Y20,0)+1),0))*VLOOKUP(AK$7,Reference!$B$7:$C$117,2,FALSE)/$AA20</f>
        <v>0</v>
      </c>
      <c r="AL20" s="762">
        <f>$AC20*(IF(TYPE(INDEX($F20:$Y20,1,MATCH(AL$7,$F20:$Y20,0)+1))=1,INDEX($F20:$Y20,1,MATCH(AL$7,$F20:$Y20,0)+1),0))*VLOOKUP(AL$7,Reference!$B$7:$C$117,2,FALSE)/$AA20</f>
        <v>0</v>
      </c>
      <c r="AM20" s="762">
        <f>$AC20*(IF(TYPE(INDEX($F20:$Y20,1,MATCH(AM$7,$F20:$Y20,0)+1))=1,INDEX($F20:$Y20,1,MATCH(AM$7,$F20:$Y20,0)+1),0))*VLOOKUP(AM$7,Reference!$B$7:$C$117,2,FALSE)/$AA20</f>
        <v>0</v>
      </c>
      <c r="AN20" s="762">
        <f>$AC20*(IF(TYPE(INDEX($F20:$Y20,1,MATCH(AN$7,$F20:$Y20,0)+1))=1,INDEX($F20:$Y20,1,MATCH(AN$7,$F20:$Y20,0)+1),0))*VLOOKUP(AN$7,Reference!$B$7:$C$117,2,FALSE)/$AA20</f>
        <v>0</v>
      </c>
      <c r="AO20" s="762">
        <f>$AC20*(IF(TYPE(INDEX($F20:$Y20,1,MATCH(AO$7,$F20:$Y20,0)+1))=1,INDEX($F20:$Y20,1,MATCH(AO$7,$F20:$Y20,0)+1),0))*VLOOKUP(AO$7,Reference!$B$7:$C$117,2,FALSE)/$AA20</f>
        <v>0</v>
      </c>
      <c r="AP20" s="762">
        <f>$AC20*(IF(TYPE(INDEX($F20:$Y20,1,MATCH(AP$7,$F20:$Y20,0)+1))=1,INDEX($F20:$Y20,1,MATCH(AP$7,$F20:$Y20,0)+1),0))*VLOOKUP(AP$7,Reference!$B$7:$C$117,2,FALSE)/$AA20</f>
        <v>0</v>
      </c>
      <c r="AQ20" s="762">
        <f>$AC20*(IF(TYPE(INDEX($F20:$Y20,1,MATCH(AQ$7,$F20:$Y20,0)+1))=1,INDEX($F20:$Y20,1,MATCH(AQ$7,$F20:$Y20,0)+1),0))*VLOOKUP(AQ$7,Reference!$B$7:$C$117,2,FALSE)/$AA20</f>
        <v>0</v>
      </c>
      <c r="AR20" s="762">
        <f>$AC20*(IF(TYPE(INDEX($F20:$Y20,1,MATCH(AR$7,$F20:$Y20,0)+1))=1,INDEX($F20:$Y20,1,MATCH(AR$7,$F20:$Y20,0)+1),0))*VLOOKUP(AR$7,Reference!$B$7:$C$117,2,FALSE)/$AA20</f>
        <v>0</v>
      </c>
      <c r="AS20" s="762">
        <f>$AC20*(IF(TYPE(INDEX($F20:$Y20,1,MATCH(AS$7,$F20:$Y20,0)+1))=1,INDEX($F20:$Y20,1,MATCH(AS$7,$F20:$Y20,0)+1),0))*VLOOKUP(AS$7,Reference!$B$7:$C$117,2,FALSE)/$AA20</f>
        <v>0</v>
      </c>
      <c r="AT20" s="6"/>
      <c r="AU20" s="6"/>
      <c r="AV20" s="6"/>
    </row>
    <row r="21" spans="1:48" x14ac:dyDescent="0.25">
      <c r="A21" s="329">
        <f t="shared" si="24"/>
        <v>11</v>
      </c>
      <c r="B21" s="321">
        <v>9</v>
      </c>
      <c r="C21" s="321" t="str">
        <f>VLOOKUP(B21,Streams!$A$17:$C$937,3,FALSE)</f>
        <v>liquid</v>
      </c>
      <c r="D21" s="18" t="s">
        <v>135</v>
      </c>
      <c r="E21" s="478">
        <f>'Material Balance'!W16</f>
        <v>0.45388864365414849</v>
      </c>
      <c r="F21" s="321" t="s">
        <v>69</v>
      </c>
      <c r="G21" s="321">
        <v>1</v>
      </c>
      <c r="H21" s="321" t="s">
        <v>68</v>
      </c>
      <c r="I21" s="321">
        <v>2</v>
      </c>
      <c r="J21" s="321"/>
      <c r="K21" s="321"/>
      <c r="L21" s="321"/>
      <c r="M21" s="321"/>
      <c r="N21" s="321"/>
      <c r="O21" s="321"/>
      <c r="P21" s="321"/>
      <c r="Q21" s="321"/>
      <c r="R21" s="321"/>
      <c r="S21" s="321"/>
      <c r="T21" s="321"/>
      <c r="U21" s="321"/>
      <c r="V21" s="321"/>
      <c r="W21" s="321"/>
      <c r="X21" s="321"/>
      <c r="Y21" s="321"/>
      <c r="Z21" s="18" t="str">
        <f t="shared" ref="Z21" si="27">F21&amp;IF(G21=1,"",G21)&amp;H21&amp;IF(I21=1,"",I21)&amp;J21&amp;IF(K21=1,"",K21)&amp;L21&amp;IF(M21=1,"",M21)&amp;N21&amp;IF(O21=1,"",O21)&amp;P21&amp;IF(Q21=1,"",Q21)&amp;R21&amp;IF(S21=1,"",S21)&amp;T21&amp;IF(U21=1,"",U21)&amp;V21&amp;IF(W21=1,"",W21)&amp;X21&amp;IF(Y21=1,"",Y21)</f>
        <v>CaF2</v>
      </c>
      <c r="AA21" s="18">
        <f>IF(COUNTBLANK(F21)=0,VLOOKUP(F21,Reference!$B$5:$C$115,2,FALSE)*G21,0)+IF(COUNTBLANK(H21)=0,VLOOKUP(H21,Reference!$B$5:$C$115,2,FALSE)*I21,0)+IF(COUNTBLANK(J21)=0,VLOOKUP(J21,Reference!$B$5:$C$115,2,FALSE)*K21,0)+IF(COUNTBLANK(L21)=0,VLOOKUP(L21,Reference!$B$5:$C$115,2,FALSE)*M21,0)+IF(COUNTBLANK(N21)=0,VLOOKUP(N21,Reference!$B$5:$C$115,2,FALSE)*O21,0)+IF(COUNTBLANK(P21)=0,VLOOKUP(P21,Reference!$B$5:$C$115,2,FALSE)*Q21,0)+IF(COUNTBLANK(R21)=0,VLOOKUP(R21,Reference!$B$5:$C$115,2,FALSE)*S21,0)+IF(COUNTBLANK(T21)=0,VLOOKUP(T21,Reference!$B$5:$C$115,2,FALSE)*U21,0)+IF(COUNTBLANK(V21)=0,VLOOKUP(V21,Reference!$B$5:$C$115,2,FALSE)*W21,0)+IF(COUNTBLANK(X21)=0,VLOOKUP(X21,Reference!$B$5:$C$115,2,FALSE)*Y21,0)</f>
        <v>78.07480000000001</v>
      </c>
      <c r="AB21" s="321">
        <f>VLOOKUP(B21,Streams!$A$17:$E$939,5,FALSE)</f>
        <v>0.25923970847482214</v>
      </c>
      <c r="AC21" s="321">
        <f>E21*AB21</f>
        <v>0.11766595966093389</v>
      </c>
      <c r="AD21" s="495">
        <f>VLOOKUP(Z21,Reference!O27:P40,2,FALSE)</f>
        <v>0.4</v>
      </c>
      <c r="AE21" s="327">
        <f t="shared" ref="AE21" si="28">AD21*AC21</f>
        <v>4.7066383864373562E-2</v>
      </c>
      <c r="AG21" s="762">
        <f>$AC21*(IF(TYPE(INDEX($F21:$Y21,1,MATCH(AG$7,$F21:$Y21,0)+1))=1,INDEX($F21:$Y21,1,MATCH(AG$7,$F21:$Y21,0)+1),0))*VLOOKUP(AG$7,Reference!$B$7:$C$117,2,FALSE)/$AA21</f>
        <v>0</v>
      </c>
      <c r="AH21" s="762">
        <f>$AC21*(IF(TYPE(INDEX($F21:$Y21,1,MATCH(AH$7,$F21:$Y21,0)+1))=1,INDEX($F21:$Y21,1,MATCH(AH$7,$F21:$Y21,0)+1),0))*VLOOKUP(AH$7,Reference!$B$7:$C$117,2,FALSE)/$AA21</f>
        <v>0</v>
      </c>
      <c r="AI21" s="762">
        <f>$AC21*(IF(TYPE(INDEX($F21:$Y21,1,MATCH(AI$7,$F21:$Y21,0)+1))=1,INDEX($F21:$Y21,1,MATCH(AI$7,$F21:$Y21,0)+1),0))*VLOOKUP(AI$7,Reference!$B$7:$C$117,2,FALSE)/$AA21</f>
        <v>0</v>
      </c>
      <c r="AJ21" s="762">
        <f>$AC21*(IF(TYPE(INDEX($F21:$Y21,1,MATCH(AJ$7,$F21:$Y21,0)+1))=1,INDEX($F21:$Y21,1,MATCH(AJ$7,$F21:$Y21,0)+1),0))*VLOOKUP(AJ$7,Reference!$B$7:$C$117,2,FALSE)/$AA21</f>
        <v>5.7264699186479792E-2</v>
      </c>
      <c r="AK21" s="762">
        <f>$AC21*(IF(TYPE(INDEX($F21:$Y21,1,MATCH(AK$7,$F21:$Y21,0)+1))=1,INDEX($F21:$Y21,1,MATCH(AK$7,$F21:$Y21,0)+1),0))*VLOOKUP(AK$7,Reference!$B$7:$C$117,2,FALSE)/$AA21</f>
        <v>6.0401260474454085E-2</v>
      </c>
      <c r="AL21" s="762">
        <f>$AC21*(IF(TYPE(INDEX($F21:$Y21,1,MATCH(AL$7,$F21:$Y21,0)+1))=1,INDEX($F21:$Y21,1,MATCH(AL$7,$F21:$Y21,0)+1),0))*VLOOKUP(AL$7,Reference!$B$7:$C$117,2,FALSE)/$AA21</f>
        <v>0</v>
      </c>
      <c r="AM21" s="762">
        <f>$AC21*(IF(TYPE(INDEX($F21:$Y21,1,MATCH(AM$7,$F21:$Y21,0)+1))=1,INDEX($F21:$Y21,1,MATCH(AM$7,$F21:$Y21,0)+1),0))*VLOOKUP(AM$7,Reference!$B$7:$C$117,2,FALSE)/$AA21</f>
        <v>0</v>
      </c>
      <c r="AN21" s="762">
        <f>$AC21*(IF(TYPE(INDEX($F21:$Y21,1,MATCH(AN$7,$F21:$Y21,0)+1))=1,INDEX($F21:$Y21,1,MATCH(AN$7,$F21:$Y21,0)+1),0))*VLOOKUP(AN$7,Reference!$B$7:$C$117,2,FALSE)/$AA21</f>
        <v>0</v>
      </c>
      <c r="AO21" s="762">
        <f>$AC21*(IF(TYPE(INDEX($F21:$Y21,1,MATCH(AO$7,$F21:$Y21,0)+1))=1,INDEX($F21:$Y21,1,MATCH(AO$7,$F21:$Y21,0)+1),0))*VLOOKUP(AO$7,Reference!$B$7:$C$117,2,FALSE)/$AA21</f>
        <v>0</v>
      </c>
      <c r="AP21" s="762">
        <f>$AC21*(IF(TYPE(INDEX($F21:$Y21,1,MATCH(AP$7,$F21:$Y21,0)+1))=1,INDEX($F21:$Y21,1,MATCH(AP$7,$F21:$Y21,0)+1),0))*VLOOKUP(AP$7,Reference!$B$7:$C$117,2,FALSE)/$AA21</f>
        <v>0</v>
      </c>
      <c r="AQ21" s="762">
        <f>$AC21*(IF(TYPE(INDEX($F21:$Y21,1,MATCH(AQ$7,$F21:$Y21,0)+1))=1,INDEX($F21:$Y21,1,MATCH(AQ$7,$F21:$Y21,0)+1),0))*VLOOKUP(AQ$7,Reference!$B$7:$C$117,2,FALSE)/$AA21</f>
        <v>0</v>
      </c>
      <c r="AR21" s="762">
        <f>$AC21*(IF(TYPE(INDEX($F21:$Y21,1,MATCH(AR$7,$F21:$Y21,0)+1))=1,INDEX($F21:$Y21,1,MATCH(AR$7,$F21:$Y21,0)+1),0))*VLOOKUP(AR$7,Reference!$B$7:$C$117,2,FALSE)/$AA21</f>
        <v>0</v>
      </c>
      <c r="AS21" s="762">
        <f>$AC21*(IF(TYPE(INDEX($F21:$Y21,1,MATCH(AS$7,$F21:$Y21,0)+1))=1,INDEX($F21:$Y21,1,MATCH(AS$7,$F21:$Y21,0)+1),0))*VLOOKUP(AS$7,Reference!$B$7:$C$117,2,FALSE)/$AA21</f>
        <v>0</v>
      </c>
      <c r="AT21" s="6"/>
      <c r="AU21" s="6"/>
      <c r="AV21" s="6"/>
    </row>
    <row r="22" spans="1:48" x14ac:dyDescent="0.25">
      <c r="A22" s="329">
        <f t="shared" si="24"/>
        <v>12</v>
      </c>
      <c r="B22" s="321">
        <v>9</v>
      </c>
      <c r="C22" s="321" t="str">
        <f>VLOOKUP(B22,Streams!$A$17:$C$937,3,FALSE)</f>
        <v>liquid</v>
      </c>
      <c r="D22" s="18" t="s">
        <v>136</v>
      </c>
      <c r="E22" s="478">
        <f>'Material Balance'!W17</f>
        <v>0.45388864365414833</v>
      </c>
      <c r="F22" s="321" t="s">
        <v>67</v>
      </c>
      <c r="G22" s="321">
        <v>1</v>
      </c>
      <c r="H22" s="321" t="s">
        <v>68</v>
      </c>
      <c r="I22" s="321">
        <v>2</v>
      </c>
      <c r="J22" s="321"/>
      <c r="K22" s="321"/>
      <c r="L22" s="321"/>
      <c r="M22" s="321"/>
      <c r="N22" s="321"/>
      <c r="O22" s="321"/>
      <c r="P22" s="321"/>
      <c r="Q22" s="321"/>
      <c r="R22" s="321"/>
      <c r="S22" s="321"/>
      <c r="T22" s="321"/>
      <c r="U22" s="321"/>
      <c r="V22" s="321"/>
      <c r="W22" s="321"/>
      <c r="X22" s="321"/>
      <c r="Y22" s="321"/>
      <c r="Z22" s="18" t="str">
        <f t="shared" ref="Z22" si="29">F22&amp;IF(G22=1,"",G22)&amp;H22&amp;IF(I22=1,"",I22)&amp;J22&amp;IF(K22=1,"",K22)&amp;L22&amp;IF(M22=1,"",M22)&amp;N22&amp;IF(O22=1,"",O22)&amp;P22&amp;IF(Q22=1,"",Q22)&amp;R22&amp;IF(S22=1,"",S22)&amp;T22&amp;IF(U22=1,"",U22)&amp;V22&amp;IF(W22=1,"",W22)&amp;X22&amp;IF(Y22=1,"",Y22)</f>
        <v>MgF2</v>
      </c>
      <c r="AA22" s="18">
        <f>IF(COUNTBLANK(F22)=0,VLOOKUP(F22,Reference!$B$5:$C$115,2,FALSE)*G22,0)+IF(COUNTBLANK(H22)=0,VLOOKUP(H22,Reference!$B$5:$C$115,2,FALSE)*I22,0)+IF(COUNTBLANK(J22)=0,VLOOKUP(J22,Reference!$B$5:$C$115,2,FALSE)*K22,0)+IF(COUNTBLANK(L22)=0,VLOOKUP(L22,Reference!$B$5:$C$115,2,FALSE)*M22,0)+IF(COUNTBLANK(N22)=0,VLOOKUP(N22,Reference!$B$5:$C$115,2,FALSE)*O22,0)+IF(COUNTBLANK(P22)=0,VLOOKUP(P22,Reference!$B$5:$C$115,2,FALSE)*Q22,0)+IF(COUNTBLANK(R22)=0,VLOOKUP(R22,Reference!$B$5:$C$115,2,FALSE)*S22,0)+IF(COUNTBLANK(T22)=0,VLOOKUP(T22,Reference!$B$5:$C$115,2,FALSE)*U22,0)+IF(COUNTBLANK(V22)=0,VLOOKUP(V22,Reference!$B$5:$C$115,2,FALSE)*W22,0)+IF(COUNTBLANK(X22)=0,VLOOKUP(X22,Reference!$B$5:$C$115,2,FALSE)*Y22,0)</f>
        <v>62.3018</v>
      </c>
      <c r="AB22" s="321">
        <f>VLOOKUP(B22,Streams!$A$17:$E$939,5,FALSE)</f>
        <v>0.25923970847482214</v>
      </c>
      <c r="AC22" s="321">
        <f t="shared" ref="AC22" si="30">E22*AB22</f>
        <v>0.11766595966093384</v>
      </c>
      <c r="AD22" s="495">
        <f>VLOOKUP(Z22,Reference!O27:P40,2,FALSE)</f>
        <v>1</v>
      </c>
      <c r="AE22" s="327">
        <f t="shared" ref="AE22" si="31">AD22*AC22</f>
        <v>0.11766595966093384</v>
      </c>
      <c r="AG22" s="762">
        <f>$AC22*(IF(TYPE(INDEX($F22:$Y22,1,MATCH(AG$7,$F22:$Y22,0)+1))=1,INDEX($F22:$Y22,1,MATCH(AG$7,$F22:$Y22,0)+1),0))*VLOOKUP(AG$7,Reference!$B$7:$C$117,2,FALSE)/$AA22</f>
        <v>0</v>
      </c>
      <c r="AH22" s="762">
        <f>$AC22*(IF(TYPE(INDEX($F22:$Y22,1,MATCH(AH$7,$F22:$Y22,0)+1))=1,INDEX($F22:$Y22,1,MATCH(AH$7,$F22:$Y22,0)+1),0))*VLOOKUP(AH$7,Reference!$B$7:$C$117,2,FALSE)/$AA22</f>
        <v>0</v>
      </c>
      <c r="AI22" s="9">
        <f>$AC22*(IF(TYPE(INDEX($F22:$Y22,1,MATCH(AI$7,$F22:$Y22,0)+1))=1,INDEX($F22:$Y22,1,MATCH(AI$7,$F22:$Y22,0)+1),0))*VLOOKUP(AI$7,Reference!$B$7:$C$117,2,FALSE)/$AA22</f>
        <v>4.5903507596233122E-2</v>
      </c>
      <c r="AJ22" s="762">
        <f>$AC22*(IF(TYPE(INDEX($F22:$Y22,1,MATCH(AJ$7,$F22:$Y22,0)+1))=1,INDEX($F22:$Y22,1,MATCH(AJ$7,$F22:$Y22,0)+1),0))*VLOOKUP(AJ$7,Reference!$B$7:$C$117,2,FALSE)/$AA22</f>
        <v>7.1762452064700707E-2</v>
      </c>
      <c r="AK22" s="762">
        <f>$AC22*(IF(TYPE(INDEX($F22:$Y22,1,MATCH(AK$7,$F22:$Y22,0)+1))=1,INDEX($F22:$Y22,1,MATCH(AK$7,$F22:$Y22,0)+1),0))*VLOOKUP(AK$7,Reference!$B$7:$C$117,2,FALSE)/$AA22</f>
        <v>0</v>
      </c>
      <c r="AL22" s="762">
        <f>$AC22*(IF(TYPE(INDEX($F22:$Y22,1,MATCH(AL$7,$F22:$Y22,0)+1))=1,INDEX($F22:$Y22,1,MATCH(AL$7,$F22:$Y22,0)+1),0))*VLOOKUP(AL$7,Reference!$B$7:$C$117,2,FALSE)/$AA22</f>
        <v>0</v>
      </c>
      <c r="AM22" s="762">
        <f>$AC22*(IF(TYPE(INDEX($F22:$Y22,1,MATCH(AM$7,$F22:$Y22,0)+1))=1,INDEX($F22:$Y22,1,MATCH(AM$7,$F22:$Y22,0)+1),0))*VLOOKUP(AM$7,Reference!$B$7:$C$117,2,FALSE)/$AA22</f>
        <v>0</v>
      </c>
      <c r="AN22" s="762">
        <f>$AC22*(IF(TYPE(INDEX($F22:$Y22,1,MATCH(AN$7,$F22:$Y22,0)+1))=1,INDEX($F22:$Y22,1,MATCH(AN$7,$F22:$Y22,0)+1),0))*VLOOKUP(AN$7,Reference!$B$7:$C$117,2,FALSE)/$AA22</f>
        <v>0</v>
      </c>
      <c r="AO22" s="762">
        <f>$AC22*(IF(TYPE(INDEX($F22:$Y22,1,MATCH(AO$7,$F22:$Y22,0)+1))=1,INDEX($F22:$Y22,1,MATCH(AO$7,$F22:$Y22,0)+1),0))*VLOOKUP(AO$7,Reference!$B$7:$C$117,2,FALSE)/$AA22</f>
        <v>0</v>
      </c>
      <c r="AP22" s="762">
        <f>$AC22*(IF(TYPE(INDEX($F22:$Y22,1,MATCH(AP$7,$F22:$Y22,0)+1))=1,INDEX($F22:$Y22,1,MATCH(AP$7,$F22:$Y22,0)+1),0))*VLOOKUP(AP$7,Reference!$B$7:$C$117,2,FALSE)/$AA22</f>
        <v>0</v>
      </c>
      <c r="AQ22" s="762">
        <f>$AC22*(IF(TYPE(INDEX($F22:$Y22,1,MATCH(AQ$7,$F22:$Y22,0)+1))=1,INDEX($F22:$Y22,1,MATCH(AQ$7,$F22:$Y22,0)+1),0))*VLOOKUP(AQ$7,Reference!$B$7:$C$117,2,FALSE)/$AA22</f>
        <v>0</v>
      </c>
      <c r="AR22" s="762">
        <f>$AC22*(IF(TYPE(INDEX($F22:$Y22,1,MATCH(AR$7,$F22:$Y22,0)+1))=1,INDEX($F22:$Y22,1,MATCH(AR$7,$F22:$Y22,0)+1),0))*VLOOKUP(AR$7,Reference!$B$7:$C$117,2,FALSE)/$AA22</f>
        <v>0</v>
      </c>
      <c r="AS22" s="762">
        <f>$AC22*(IF(TYPE(INDEX($F22:$Y22,1,MATCH(AS$7,$F22:$Y22,0)+1))=1,INDEX($F22:$Y22,1,MATCH(AS$7,$F22:$Y22,0)+1),0))*VLOOKUP(AS$7,Reference!$B$7:$C$117,2,FALSE)/$AA22</f>
        <v>0</v>
      </c>
      <c r="AT22" s="6"/>
      <c r="AU22" s="6"/>
      <c r="AV22" s="6"/>
    </row>
    <row r="23" spans="1:48" x14ac:dyDescent="0.25">
      <c r="A23" s="329">
        <f t="shared" si="24"/>
        <v>13</v>
      </c>
      <c r="B23" s="321">
        <v>9</v>
      </c>
      <c r="C23" s="321" t="str">
        <f>VLOOKUP(B23,Streams!$A$17:$C$937,3,FALSE)</f>
        <v>liquid</v>
      </c>
      <c r="D23" s="18" t="s">
        <v>128</v>
      </c>
      <c r="E23" s="478">
        <f>'Material Balance'!W18</f>
        <v>1.7092174186385759E-2</v>
      </c>
      <c r="F23" s="321" t="s">
        <v>69</v>
      </c>
      <c r="G23" s="321">
        <v>1</v>
      </c>
      <c r="H23" s="321" t="s">
        <v>66</v>
      </c>
      <c r="I23" s="321">
        <v>1</v>
      </c>
      <c r="J23" s="321"/>
      <c r="K23" s="321"/>
      <c r="L23" s="321"/>
      <c r="M23" s="321"/>
      <c r="N23" s="321"/>
      <c r="O23" s="321"/>
      <c r="P23" s="321"/>
      <c r="Q23" s="321"/>
      <c r="R23" s="321"/>
      <c r="S23" s="321"/>
      <c r="T23" s="321"/>
      <c r="U23" s="321"/>
      <c r="V23" s="321"/>
      <c r="W23" s="321"/>
      <c r="X23" s="321"/>
      <c r="Y23" s="321"/>
      <c r="Z23" s="18" t="str">
        <f t="shared" ref="Z23" si="32">F23&amp;IF(G23=1,"",G23)&amp;H23&amp;IF(I23=1,"",I23)&amp;J23&amp;IF(K23=1,"",K23)&amp;L23&amp;IF(M23=1,"",M23)&amp;N23&amp;IF(O23=1,"",O23)&amp;P23&amp;IF(Q23=1,"",Q23)&amp;R23&amp;IF(S23=1,"",S23)&amp;T23&amp;IF(U23=1,"",U23)&amp;V23&amp;IF(W23=1,"",W23)&amp;X23&amp;IF(Y23=1,"",Y23)</f>
        <v>CaO</v>
      </c>
      <c r="AA23" s="18">
        <f>IF(COUNTBLANK(F23)=0,VLOOKUP(F23,Reference!$B$5:$C$115,2,FALSE)*G23,0)+IF(COUNTBLANK(H23)=0,VLOOKUP(H23,Reference!$B$5:$C$115,2,FALSE)*I23,0)+IF(COUNTBLANK(J23)=0,VLOOKUP(J23,Reference!$B$5:$C$115,2,FALSE)*K23,0)+IF(COUNTBLANK(L23)=0,VLOOKUP(L23,Reference!$B$5:$C$115,2,FALSE)*M23,0)+IF(COUNTBLANK(N23)=0,VLOOKUP(N23,Reference!$B$5:$C$115,2,FALSE)*O23,0)+IF(COUNTBLANK(P23)=0,VLOOKUP(P23,Reference!$B$5:$C$115,2,FALSE)*Q23,0)+IF(COUNTBLANK(R23)=0,VLOOKUP(R23,Reference!$B$5:$C$115,2,FALSE)*S23,0)+IF(COUNTBLANK(T23)=0,VLOOKUP(T23,Reference!$B$5:$C$115,2,FALSE)*U23,0)+IF(COUNTBLANK(V23)=0,VLOOKUP(V23,Reference!$B$5:$C$115,2,FALSE)*W23,0)+IF(COUNTBLANK(X23)=0,VLOOKUP(X23,Reference!$B$5:$C$115,2,FALSE)*Y23,0)</f>
        <v>56.077400000000004</v>
      </c>
      <c r="AB23" s="321">
        <f>VLOOKUP(B23,Streams!$A$17:$E$939,5,FALSE)</f>
        <v>0.25923970847482214</v>
      </c>
      <c r="AC23" s="321">
        <f>E23*AB23</f>
        <v>4.4309702532795243E-3</v>
      </c>
      <c r="AD23" s="495">
        <f>VLOOKUP(Z23,Reference!O27:P40,2,FALSE)</f>
        <v>0.15</v>
      </c>
      <c r="AE23" s="327">
        <f t="shared" ref="AE23" si="33">AD23*AC23</f>
        <v>6.6464553799192862E-4</v>
      </c>
      <c r="AG23" s="762">
        <f>$AC23*(IF(TYPE(INDEX($F23:$Y23,1,MATCH(AG$7,$F23:$Y23,0)+1))=1,INDEX($F23:$Y23,1,MATCH(AG$7,$F23:$Y23,0)+1),0))*VLOOKUP(AG$7,Reference!$B$7:$C$117,2,FALSE)/$AA23</f>
        <v>0</v>
      </c>
      <c r="AH23" s="762">
        <f>$AC23*(IF(TYPE(INDEX($F23:$Y23,1,MATCH(AH$7,$F23:$Y23,0)+1))=1,INDEX($F23:$Y23,1,MATCH(AH$7,$F23:$Y23,0)+1),0))*VLOOKUP(AH$7,Reference!$B$7:$C$117,2,FALSE)/$AA23</f>
        <v>1.26419672578116E-3</v>
      </c>
      <c r="AI23" s="762">
        <f>$AC23*(IF(TYPE(INDEX($F23:$Y23,1,MATCH(AI$7,$F23:$Y23,0)+1))=1,INDEX($F23:$Y23,1,MATCH(AI$7,$F23:$Y23,0)+1),0))*VLOOKUP(AI$7,Reference!$B$7:$C$117,2,FALSE)/$AA23</f>
        <v>0</v>
      </c>
      <c r="AJ23" s="762">
        <f>$AC23*(IF(TYPE(INDEX($F23:$Y23,1,MATCH(AJ$7,$F23:$Y23,0)+1))=1,INDEX($F23:$Y23,1,MATCH(AJ$7,$F23:$Y23,0)+1),0))*VLOOKUP(AJ$7,Reference!$B$7:$C$117,2,FALSE)/$AA23</f>
        <v>0</v>
      </c>
      <c r="AK23" s="762">
        <f>$AC23*(IF(TYPE(INDEX($F23:$Y23,1,MATCH(AK$7,$F23:$Y23,0)+1))=1,INDEX($F23:$Y23,1,MATCH(AK$7,$F23:$Y23,0)+1),0))*VLOOKUP(AK$7,Reference!$B$7:$C$117,2,FALSE)/$AA23</f>
        <v>3.1667735274983643E-3</v>
      </c>
      <c r="AL23" s="762">
        <f>$AC23*(IF(TYPE(INDEX($F23:$Y23,1,MATCH(AL$7,$F23:$Y23,0)+1))=1,INDEX($F23:$Y23,1,MATCH(AL$7,$F23:$Y23,0)+1),0))*VLOOKUP(AL$7,Reference!$B$7:$C$117,2,FALSE)/$AA23</f>
        <v>0</v>
      </c>
      <c r="AM23" s="762">
        <f>$AC23*(IF(TYPE(INDEX($F23:$Y23,1,MATCH(AM$7,$F23:$Y23,0)+1))=1,INDEX($F23:$Y23,1,MATCH(AM$7,$F23:$Y23,0)+1),0))*VLOOKUP(AM$7,Reference!$B$7:$C$117,2,FALSE)/$AA23</f>
        <v>0</v>
      </c>
      <c r="AN23" s="762">
        <f>$AC23*(IF(TYPE(INDEX($F23:$Y23,1,MATCH(AN$7,$F23:$Y23,0)+1))=1,INDEX($F23:$Y23,1,MATCH(AN$7,$F23:$Y23,0)+1),0))*VLOOKUP(AN$7,Reference!$B$7:$C$117,2,FALSE)/$AA23</f>
        <v>0</v>
      </c>
      <c r="AO23" s="762">
        <f>$AC23*(IF(TYPE(INDEX($F23:$Y23,1,MATCH(AO$7,$F23:$Y23,0)+1))=1,INDEX($F23:$Y23,1,MATCH(AO$7,$F23:$Y23,0)+1),0))*VLOOKUP(AO$7,Reference!$B$7:$C$117,2,FALSE)/$AA23</f>
        <v>0</v>
      </c>
      <c r="AP23" s="762">
        <f>$AC23*(IF(TYPE(INDEX($F23:$Y23,1,MATCH(AP$7,$F23:$Y23,0)+1))=1,INDEX($F23:$Y23,1,MATCH(AP$7,$F23:$Y23,0)+1),0))*VLOOKUP(AP$7,Reference!$B$7:$C$117,2,FALSE)/$AA23</f>
        <v>0</v>
      </c>
      <c r="AQ23" s="762">
        <f>$AC23*(IF(TYPE(INDEX($F23:$Y23,1,MATCH(AQ$7,$F23:$Y23,0)+1))=1,INDEX($F23:$Y23,1,MATCH(AQ$7,$F23:$Y23,0)+1),0))*VLOOKUP(AQ$7,Reference!$B$7:$C$117,2,FALSE)/$AA23</f>
        <v>0</v>
      </c>
      <c r="AR23" s="762">
        <f>$AC23*(IF(TYPE(INDEX($F23:$Y23,1,MATCH(AR$7,$F23:$Y23,0)+1))=1,INDEX($F23:$Y23,1,MATCH(AR$7,$F23:$Y23,0)+1),0))*VLOOKUP(AR$7,Reference!$B$7:$C$117,2,FALSE)/$AA23</f>
        <v>0</v>
      </c>
      <c r="AS23" s="762">
        <f>$AC23*(IF(TYPE(INDEX($F23:$Y23,1,MATCH(AS$7,$F23:$Y23,0)+1))=1,INDEX($F23:$Y23,1,MATCH(AS$7,$F23:$Y23,0)+1),0))*VLOOKUP(AS$7,Reference!$B$7:$C$117,2,FALSE)/$AA23</f>
        <v>0</v>
      </c>
      <c r="AT23" s="6"/>
      <c r="AU23" s="6"/>
      <c r="AV23" s="6"/>
    </row>
    <row r="24" spans="1:48" x14ac:dyDescent="0.25">
      <c r="A24" s="329">
        <f t="shared" si="24"/>
        <v>14</v>
      </c>
      <c r="B24" s="321">
        <v>9</v>
      </c>
      <c r="C24" s="321" t="str">
        <f>VLOOKUP(B24,Streams!$A$17:$C$937,3,FALSE)</f>
        <v>liquid</v>
      </c>
      <c r="D24" s="18" t="s">
        <v>137</v>
      </c>
      <c r="E24" s="478">
        <f>'Material Balance'!W19</f>
        <v>4.1515911577403433E-2</v>
      </c>
      <c r="F24" s="321" t="s">
        <v>45</v>
      </c>
      <c r="G24" s="321">
        <v>1</v>
      </c>
      <c r="H24" s="321" t="s">
        <v>66</v>
      </c>
      <c r="I24" s="321">
        <v>2</v>
      </c>
      <c r="J24" s="321"/>
      <c r="K24" s="321"/>
      <c r="L24" s="321"/>
      <c r="M24" s="321"/>
      <c r="N24" s="321"/>
      <c r="O24" s="321"/>
      <c r="P24" s="321"/>
      <c r="Q24" s="321"/>
      <c r="R24" s="321"/>
      <c r="S24" s="321"/>
      <c r="T24" s="321"/>
      <c r="U24" s="321"/>
      <c r="V24" s="321"/>
      <c r="W24" s="321"/>
      <c r="X24" s="321"/>
      <c r="Y24" s="321"/>
      <c r="Z24" s="18" t="str">
        <f t="shared" ref="Z24" si="34">F24&amp;IF(G24=1,"",G24)&amp;H24&amp;IF(I24=1,"",I24)&amp;J24&amp;IF(K24=1,"",K24)&amp;L24&amp;IF(M24=1,"",M24)&amp;N24&amp;IF(O24=1,"",O24)&amp;P24&amp;IF(Q24=1,"",Q24)&amp;R24&amp;IF(S24=1,"",S24)&amp;T24&amp;IF(U24=1,"",U24)&amp;V24&amp;IF(W24=1,"",W24)&amp;X24&amp;IF(Y24=1,"",Y24)</f>
        <v>SiO2</v>
      </c>
      <c r="AA24" s="18">
        <f>IF(COUNTBLANK(F24)=0,VLOOKUP(F24,Reference!$B$5:$C$115,2,FALSE)*G24,0)+IF(COUNTBLANK(H24)=0,VLOOKUP(H24,Reference!$B$5:$C$115,2,FALSE)*I24,0)+IF(COUNTBLANK(J24)=0,VLOOKUP(J24,Reference!$B$5:$C$115,2,FALSE)*K24,0)+IF(COUNTBLANK(L24)=0,VLOOKUP(L24,Reference!$B$5:$C$115,2,FALSE)*M24,0)+IF(COUNTBLANK(N24)=0,VLOOKUP(N24,Reference!$B$5:$C$115,2,FALSE)*O24,0)+IF(COUNTBLANK(P24)=0,VLOOKUP(P24,Reference!$B$5:$C$115,2,FALSE)*Q24,0)+IF(COUNTBLANK(R24)=0,VLOOKUP(R24,Reference!$B$5:$C$115,2,FALSE)*S24,0)+IF(COUNTBLANK(T24)=0,VLOOKUP(T24,Reference!$B$5:$C$115,2,FALSE)*U24,0)+IF(COUNTBLANK(V24)=0,VLOOKUP(V24,Reference!$B$5:$C$115,2,FALSE)*W24,0)+IF(COUNTBLANK(X24)=0,VLOOKUP(X24,Reference!$B$5:$C$115,2,FALSE)*Y24,0)</f>
        <v>60.084299999999999</v>
      </c>
      <c r="AB24" s="321">
        <f>VLOOKUP(B24,Streams!$A$17:$E$939,5,FALSE)</f>
        <v>0.25923970847482214</v>
      </c>
      <c r="AC24" s="321">
        <f>E24*AB24</f>
        <v>1.076257281439256E-2</v>
      </c>
      <c r="AD24" s="495">
        <f>VLOOKUP(Z24,Reference!O27:P40,2,FALSE)</f>
        <v>0.15</v>
      </c>
      <c r="AE24" s="528">
        <f t="shared" ref="AE24" si="35">AD24*AC24</f>
        <v>1.6143859221588841E-3</v>
      </c>
      <c r="AG24" s="412">
        <f>$AC24*(IF(TYPE(INDEX($F24:$Y24,1,MATCH(AG$7,$F24:$Y24,0)+1))=1,INDEX($F24:$Y24,1,MATCH(AG$7,$F24:$Y24,0)+1),0))*VLOOKUP(AG$7,Reference!$B$7:$C$117,2,FALSE)/$AA24</f>
        <v>5.0308023689819509E-3</v>
      </c>
      <c r="AH24" s="9">
        <f>$AC24*(IF(TYPE(INDEX($F24:$Y24,1,MATCH(AH$7,$F24:$Y24,0)+1))=1,INDEX($F24:$Y24,1,MATCH(AH$7,$F24:$Y24,0)+1),0))*VLOOKUP(AH$7,Reference!$B$7:$C$117,2,FALSE)/$AA24</f>
        <v>5.7317704454106092E-3</v>
      </c>
      <c r="AI24" s="762">
        <f>$AC24*(IF(TYPE(INDEX($F24:$Y24,1,MATCH(AI$7,$F24:$Y24,0)+1))=1,INDEX($F24:$Y24,1,MATCH(AI$7,$F24:$Y24,0)+1),0))*VLOOKUP(AI$7,Reference!$B$7:$C$117,2,FALSE)/$AA24</f>
        <v>0</v>
      </c>
      <c r="AJ24" s="762">
        <f>$AC24*(IF(TYPE(INDEX($F24:$Y24,1,MATCH(AJ$7,$F24:$Y24,0)+1))=1,INDEX($F24:$Y24,1,MATCH(AJ$7,$F24:$Y24,0)+1),0))*VLOOKUP(AJ$7,Reference!$B$7:$C$117,2,FALSE)/$AA24</f>
        <v>0</v>
      </c>
      <c r="AK24" s="762">
        <f>$AC24*(IF(TYPE(INDEX($F24:$Y24,1,MATCH(AK$7,$F24:$Y24,0)+1))=1,INDEX($F24:$Y24,1,MATCH(AK$7,$F24:$Y24,0)+1),0))*VLOOKUP(AK$7,Reference!$B$7:$C$117,2,FALSE)/$AA24</f>
        <v>0</v>
      </c>
      <c r="AL24" s="762">
        <f>$AC24*(IF(TYPE(INDEX($F24:$Y24,1,MATCH(AL$7,$F24:$Y24,0)+1))=1,INDEX($F24:$Y24,1,MATCH(AL$7,$F24:$Y24,0)+1),0))*VLOOKUP(AL$7,Reference!$B$7:$C$117,2,FALSE)/$AA24</f>
        <v>0</v>
      </c>
      <c r="AM24" s="762">
        <f>$AC24*(IF(TYPE(INDEX($F24:$Y24,1,MATCH(AM$7,$F24:$Y24,0)+1))=1,INDEX($F24:$Y24,1,MATCH(AM$7,$F24:$Y24,0)+1),0))*VLOOKUP(AM$7,Reference!$B$7:$C$117,2,FALSE)/$AA24</f>
        <v>0</v>
      </c>
      <c r="AN24" s="762">
        <f>$AC24*(IF(TYPE(INDEX($F24:$Y24,1,MATCH(AN$7,$F24:$Y24,0)+1))=1,INDEX($F24:$Y24,1,MATCH(AN$7,$F24:$Y24,0)+1),0))*VLOOKUP(AN$7,Reference!$B$7:$C$117,2,FALSE)/$AA24</f>
        <v>0</v>
      </c>
      <c r="AO24" s="762">
        <f>$AC24*(IF(TYPE(INDEX($F24:$Y24,1,MATCH(AO$7,$F24:$Y24,0)+1))=1,INDEX($F24:$Y24,1,MATCH(AO$7,$F24:$Y24,0)+1),0))*VLOOKUP(AO$7,Reference!$B$7:$C$117,2,FALSE)/$AA24</f>
        <v>0</v>
      </c>
      <c r="AP24" s="762">
        <f>$AC24*(IF(TYPE(INDEX($F24:$Y24,1,MATCH(AP$7,$F24:$Y24,0)+1))=1,INDEX($F24:$Y24,1,MATCH(AP$7,$F24:$Y24,0)+1),0))*VLOOKUP(AP$7,Reference!$B$7:$C$117,2,FALSE)/$AA24</f>
        <v>0</v>
      </c>
      <c r="AQ24" s="762">
        <f>$AC24*(IF(TYPE(INDEX($F24:$Y24,1,MATCH(AQ$7,$F24:$Y24,0)+1))=1,INDEX($F24:$Y24,1,MATCH(AQ$7,$F24:$Y24,0)+1),0))*VLOOKUP(AQ$7,Reference!$B$7:$C$117,2,FALSE)/$AA24</f>
        <v>0</v>
      </c>
      <c r="AR24" s="762">
        <f>$AC24*(IF(TYPE(INDEX($F24:$Y24,1,MATCH(AR$7,$F24:$Y24,0)+1))=1,INDEX($F24:$Y24,1,MATCH(AR$7,$F24:$Y24,0)+1),0))*VLOOKUP(AR$7,Reference!$B$7:$C$117,2,FALSE)/$AA24</f>
        <v>0</v>
      </c>
      <c r="AS24" s="762">
        <f>$AC24*(IF(TYPE(INDEX($F24:$Y24,1,MATCH(AS$7,$F24:$Y24,0)+1))=1,INDEX($F24:$Y24,1,MATCH(AS$7,$F24:$Y24,0)+1),0))*VLOOKUP(AS$7,Reference!$B$7:$C$117,2,FALSE)/$AA24</f>
        <v>0</v>
      </c>
      <c r="AT24" s="6"/>
      <c r="AU24" s="6"/>
      <c r="AV24" s="6"/>
    </row>
    <row r="25" spans="1:48" x14ac:dyDescent="0.25">
      <c r="A25" s="329">
        <f t="shared" si="24"/>
        <v>15</v>
      </c>
      <c r="B25" s="321">
        <v>9</v>
      </c>
      <c r="C25" s="321" t="str">
        <f>VLOOKUP(B25,Streams!$A$17:$C$937,3,FALSE)</f>
        <v>liquid</v>
      </c>
      <c r="D25" s="18" t="s">
        <v>138</v>
      </c>
      <c r="E25" s="479">
        <f>'Material Balance'!W21</f>
        <v>1.9496773031004139E-2</v>
      </c>
      <c r="F25" s="321" t="s">
        <v>70</v>
      </c>
      <c r="G25" s="321">
        <v>1</v>
      </c>
      <c r="H25" s="321" t="s">
        <v>68</v>
      </c>
      <c r="I25" s="321">
        <v>3</v>
      </c>
      <c r="J25" s="321"/>
      <c r="K25" s="321"/>
      <c r="L25" s="321"/>
      <c r="M25" s="321"/>
      <c r="N25" s="321"/>
      <c r="O25" s="321"/>
      <c r="P25" s="321"/>
      <c r="Q25" s="321"/>
      <c r="R25" s="321"/>
      <c r="S25" s="321"/>
      <c r="T25" s="321"/>
      <c r="U25" s="321"/>
      <c r="V25" s="321"/>
      <c r="W25" s="321"/>
      <c r="X25" s="321"/>
      <c r="Y25" s="321"/>
      <c r="Z25" s="18" t="str">
        <f t="shared" ref="Z25" si="36">F25&amp;IF(G25=1,"",G25)&amp;H25&amp;IF(I25=1,"",I25)&amp;J25&amp;IF(K25=1,"",K25)&amp;L25&amp;IF(M25=1,"",M25)&amp;N25&amp;IF(O25=1,"",O25)&amp;P25&amp;IF(Q25=1,"",Q25)&amp;R25&amp;IF(S25=1,"",S25)&amp;T25&amp;IF(U25=1,"",U25)&amp;V25&amp;IF(W25=1,"",W25)&amp;X25&amp;IF(Y25=1,"",Y25)</f>
        <v>YF3</v>
      </c>
      <c r="AA25" s="18">
        <f>IF(COUNTBLANK(F25)=0,VLOOKUP(F25,Reference!$B$5:$C$115,2,FALSE)*G25,0)+IF(COUNTBLANK(H25)=0,VLOOKUP(H25,Reference!$B$5:$C$115,2,FALSE)*I25,0)+IF(COUNTBLANK(J25)=0,VLOOKUP(J25,Reference!$B$5:$C$115,2,FALSE)*K25,0)+IF(COUNTBLANK(L25)=0,VLOOKUP(L25,Reference!$B$5:$C$115,2,FALSE)*M25,0)+IF(COUNTBLANK(N25)=0,VLOOKUP(N25,Reference!$B$5:$C$115,2,FALSE)*O25,0)+IF(COUNTBLANK(P25)=0,VLOOKUP(P25,Reference!$B$5:$C$115,2,FALSE)*Q25,0)+IF(COUNTBLANK(R25)=0,VLOOKUP(R25,Reference!$B$5:$C$115,2,FALSE)*S25,0)+IF(COUNTBLANK(T25)=0,VLOOKUP(T25,Reference!$B$5:$C$115,2,FALSE)*U25,0)+IF(COUNTBLANK(V25)=0,VLOOKUP(V25,Reference!$B$5:$C$115,2,FALSE)*W25,0)+IF(COUNTBLANK(X25)=0,VLOOKUP(X25,Reference!$B$5:$C$115,2,FALSE)*Y25,0)</f>
        <v>145.90109999999999</v>
      </c>
      <c r="AB25" s="321">
        <f>VLOOKUP(B25,Streams!$A$17:$E$939,5,FALSE)</f>
        <v>0.25923970847482214</v>
      </c>
      <c r="AC25" s="497">
        <f>E25*AB25</f>
        <v>5.0543377567572869E-3</v>
      </c>
      <c r="AD25" s="495">
        <f>VLOOKUP(Z25,Reference!O27:P40,2,FALSE)</f>
        <v>1000</v>
      </c>
      <c r="AE25" s="327">
        <f t="shared" ref="AE25" si="37">AD25*AC25</f>
        <v>5.0543377567572874</v>
      </c>
      <c r="AG25" s="762">
        <f>$AC25*(IF(TYPE(INDEX($F25:$Y25,1,MATCH(AG$7,$F25:$Y25,0)+1))=1,INDEX($F25:$Y25,1,MATCH(AG$7,$F25:$Y25,0)+1),0))*VLOOKUP(AG$7,Reference!$B$7:$C$117,2,FALSE)/$AA25</f>
        <v>0</v>
      </c>
      <c r="AH25" s="762">
        <f>$AC25*(IF(TYPE(INDEX($F25:$Y25,1,MATCH(AH$7,$F25:$Y25,0)+1))=1,INDEX($F25:$Y25,1,MATCH(AH$7,$F25:$Y25,0)+1),0))*VLOOKUP(AH$7,Reference!$B$7:$C$117,2,FALSE)/$AA25</f>
        <v>0</v>
      </c>
      <c r="AI25" s="762">
        <f>$AC25*(IF(TYPE(INDEX($F25:$Y25,1,MATCH(AI$7,$F25:$Y25,0)+1))=1,INDEX($F25:$Y25,1,MATCH(AI$7,$F25:$Y25,0)+1),0))*VLOOKUP(AI$7,Reference!$B$7:$C$117,2,FALSE)/$AA25</f>
        <v>0</v>
      </c>
      <c r="AJ25" s="762">
        <f>$AC25*(IF(TYPE(INDEX($F25:$Y25,1,MATCH(AJ$7,$F25:$Y25,0)+1))=1,INDEX($F25:$Y25,1,MATCH(AJ$7,$F25:$Y25,0)+1),0))*VLOOKUP(AJ$7,Reference!$B$7:$C$117,2,FALSE)/$AA25</f>
        <v>1.974440160587774E-3</v>
      </c>
      <c r="AK25" s="762">
        <f>$AC25*(IF(TYPE(INDEX($F25:$Y25,1,MATCH(AK$7,$F25:$Y25,0)+1))=1,INDEX($F25:$Y25,1,MATCH(AK$7,$F25:$Y25,0)+1),0))*VLOOKUP(AK$7,Reference!$B$7:$C$117,2,FALSE)/$AA25</f>
        <v>0</v>
      </c>
      <c r="AL25" s="762">
        <f>$AC25*(IF(TYPE(INDEX($F25:$Y25,1,MATCH(AL$7,$F25:$Y25,0)+1))=1,INDEX($F25:$Y25,1,MATCH(AL$7,$F25:$Y25,0)+1),0))*VLOOKUP(AL$7,Reference!$B$7:$C$117,2,FALSE)/$AA25</f>
        <v>3.0798975961695129E-3</v>
      </c>
      <c r="AM25" s="762">
        <f>$AC25*(IF(TYPE(INDEX($F25:$Y25,1,MATCH(AM$7,$F25:$Y25,0)+1))=1,INDEX($F25:$Y25,1,MATCH(AM$7,$F25:$Y25,0)+1),0))*VLOOKUP(AM$7,Reference!$B$7:$C$117,2,FALSE)/$AA25</f>
        <v>0</v>
      </c>
      <c r="AN25" s="762">
        <f>$AC25*(IF(TYPE(INDEX($F25:$Y25,1,MATCH(AN$7,$F25:$Y25,0)+1))=1,INDEX($F25:$Y25,1,MATCH(AN$7,$F25:$Y25,0)+1),0))*VLOOKUP(AN$7,Reference!$B$7:$C$117,2,FALSE)/$AA25</f>
        <v>0</v>
      </c>
      <c r="AO25" s="762">
        <f>$AC25*(IF(TYPE(INDEX($F25:$Y25,1,MATCH(AO$7,$F25:$Y25,0)+1))=1,INDEX($F25:$Y25,1,MATCH(AO$7,$F25:$Y25,0)+1),0))*VLOOKUP(AO$7,Reference!$B$7:$C$117,2,FALSE)/$AA25</f>
        <v>0</v>
      </c>
      <c r="AP25" s="762">
        <f>$AC25*(IF(TYPE(INDEX($F25:$Y25,1,MATCH(AP$7,$F25:$Y25,0)+1))=1,INDEX($F25:$Y25,1,MATCH(AP$7,$F25:$Y25,0)+1),0))*VLOOKUP(AP$7,Reference!$B$7:$C$117,2,FALSE)/$AA25</f>
        <v>0</v>
      </c>
      <c r="AQ25" s="762">
        <f>$AC25*(IF(TYPE(INDEX($F25:$Y25,1,MATCH(AQ$7,$F25:$Y25,0)+1))=1,INDEX($F25:$Y25,1,MATCH(AQ$7,$F25:$Y25,0)+1),0))*VLOOKUP(AQ$7,Reference!$B$7:$C$117,2,FALSE)/$AA25</f>
        <v>0</v>
      </c>
      <c r="AR25" s="762">
        <f>$AC25*(IF(TYPE(INDEX($F25:$Y25,1,MATCH(AR$7,$F25:$Y25,0)+1))=1,INDEX($F25:$Y25,1,MATCH(AR$7,$F25:$Y25,0)+1),0))*VLOOKUP(AR$7,Reference!$B$7:$C$117,2,FALSE)/$AA25</f>
        <v>0</v>
      </c>
      <c r="AS25" s="762">
        <f>$AC25*(IF(TYPE(INDEX($F25:$Y25,1,MATCH(AS$7,$F25:$Y25,0)+1))=1,INDEX($F25:$Y25,1,MATCH(AS$7,$F25:$Y25,0)+1),0))*VLOOKUP(AS$7,Reference!$B$7:$C$117,2,FALSE)/$AA25</f>
        <v>0</v>
      </c>
      <c r="AT25" s="6"/>
      <c r="AU25" s="6"/>
      <c r="AV25" s="6"/>
    </row>
    <row r="26" spans="1:48" x14ac:dyDescent="0.25">
      <c r="A26" s="329">
        <f t="shared" si="24"/>
        <v>16</v>
      </c>
      <c r="B26" s="321">
        <v>9</v>
      </c>
      <c r="C26" s="321" t="str">
        <f>VLOOKUP(B26,Streams!$A$17:$C$937,3,FALSE)</f>
        <v>liquid</v>
      </c>
      <c r="D26" s="18" t="s">
        <v>126</v>
      </c>
      <c r="E26" s="478">
        <f>'Material Balance'!W20</f>
        <v>8.3031823154806894E-3</v>
      </c>
      <c r="F26" s="321" t="s">
        <v>46</v>
      </c>
      <c r="G26" s="321">
        <v>2</v>
      </c>
      <c r="H26" s="321" t="s">
        <v>66</v>
      </c>
      <c r="I26" s="321">
        <v>3</v>
      </c>
      <c r="J26" s="321"/>
      <c r="K26" s="321"/>
      <c r="L26" s="321"/>
      <c r="M26" s="321"/>
      <c r="N26" s="321"/>
      <c r="O26" s="321"/>
      <c r="P26" s="321"/>
      <c r="Q26" s="321"/>
      <c r="R26" s="321"/>
      <c r="S26" s="321"/>
      <c r="T26" s="321"/>
      <c r="U26" s="321"/>
      <c r="V26" s="321"/>
      <c r="W26" s="321"/>
      <c r="X26" s="321"/>
      <c r="Y26" s="321"/>
      <c r="Z26" s="18" t="str">
        <f t="shared" ref="Z26" si="38">F26&amp;IF(G26=1,"",G26)&amp;H26&amp;IF(I26=1,"",I26)&amp;J26&amp;IF(K26=1,"",K26)&amp;L26&amp;IF(M26=1,"",M26)&amp;N26&amp;IF(O26=1,"",O26)&amp;P26&amp;IF(Q26=1,"",Q26)&amp;R26&amp;IF(S26=1,"",S26)&amp;T26&amp;IF(U26=1,"",U26)&amp;V26&amp;IF(W26=1,"",W26)&amp;X26&amp;IF(Y26=1,"",Y26)</f>
        <v>Al2O3</v>
      </c>
      <c r="AA26" s="18">
        <f>IF(COUNTBLANK(F26)=0,VLOOKUP(F26,Reference!$B$5:$C$115,2,FALSE)*G26,0)+IF(COUNTBLANK(H26)=0,VLOOKUP(H26,Reference!$B$5:$C$115,2,FALSE)*I26,0)+IF(COUNTBLANK(J26)=0,VLOOKUP(J26,Reference!$B$5:$C$115,2,FALSE)*K26,0)+IF(COUNTBLANK(L26)=0,VLOOKUP(L26,Reference!$B$5:$C$115,2,FALSE)*M26,0)+IF(COUNTBLANK(N26)=0,VLOOKUP(N26,Reference!$B$5:$C$115,2,FALSE)*O26,0)+IF(COUNTBLANK(P26)=0,VLOOKUP(P26,Reference!$B$5:$C$115,2,FALSE)*Q26,0)+IF(COUNTBLANK(R26)=0,VLOOKUP(R26,Reference!$B$5:$C$115,2,FALSE)*S26,0)+IF(COUNTBLANK(T26)=0,VLOOKUP(T26,Reference!$B$5:$C$115,2,FALSE)*U26,0)+IF(COUNTBLANK(V26)=0,VLOOKUP(V26,Reference!$B$5:$C$115,2,FALSE)*W26,0)+IF(COUNTBLANK(X26)=0,VLOOKUP(X26,Reference!$B$5:$C$115,2,FALSE)*Y26,0)</f>
        <v>101.96119999999999</v>
      </c>
      <c r="AB26" s="321">
        <f>VLOOKUP(B26,Streams!$A$17:$E$939,5,FALSE)</f>
        <v>0.25923970847482214</v>
      </c>
      <c r="AC26" s="321">
        <f t="shared" ref="AC26" si="39">E26*AB26</f>
        <v>2.1525145628785128E-3</v>
      </c>
      <c r="AD26" s="495" t="e">
        <f>VLOOKUP(Z26,Reference!O27:P40,2,FALSE)</f>
        <v>#N/A</v>
      </c>
      <c r="AE26" s="327" t="e">
        <f t="shared" ref="AE26" si="40">AD26*AC26</f>
        <v>#N/A</v>
      </c>
      <c r="AG26" s="762">
        <f>$AC26*(IF(TYPE(INDEX($F26:$Y26,1,MATCH(AG$7,$F26:$Y26,0)+1))=1,INDEX($F26:$Y26,1,MATCH(AG$7,$F26:$Y26,0)+1),0))*VLOOKUP(AG$7,Reference!$B$7:$C$117,2,FALSE)/$AA26</f>
        <v>0</v>
      </c>
      <c r="AH26" s="762">
        <f>$AC26*(IF(TYPE(INDEX($F26:$Y26,1,MATCH(AH$7,$F26:$Y26,0)+1))=1,INDEX($F26:$Y26,1,MATCH(AH$7,$F26:$Y26,0)+1),0))*VLOOKUP(AH$7,Reference!$B$7:$C$117,2,FALSE)/$AA26</f>
        <v>1.0132954936971656E-3</v>
      </c>
      <c r="AI26" s="762">
        <f>$AC26*(IF(TYPE(INDEX($F26:$Y26,1,MATCH(AI$7,$F26:$Y26,0)+1))=1,INDEX($F26:$Y26,1,MATCH(AI$7,$F26:$Y26,0)+1),0))*VLOOKUP(AI$7,Reference!$B$7:$C$117,2,FALSE)/$AA26</f>
        <v>0</v>
      </c>
      <c r="AJ26" s="762">
        <f>$AC26*(IF(TYPE(INDEX($F26:$Y26,1,MATCH(AJ$7,$F26:$Y26,0)+1))=1,INDEX($F26:$Y26,1,MATCH(AJ$7,$F26:$Y26,0)+1),0))*VLOOKUP(AJ$7,Reference!$B$7:$C$117,2,FALSE)/$AA26</f>
        <v>0</v>
      </c>
      <c r="AK26" s="762">
        <f>$AC26*(IF(TYPE(INDEX($F26:$Y26,1,MATCH(AK$7,$F26:$Y26,0)+1))=1,INDEX($F26:$Y26,1,MATCH(AK$7,$F26:$Y26,0)+1),0))*VLOOKUP(AK$7,Reference!$B$7:$C$117,2,FALSE)/$AA26</f>
        <v>0</v>
      </c>
      <c r="AL26" s="762">
        <f>$AC26*(IF(TYPE(INDEX($F26:$Y26,1,MATCH(AL$7,$F26:$Y26,0)+1))=1,INDEX($F26:$Y26,1,MATCH(AL$7,$F26:$Y26,0)+1),0))*VLOOKUP(AL$7,Reference!$B$7:$C$117,2,FALSE)/$AA26</f>
        <v>0</v>
      </c>
      <c r="AM26" s="762">
        <f>$AC26*(IF(TYPE(INDEX($F26:$Y26,1,MATCH(AM$7,$F26:$Y26,0)+1))=1,INDEX($F26:$Y26,1,MATCH(AM$7,$F26:$Y26,0)+1),0))*VLOOKUP(AM$7,Reference!$B$7:$C$117,2,FALSE)/$AA26</f>
        <v>0</v>
      </c>
      <c r="AN26" s="762">
        <f>$AC26*(IF(TYPE(INDEX($F26:$Y26,1,MATCH(AN$7,$F26:$Y26,0)+1))=1,INDEX($F26:$Y26,1,MATCH(AN$7,$F26:$Y26,0)+1),0))*VLOOKUP(AN$7,Reference!$B$7:$C$117,2,FALSE)/$AA26</f>
        <v>1.1392190691813474E-3</v>
      </c>
      <c r="AO26" s="762">
        <f>$AC26*(IF(TYPE(INDEX($F26:$Y26,1,MATCH(AO$7,$F26:$Y26,0)+1))=1,INDEX($F26:$Y26,1,MATCH(AO$7,$F26:$Y26,0)+1),0))*VLOOKUP(AO$7,Reference!$B$7:$C$117,2,FALSE)/$AA26</f>
        <v>0</v>
      </c>
      <c r="AP26" s="762">
        <f>$AC26*(IF(TYPE(INDEX($F26:$Y26,1,MATCH(AP$7,$F26:$Y26,0)+1))=1,INDEX($F26:$Y26,1,MATCH(AP$7,$F26:$Y26,0)+1),0))*VLOOKUP(AP$7,Reference!$B$7:$C$117,2,FALSE)/$AA26</f>
        <v>0</v>
      </c>
      <c r="AQ26" s="762">
        <f>$AC26*(IF(TYPE(INDEX($F26:$Y26,1,MATCH(AQ$7,$F26:$Y26,0)+1))=1,INDEX($F26:$Y26,1,MATCH(AQ$7,$F26:$Y26,0)+1),0))*VLOOKUP(AQ$7,Reference!$B$7:$C$117,2,FALSE)/$AA26</f>
        <v>0</v>
      </c>
      <c r="AR26" s="762">
        <f>$AC26*(IF(TYPE(INDEX($F26:$Y26,1,MATCH(AR$7,$F26:$Y26,0)+1))=1,INDEX($F26:$Y26,1,MATCH(AR$7,$F26:$Y26,0)+1),0))*VLOOKUP(AR$7,Reference!$B$7:$C$117,2,FALSE)/$AA26</f>
        <v>0</v>
      </c>
      <c r="AS26" s="762">
        <f>$AC26*(IF(TYPE(INDEX($F26:$Y26,1,MATCH(AS$7,$F26:$Y26,0)+1))=1,INDEX($F26:$Y26,1,MATCH(AS$7,$F26:$Y26,0)+1),0))*VLOOKUP(AS$7,Reference!$B$7:$C$117,2,FALSE)/$AA26</f>
        <v>0</v>
      </c>
      <c r="AT26" s="6"/>
      <c r="AU26" s="6"/>
      <c r="AV26" s="6"/>
    </row>
    <row r="27" spans="1:48" x14ac:dyDescent="0.25">
      <c r="A27" s="329">
        <f t="shared" si="24"/>
        <v>17</v>
      </c>
      <c r="B27" s="321">
        <v>9</v>
      </c>
      <c r="C27" s="321" t="str">
        <f>VLOOKUP(B27,Streams!$A$17:$C$937,3,FALSE)</f>
        <v>liquid</v>
      </c>
      <c r="D27" s="18" t="s">
        <v>132</v>
      </c>
      <c r="E27" s="480">
        <f>'Material Balance'!W23</f>
        <v>2.4931412404649627E-4</v>
      </c>
      <c r="F27" s="321" t="s">
        <v>72</v>
      </c>
      <c r="G27" s="321">
        <v>1</v>
      </c>
      <c r="H27" s="321" t="s">
        <v>66</v>
      </c>
      <c r="I27" s="321">
        <v>2</v>
      </c>
      <c r="J27" s="321"/>
      <c r="K27" s="321"/>
      <c r="L27" s="321"/>
      <c r="M27" s="321"/>
      <c r="N27" s="321"/>
      <c r="O27" s="321"/>
      <c r="P27" s="321"/>
      <c r="Q27" s="321"/>
      <c r="R27" s="321"/>
      <c r="S27" s="321"/>
      <c r="T27" s="321"/>
      <c r="U27" s="321"/>
      <c r="V27" s="321"/>
      <c r="W27" s="321"/>
      <c r="X27" s="321"/>
      <c r="Y27" s="321"/>
      <c r="Z27" s="18" t="str">
        <f t="shared" ref="Z27" si="41">F27&amp;IF(G27=1,"",G27)&amp;H27&amp;IF(I27=1,"",I27)&amp;J27&amp;IF(K27=1,"",K27)&amp;L27&amp;IF(M27=1,"",M27)&amp;N27&amp;IF(O27=1,"",O27)&amp;P27&amp;IF(Q27=1,"",Q27)&amp;R27&amp;IF(S27=1,"",S27)&amp;T27&amp;IF(U27=1,"",U27)&amp;V27&amp;IF(W27=1,"",W27)&amp;X27&amp;IF(Y27=1,"",Y27)</f>
        <v>ZrO2</v>
      </c>
      <c r="AA27" s="18">
        <f>IF(COUNTBLANK(F27)=0,VLOOKUP(F27,Reference!$B$5:$C$115,2,FALSE)*G27,0)+IF(COUNTBLANK(H27)=0,VLOOKUP(H27,Reference!$B$5:$C$115,2,FALSE)*I27,0)+IF(COUNTBLANK(J27)=0,VLOOKUP(J27,Reference!$B$5:$C$115,2,FALSE)*K27,0)+IF(COUNTBLANK(L27)=0,VLOOKUP(L27,Reference!$B$5:$C$115,2,FALSE)*M27,0)+IF(COUNTBLANK(N27)=0,VLOOKUP(N27,Reference!$B$5:$C$115,2,FALSE)*O27,0)+IF(COUNTBLANK(P27)=0,VLOOKUP(P27,Reference!$B$5:$C$115,2,FALSE)*Q27,0)+IF(COUNTBLANK(R27)=0,VLOOKUP(R27,Reference!$B$5:$C$115,2,FALSE)*S27,0)+IF(COUNTBLANK(T27)=0,VLOOKUP(T27,Reference!$B$5:$C$115,2,FALSE)*U27,0)+IF(COUNTBLANK(V27)=0,VLOOKUP(V27,Reference!$B$5:$C$115,2,FALSE)*W27,0)+IF(COUNTBLANK(X27)=0,VLOOKUP(X27,Reference!$B$5:$C$115,2,FALSE)*Y27,0)</f>
        <v>123.22280000000001</v>
      </c>
      <c r="AB27" s="321">
        <f>VLOOKUP(B27,Streams!$A$17:$E$939,5,FALSE)</f>
        <v>0.25923970847482214</v>
      </c>
      <c r="AC27" s="321">
        <f t="shared" ref="AC27" si="42">E27*AB27</f>
        <v>6.463212083646933E-5</v>
      </c>
      <c r="AD27" s="495" t="e">
        <f>VLOOKUP(Z27,Reference!O27:P40,2,FALSE)</f>
        <v>#N/A</v>
      </c>
      <c r="AE27" s="326" t="e">
        <f t="shared" ref="AE27" si="43">AD27*AC27</f>
        <v>#N/A</v>
      </c>
      <c r="AG27" s="762">
        <f>$AC27*(IF(TYPE(INDEX($F27:$Y27,1,MATCH(AG$7,$F27:$Y27,0)+1))=1,INDEX($F27:$Y27,1,MATCH(AG$7,$F27:$Y27,0)+1),0))*VLOOKUP(AG$7,Reference!$B$7:$C$117,2,FALSE)/$AA27</f>
        <v>0</v>
      </c>
      <c r="AH27" s="762">
        <f>$AC27*(IF(TYPE(INDEX($F27:$Y27,1,MATCH(AH$7,$F27:$Y27,0)+1))=1,INDEX($F27:$Y27,1,MATCH(AH$7,$F27:$Y27,0)+1),0))*VLOOKUP(AH$7,Reference!$B$7:$C$117,2,FALSE)/$AA27</f>
        <v>1.6783828221903855E-5</v>
      </c>
      <c r="AI27" s="762">
        <f>$AC27*(IF(TYPE(INDEX($F27:$Y27,1,MATCH(AI$7,$F27:$Y27,0)+1))=1,INDEX($F27:$Y27,1,MATCH(AI$7,$F27:$Y27,0)+1),0))*VLOOKUP(AI$7,Reference!$B$7:$C$117,2,FALSE)/$AA27</f>
        <v>0</v>
      </c>
      <c r="AJ27" s="762">
        <f>$AC27*(IF(TYPE(INDEX($F27:$Y27,1,MATCH(AJ$7,$F27:$Y27,0)+1))=1,INDEX($F27:$Y27,1,MATCH(AJ$7,$F27:$Y27,0)+1),0))*VLOOKUP(AJ$7,Reference!$B$7:$C$117,2,FALSE)/$AA27</f>
        <v>0</v>
      </c>
      <c r="AK27" s="762">
        <f>$AC27*(IF(TYPE(INDEX($F27:$Y27,1,MATCH(AK$7,$F27:$Y27,0)+1))=1,INDEX($F27:$Y27,1,MATCH(AK$7,$F27:$Y27,0)+1),0))*VLOOKUP(AK$7,Reference!$B$7:$C$117,2,FALSE)/$AA27</f>
        <v>0</v>
      </c>
      <c r="AL27" s="762">
        <f>$AC27*(IF(TYPE(INDEX($F27:$Y27,1,MATCH(AL$7,$F27:$Y27,0)+1))=1,INDEX($F27:$Y27,1,MATCH(AL$7,$F27:$Y27,0)+1),0))*VLOOKUP(AL$7,Reference!$B$7:$C$117,2,FALSE)/$AA27</f>
        <v>0</v>
      </c>
      <c r="AM27" s="762">
        <f>$AC27*(IF(TYPE(INDEX($F27:$Y27,1,MATCH(AM$7,$F27:$Y27,0)+1))=1,INDEX($F27:$Y27,1,MATCH(AM$7,$F27:$Y27,0)+1),0))*VLOOKUP(AM$7,Reference!$B$7:$C$117,2,FALSE)/$AA27</f>
        <v>0</v>
      </c>
      <c r="AN27" s="762">
        <f>$AC27*(IF(TYPE(INDEX($F27:$Y27,1,MATCH(AN$7,$F27:$Y27,0)+1))=1,INDEX($F27:$Y27,1,MATCH(AN$7,$F27:$Y27,0)+1),0))*VLOOKUP(AN$7,Reference!$B$7:$C$117,2,FALSE)/$AA27</f>
        <v>0</v>
      </c>
      <c r="AO27" s="762">
        <f>$AC27*(IF(TYPE(INDEX($F27:$Y27,1,MATCH(AO$7,$F27:$Y27,0)+1))=1,INDEX($F27:$Y27,1,MATCH(AO$7,$F27:$Y27,0)+1),0))*VLOOKUP(AO$7,Reference!$B$7:$C$117,2,FALSE)/$AA27</f>
        <v>0</v>
      </c>
      <c r="AP27" s="762">
        <f>$AC27*(IF(TYPE(INDEX($F27:$Y27,1,MATCH(AP$7,$F27:$Y27,0)+1))=1,INDEX($F27:$Y27,1,MATCH(AP$7,$F27:$Y27,0)+1),0))*VLOOKUP(AP$7,Reference!$B$7:$C$117,2,FALSE)/$AA27</f>
        <v>4.7848292614565472E-5</v>
      </c>
      <c r="AQ27" s="762">
        <f>$AC27*(IF(TYPE(INDEX($F27:$Y27,1,MATCH(AQ$7,$F27:$Y27,0)+1))=1,INDEX($F27:$Y27,1,MATCH(AQ$7,$F27:$Y27,0)+1),0))*VLOOKUP(AQ$7,Reference!$B$7:$C$117,2,FALSE)/$AA27</f>
        <v>0</v>
      </c>
      <c r="AR27" s="762">
        <f>$AC27*(IF(TYPE(INDEX($F27:$Y27,1,MATCH(AR$7,$F27:$Y27,0)+1))=1,INDEX($F27:$Y27,1,MATCH(AR$7,$F27:$Y27,0)+1),0))*VLOOKUP(AR$7,Reference!$B$7:$C$117,2,FALSE)/$AA27</f>
        <v>0</v>
      </c>
      <c r="AS27" s="762">
        <f>$AC27*(IF(TYPE(INDEX($F27:$Y27,1,MATCH(AS$7,$F27:$Y27,0)+1))=1,INDEX($F27:$Y27,1,MATCH(AS$7,$F27:$Y27,0)+1),0))*VLOOKUP(AS$7,Reference!$B$7:$C$117,2,FALSE)/$AA27</f>
        <v>0</v>
      </c>
      <c r="AT27" s="6"/>
      <c r="AU27" s="6"/>
      <c r="AV27" s="6"/>
    </row>
    <row r="28" spans="1:48" x14ac:dyDescent="0.25">
      <c r="A28" s="329">
        <f t="shared" si="24"/>
        <v>18</v>
      </c>
      <c r="B28" s="321">
        <v>9</v>
      </c>
      <c r="C28" s="321" t="str">
        <f>VLOOKUP(B28,Streams!$A$17:$C$937,3,FALSE)</f>
        <v>liquid</v>
      </c>
      <c r="D28" s="18" t="s">
        <v>127</v>
      </c>
      <c r="E28" s="480">
        <f>'Material Balance'!W24</f>
        <v>2.4931412404649625E-3</v>
      </c>
      <c r="F28" s="321" t="s">
        <v>71</v>
      </c>
      <c r="G28" s="321">
        <v>2</v>
      </c>
      <c r="H28" s="321" t="s">
        <v>66</v>
      </c>
      <c r="I28" s="321">
        <v>3</v>
      </c>
      <c r="J28" s="321"/>
      <c r="K28" s="321"/>
      <c r="L28" s="321"/>
      <c r="M28" s="321"/>
      <c r="N28" s="321"/>
      <c r="O28" s="321"/>
      <c r="P28" s="321"/>
      <c r="Q28" s="321"/>
      <c r="R28" s="321"/>
      <c r="S28" s="321"/>
      <c r="T28" s="321"/>
      <c r="U28" s="321"/>
      <c r="V28" s="321"/>
      <c r="W28" s="321"/>
      <c r="X28" s="321"/>
      <c r="Y28" s="321"/>
      <c r="Z28" s="18" t="str">
        <f>F28&amp;IF(G28=1,"",G28)&amp;H28&amp;IF(I28=1,"",I28)&amp;J28&amp;IF(K28=1,"",K28)&amp;L28&amp;IF(M28=1,"",M28)&amp;N28&amp;IF(O28=1,"",O28)&amp;P28&amp;IF(Q28=1,"",Q28)&amp;R28&amp;IF(S28=1,"",S28)&amp;T28&amp;IF(U28=1,"",U28)&amp;V28&amp;IF(W28=1,"",W28)&amp;X28&amp;IF(Y28=1,"",Y28)</f>
        <v>Fe2O3</v>
      </c>
      <c r="AA28" s="18">
        <f>IF(COUNTBLANK(F28)=0,VLOOKUP(F28,Reference!$B$5:$C$115,2,FALSE)*G28,0)+IF(COUNTBLANK(H28)=0,VLOOKUP(H28,Reference!$B$5:$C$115,2,FALSE)*I28,0)+IF(COUNTBLANK(J28)=0,VLOOKUP(J28,Reference!$B$5:$C$115,2,FALSE)*K28,0)+IF(COUNTBLANK(L28)=0,VLOOKUP(L28,Reference!$B$5:$C$115,2,FALSE)*M28,0)+IF(COUNTBLANK(N28)=0,VLOOKUP(N28,Reference!$B$5:$C$115,2,FALSE)*O28,0)+IF(COUNTBLANK(P28)=0,VLOOKUP(P28,Reference!$B$5:$C$115,2,FALSE)*Q28,0)+IF(COUNTBLANK(R28)=0,VLOOKUP(R28,Reference!$B$5:$C$115,2,FALSE)*S28,0)+IF(COUNTBLANK(T28)=0,VLOOKUP(T28,Reference!$B$5:$C$115,2,FALSE)*U28,0)+IF(COUNTBLANK(V28)=0,VLOOKUP(V28,Reference!$B$5:$C$115,2,FALSE)*W28,0)+IF(COUNTBLANK(X28)=0,VLOOKUP(X28,Reference!$B$5:$C$115,2,FALSE)*Y28,0)</f>
        <v>159.68819999999999</v>
      </c>
      <c r="AB28" s="321">
        <f>VLOOKUP(B28,Streams!$A$17:$E$939,5,FALSE)</f>
        <v>0.25923970847482214</v>
      </c>
      <c r="AC28" s="321">
        <f>E28*AB28</f>
        <v>6.4632120836469328E-4</v>
      </c>
      <c r="AD28" s="495" t="e">
        <f>VLOOKUP(Z28,Reference!O27:P40,2,FALSE)</f>
        <v>#N/A</v>
      </c>
      <c r="AE28" s="326" t="e">
        <f t="shared" ref="AE28:AE31" si="44">AD28*AC28</f>
        <v>#N/A</v>
      </c>
      <c r="AG28" s="762">
        <f>$AC28*(IF(TYPE(INDEX($F28:$Y28,1,MATCH(AG$7,$F28:$Y28,0)+1))=1,INDEX($F28:$Y28,1,MATCH(AG$7,$F28:$Y28,0)+1),0))*VLOOKUP(AG$7,Reference!$B$7:$C$117,2,FALSE)/$AA28</f>
        <v>0</v>
      </c>
      <c r="AH28" s="762">
        <f>$AC28*(IF(TYPE(INDEX($F28:$Y28,1,MATCH(AH$7,$F28:$Y28,0)+1))=1,INDEX($F28:$Y28,1,MATCH(AH$7,$F28:$Y28,0)+1),0))*VLOOKUP(AH$7,Reference!$B$7:$C$117,2,FALSE)/$AA28</f>
        <v>1.942676705187373E-4</v>
      </c>
      <c r="AI28" s="762">
        <f>$AC28*(IF(TYPE(INDEX($F28:$Y28,1,MATCH(AI$7,$F28:$Y28,0)+1))=1,INDEX($F28:$Y28,1,MATCH(AI$7,$F28:$Y28,0)+1),0))*VLOOKUP(AI$7,Reference!$B$7:$C$117,2,FALSE)/$AA28</f>
        <v>0</v>
      </c>
      <c r="AJ28" s="762">
        <f>$AC28*(IF(TYPE(INDEX($F28:$Y28,1,MATCH(AJ$7,$F28:$Y28,0)+1))=1,INDEX($F28:$Y28,1,MATCH(AJ$7,$F28:$Y28,0)+1),0))*VLOOKUP(AJ$7,Reference!$B$7:$C$117,2,FALSE)/$AA28</f>
        <v>0</v>
      </c>
      <c r="AK28" s="762">
        <f>$AC28*(IF(TYPE(INDEX($F28:$Y28,1,MATCH(AK$7,$F28:$Y28,0)+1))=1,INDEX($F28:$Y28,1,MATCH(AK$7,$F28:$Y28,0)+1),0))*VLOOKUP(AK$7,Reference!$B$7:$C$117,2,FALSE)/$AA28</f>
        <v>0</v>
      </c>
      <c r="AL28" s="762">
        <f>$AC28*(IF(TYPE(INDEX($F28:$Y28,1,MATCH(AL$7,$F28:$Y28,0)+1))=1,INDEX($F28:$Y28,1,MATCH(AL$7,$F28:$Y28,0)+1),0))*VLOOKUP(AL$7,Reference!$B$7:$C$117,2,FALSE)/$AA28</f>
        <v>0</v>
      </c>
      <c r="AM28" s="762">
        <f>$AC28*(IF(TYPE(INDEX($F28:$Y28,1,MATCH(AM$7,$F28:$Y28,0)+1))=1,INDEX($F28:$Y28,1,MATCH(AM$7,$F28:$Y28,0)+1),0))*VLOOKUP(AM$7,Reference!$B$7:$C$117,2,FALSE)/$AA28</f>
        <v>0</v>
      </c>
      <c r="AN28" s="762">
        <f>$AC28*(IF(TYPE(INDEX($F28:$Y28,1,MATCH(AN$7,$F28:$Y28,0)+1))=1,INDEX($F28:$Y28,1,MATCH(AN$7,$F28:$Y28,0)+1),0))*VLOOKUP(AN$7,Reference!$B$7:$C$117,2,FALSE)/$AA28</f>
        <v>0</v>
      </c>
      <c r="AO28" s="762">
        <f>$AC28*(IF(TYPE(INDEX($F28:$Y28,1,MATCH(AO$7,$F28:$Y28,0)+1))=1,INDEX($F28:$Y28,1,MATCH(AO$7,$F28:$Y28,0)+1),0))*VLOOKUP(AO$7,Reference!$B$7:$C$117,2,FALSE)/$AA28</f>
        <v>4.5205353784595604E-4</v>
      </c>
      <c r="AP28" s="762">
        <f>$AC28*(IF(TYPE(INDEX($F28:$Y28,1,MATCH(AP$7,$F28:$Y28,0)+1))=1,INDEX($F28:$Y28,1,MATCH(AP$7,$F28:$Y28,0)+1),0))*VLOOKUP(AP$7,Reference!$B$7:$C$117,2,FALSE)/$AA28</f>
        <v>0</v>
      </c>
      <c r="AQ28" s="762">
        <f>$AC28*(IF(TYPE(INDEX($F28:$Y28,1,MATCH(AQ$7,$F28:$Y28,0)+1))=1,INDEX($F28:$Y28,1,MATCH(AQ$7,$F28:$Y28,0)+1),0))*VLOOKUP(AQ$7,Reference!$B$7:$C$117,2,FALSE)/$AA28</f>
        <v>0</v>
      </c>
      <c r="AR28" s="762">
        <f>$AC28*(IF(TYPE(INDEX($F28:$Y28,1,MATCH(AR$7,$F28:$Y28,0)+1))=1,INDEX($F28:$Y28,1,MATCH(AR$7,$F28:$Y28,0)+1),0))*VLOOKUP(AR$7,Reference!$B$7:$C$117,2,FALSE)/$AA28</f>
        <v>0</v>
      </c>
      <c r="AS28" s="762">
        <f>$AC28*(IF(TYPE(INDEX($F28:$Y28,1,MATCH(AS$7,$F28:$Y28,0)+1))=1,INDEX($F28:$Y28,1,MATCH(AS$7,$F28:$Y28,0)+1),0))*VLOOKUP(AS$7,Reference!$B$7:$C$117,2,FALSE)/$AA28</f>
        <v>0</v>
      </c>
      <c r="AT28" s="6"/>
      <c r="AU28" s="6"/>
      <c r="AV28" s="6"/>
    </row>
    <row r="29" spans="1:48" x14ac:dyDescent="0.25">
      <c r="A29" s="329">
        <f t="shared" si="24"/>
        <v>19</v>
      </c>
      <c r="B29" s="321">
        <v>9</v>
      </c>
      <c r="C29" s="321" t="str">
        <f>VLOOKUP(B29,Streams!$A$17:$C$937,3,FALSE)</f>
        <v>liquid</v>
      </c>
      <c r="D29" s="18" t="s">
        <v>129</v>
      </c>
      <c r="E29" s="480">
        <f>'Material Balance'!W25</f>
        <v>1.6620941603099756E-3</v>
      </c>
      <c r="F29" s="321" t="s">
        <v>75</v>
      </c>
      <c r="G29" s="321">
        <v>2</v>
      </c>
      <c r="H29" s="321" t="s">
        <v>66</v>
      </c>
      <c r="I29" s="321">
        <v>5</v>
      </c>
      <c r="J29" s="321"/>
      <c r="K29" s="321"/>
      <c r="L29" s="321"/>
      <c r="M29" s="321"/>
      <c r="N29" s="321"/>
      <c r="O29" s="321"/>
      <c r="P29" s="321"/>
      <c r="Q29" s="321"/>
      <c r="R29" s="321"/>
      <c r="S29" s="321"/>
      <c r="T29" s="321"/>
      <c r="U29" s="321"/>
      <c r="V29" s="321"/>
      <c r="W29" s="321"/>
      <c r="X29" s="321"/>
      <c r="Y29" s="321"/>
      <c r="Z29" s="18" t="str">
        <f t="shared" ref="Z29:Z31" si="45">F29&amp;IF(G29=1,"",G29)&amp;H29&amp;IF(I29=1,"",I29)&amp;J29&amp;IF(K29=1,"",K29)&amp;L29&amp;IF(M29=1,"",M29)&amp;N29&amp;IF(O29=1,"",O29)&amp;P29&amp;IF(Q29=1,"",Q29)&amp;R29&amp;IF(S29=1,"",S29)&amp;T29&amp;IF(U29=1,"",U29)&amp;V29&amp;IF(W29=1,"",W29)&amp;X29&amp;IF(Y29=1,"",Y29)</f>
        <v>P2O5</v>
      </c>
      <c r="AA29" s="18">
        <f>IF(COUNTBLANK(F29)=0,VLOOKUP(F29,Reference!$B$5:$C$115,2,FALSE)*G29,0)+IF(COUNTBLANK(H29)=0,VLOOKUP(H29,Reference!$B$5:$C$115,2,FALSE)*I29,0)+IF(COUNTBLANK(J29)=0,VLOOKUP(J29,Reference!$B$5:$C$115,2,FALSE)*K29,0)+IF(COUNTBLANK(L29)=0,VLOOKUP(L29,Reference!$B$5:$C$115,2,FALSE)*M29,0)+IF(COUNTBLANK(N29)=0,VLOOKUP(N29,Reference!$B$5:$C$115,2,FALSE)*O29,0)+IF(COUNTBLANK(P29)=0,VLOOKUP(P29,Reference!$B$5:$C$115,2,FALSE)*Q29,0)+IF(COUNTBLANK(R29)=0,VLOOKUP(R29,Reference!$B$5:$C$115,2,FALSE)*S29,0)+IF(COUNTBLANK(T29)=0,VLOOKUP(T29,Reference!$B$5:$C$115,2,FALSE)*U29,0)+IF(COUNTBLANK(V29)=0,VLOOKUP(V29,Reference!$B$5:$C$115,2,FALSE)*W29,0)+IF(COUNTBLANK(X29)=0,VLOOKUP(X29,Reference!$B$5:$C$115,2,FALSE)*Y29,0)</f>
        <v>141.94460000000001</v>
      </c>
      <c r="AB29" s="321">
        <f>VLOOKUP(B29,Streams!$A$17:$E$939,5,FALSE)</f>
        <v>0.25923970847482214</v>
      </c>
      <c r="AC29" s="321">
        <f t="shared" ref="AC29:AC31" si="46">E29*AB29</f>
        <v>4.3088080557646238E-4</v>
      </c>
      <c r="AD29" s="495" t="e">
        <f>VLOOKUP(Z29,Reference!O27:P40,2,FALSE)</f>
        <v>#N/A</v>
      </c>
      <c r="AE29" s="326" t="e">
        <f t="shared" si="44"/>
        <v>#N/A</v>
      </c>
      <c r="AG29" s="762">
        <f>$AC29*(IF(TYPE(INDEX($F29:$Y29,1,MATCH(AG$7,$F29:$Y29,0)+1))=1,INDEX($F29:$Y29,1,MATCH(AG$7,$F29:$Y29,0)+1),0))*VLOOKUP(AG$7,Reference!$B$7:$C$117,2,FALSE)/$AA29</f>
        <v>0</v>
      </c>
      <c r="AH29" s="762">
        <f>$AC29*(IF(TYPE(INDEX($F29:$Y29,1,MATCH(AH$7,$F29:$Y29,0)+1))=1,INDEX($F29:$Y29,1,MATCH(AH$7,$F29:$Y29,0)+1),0))*VLOOKUP(AH$7,Reference!$B$7:$C$117,2,FALSE)/$AA29</f>
        <v>2.4283538650783656E-4</v>
      </c>
      <c r="AI29" s="762">
        <f>$AC29*(IF(TYPE(INDEX($F29:$Y29,1,MATCH(AI$7,$F29:$Y29,0)+1))=1,INDEX($F29:$Y29,1,MATCH(AI$7,$F29:$Y29,0)+1),0))*VLOOKUP(AI$7,Reference!$B$7:$C$117,2,FALSE)/$AA29</f>
        <v>0</v>
      </c>
      <c r="AJ29" s="762">
        <f>$AC29*(IF(TYPE(INDEX($F29:$Y29,1,MATCH(AJ$7,$F29:$Y29,0)+1))=1,INDEX($F29:$Y29,1,MATCH(AJ$7,$F29:$Y29,0)+1),0))*VLOOKUP(AJ$7,Reference!$B$7:$C$117,2,FALSE)/$AA29</f>
        <v>0</v>
      </c>
      <c r="AK29" s="762">
        <f>$AC29*(IF(TYPE(INDEX($F29:$Y29,1,MATCH(AK$7,$F29:$Y29,0)+1))=1,INDEX($F29:$Y29,1,MATCH(AK$7,$F29:$Y29,0)+1),0))*VLOOKUP(AK$7,Reference!$B$7:$C$117,2,FALSE)/$AA29</f>
        <v>0</v>
      </c>
      <c r="AL29" s="762">
        <f>$AC29*(IF(TYPE(INDEX($F29:$Y29,1,MATCH(AL$7,$F29:$Y29,0)+1))=1,INDEX($F29:$Y29,1,MATCH(AL$7,$F29:$Y29,0)+1),0))*VLOOKUP(AL$7,Reference!$B$7:$C$117,2,FALSE)/$AA29</f>
        <v>0</v>
      </c>
      <c r="AM29" s="762">
        <f>$AC29*(IF(TYPE(INDEX($F29:$Y29,1,MATCH(AM$7,$F29:$Y29,0)+1))=1,INDEX($F29:$Y29,1,MATCH(AM$7,$F29:$Y29,0)+1),0))*VLOOKUP(AM$7,Reference!$B$7:$C$117,2,FALSE)/$AA29</f>
        <v>0</v>
      </c>
      <c r="AN29" s="762">
        <f>$AC29*(IF(TYPE(INDEX($F29:$Y29,1,MATCH(AN$7,$F29:$Y29,0)+1))=1,INDEX($F29:$Y29,1,MATCH(AN$7,$F29:$Y29,0)+1),0))*VLOOKUP(AN$7,Reference!$B$7:$C$117,2,FALSE)/$AA29</f>
        <v>0</v>
      </c>
      <c r="AO29" s="762">
        <f>$AC29*(IF(TYPE(INDEX($F29:$Y29,1,MATCH(AO$7,$F29:$Y29,0)+1))=1,INDEX($F29:$Y29,1,MATCH(AO$7,$F29:$Y29,0)+1),0))*VLOOKUP(AO$7,Reference!$B$7:$C$117,2,FALSE)/$AA29</f>
        <v>0</v>
      </c>
      <c r="AP29" s="762">
        <f>$AC29*(IF(TYPE(INDEX($F29:$Y29,1,MATCH(AP$7,$F29:$Y29,0)+1))=1,INDEX($F29:$Y29,1,MATCH(AP$7,$F29:$Y29,0)+1),0))*VLOOKUP(AP$7,Reference!$B$7:$C$117,2,FALSE)/$AA29</f>
        <v>0</v>
      </c>
      <c r="AQ29" s="762">
        <f>$AC29*(IF(TYPE(INDEX($F29:$Y29,1,MATCH(AQ$7,$F29:$Y29,0)+1))=1,INDEX($F29:$Y29,1,MATCH(AQ$7,$F29:$Y29,0)+1),0))*VLOOKUP(AQ$7,Reference!$B$7:$C$117,2,FALSE)/$AA29</f>
        <v>0</v>
      </c>
      <c r="AR29" s="762">
        <f>$AC29*(IF(TYPE(INDEX($F29:$Y29,1,MATCH(AR$7,$F29:$Y29,0)+1))=1,INDEX($F29:$Y29,1,MATCH(AR$7,$F29:$Y29,0)+1),0))*VLOOKUP(AR$7,Reference!$B$7:$C$117,2,FALSE)/$AA29</f>
        <v>0</v>
      </c>
      <c r="AS29" s="762">
        <f>$AC29*(IF(TYPE(INDEX($F29:$Y29,1,MATCH(AS$7,$F29:$Y29,0)+1))=1,INDEX($F29:$Y29,1,MATCH(AS$7,$F29:$Y29,0)+1),0))*VLOOKUP(AS$7,Reference!$B$7:$C$117,2,FALSE)/$AA29</f>
        <v>1.880454190686258E-4</v>
      </c>
      <c r="AT29" s="6"/>
      <c r="AU29" s="6"/>
      <c r="AV29" s="6"/>
    </row>
    <row r="30" spans="1:48" x14ac:dyDescent="0.25">
      <c r="A30" s="329">
        <f t="shared" si="24"/>
        <v>20</v>
      </c>
      <c r="B30" s="321">
        <v>9</v>
      </c>
      <c r="C30" s="321" t="str">
        <f>VLOOKUP(B30,Streams!$A$17:$C$937,3,FALSE)</f>
        <v>liquid</v>
      </c>
      <c r="D30" s="18" t="s">
        <v>130</v>
      </c>
      <c r="E30" s="480">
        <f>'Material Balance'!W26</f>
        <v>8.310470801549877E-4</v>
      </c>
      <c r="F30" s="321" t="s">
        <v>74</v>
      </c>
      <c r="G30" s="321">
        <v>1</v>
      </c>
      <c r="H30" s="321" t="s">
        <v>66</v>
      </c>
      <c r="I30" s="321">
        <v>2</v>
      </c>
      <c r="J30" s="321"/>
      <c r="K30" s="321"/>
      <c r="L30" s="321"/>
      <c r="M30" s="321"/>
      <c r="N30" s="321"/>
      <c r="O30" s="321"/>
      <c r="P30" s="321"/>
      <c r="Q30" s="321"/>
      <c r="R30" s="321"/>
      <c r="S30" s="321"/>
      <c r="T30" s="321"/>
      <c r="U30" s="321"/>
      <c r="V30" s="321"/>
      <c r="W30" s="321"/>
      <c r="X30" s="321"/>
      <c r="Y30" s="321"/>
      <c r="Z30" s="18" t="str">
        <f t="shared" si="45"/>
        <v>TiO2</v>
      </c>
      <c r="AA30" s="18">
        <f>IF(COUNTBLANK(F30)=0,VLOOKUP(F30,Reference!$B$5:$C$115,2,FALSE)*G30,0)+IF(COUNTBLANK(H30)=0,VLOOKUP(H30,Reference!$B$5:$C$115,2,FALSE)*I30,0)+IF(COUNTBLANK(J30)=0,VLOOKUP(J30,Reference!$B$5:$C$115,2,FALSE)*K30,0)+IF(COUNTBLANK(L30)=0,VLOOKUP(L30,Reference!$B$5:$C$115,2,FALSE)*M30,0)+IF(COUNTBLANK(N30)=0,VLOOKUP(N30,Reference!$B$5:$C$115,2,FALSE)*O30,0)+IF(COUNTBLANK(P30)=0,VLOOKUP(P30,Reference!$B$5:$C$115,2,FALSE)*Q30,0)+IF(COUNTBLANK(R30)=0,VLOOKUP(R30,Reference!$B$5:$C$115,2,FALSE)*S30,0)+IF(COUNTBLANK(T30)=0,VLOOKUP(T30,Reference!$B$5:$C$115,2,FALSE)*U30,0)+IF(COUNTBLANK(V30)=0,VLOOKUP(V30,Reference!$B$5:$C$115,2,FALSE)*W30,0)+IF(COUNTBLANK(X30)=0,VLOOKUP(X30,Reference!$B$5:$C$115,2,FALSE)*Y30,0)</f>
        <v>79.874799999999993</v>
      </c>
      <c r="AB30" s="321">
        <f>VLOOKUP(B30,Streams!$A$17:$E$939,5,FALSE)</f>
        <v>0.25923970847482214</v>
      </c>
      <c r="AC30" s="321">
        <f t="shared" si="46"/>
        <v>2.1544040278823116E-4</v>
      </c>
      <c r="AD30" s="495" t="e">
        <f>VLOOKUP(Z30,Reference!O27:P40,2,FALSE)</f>
        <v>#N/A</v>
      </c>
      <c r="AE30" s="326" t="e">
        <f t="shared" si="44"/>
        <v>#N/A</v>
      </c>
      <c r="AG30" s="762">
        <f>$AC30*(IF(TYPE(INDEX($F30:$Y30,1,MATCH(AG$7,$F30:$Y30,0)+1))=1,INDEX($F30:$Y30,1,MATCH(AG$7,$F30:$Y30,0)+1),0))*VLOOKUP(AG$7,Reference!$B$7:$C$117,2,FALSE)/$AA30</f>
        <v>0</v>
      </c>
      <c r="AH30" s="762">
        <f>$AC30*(IF(TYPE(INDEX($F30:$Y30,1,MATCH(AH$7,$F30:$Y30,0)+1))=1,INDEX($F30:$Y30,1,MATCH(AH$7,$F30:$Y30,0)+1),0))*VLOOKUP(AH$7,Reference!$B$7:$C$117,2,FALSE)/$AA30</f>
        <v>8.630800153164768E-5</v>
      </c>
      <c r="AI30" s="762">
        <f>$AC30*(IF(TYPE(INDEX($F30:$Y30,1,MATCH(AI$7,$F30:$Y30,0)+1))=1,INDEX($F30:$Y30,1,MATCH(AI$7,$F30:$Y30,0)+1),0))*VLOOKUP(AI$7,Reference!$B$7:$C$117,2,FALSE)/$AA30</f>
        <v>0</v>
      </c>
      <c r="AJ30" s="762">
        <f>$AC30*(IF(TYPE(INDEX($F30:$Y30,1,MATCH(AJ$7,$F30:$Y30,0)+1))=1,INDEX($F30:$Y30,1,MATCH(AJ$7,$F30:$Y30,0)+1),0))*VLOOKUP(AJ$7,Reference!$B$7:$C$117,2,FALSE)/$AA30</f>
        <v>0</v>
      </c>
      <c r="AK30" s="762">
        <f>$AC30*(IF(TYPE(INDEX($F30:$Y30,1,MATCH(AK$7,$F30:$Y30,0)+1))=1,INDEX($F30:$Y30,1,MATCH(AK$7,$F30:$Y30,0)+1),0))*VLOOKUP(AK$7,Reference!$B$7:$C$117,2,FALSE)/$AA30</f>
        <v>0</v>
      </c>
      <c r="AL30" s="762">
        <f>$AC30*(IF(TYPE(INDEX($F30:$Y30,1,MATCH(AL$7,$F30:$Y30,0)+1))=1,INDEX($F30:$Y30,1,MATCH(AL$7,$F30:$Y30,0)+1),0))*VLOOKUP(AL$7,Reference!$B$7:$C$117,2,FALSE)/$AA30</f>
        <v>0</v>
      </c>
      <c r="AM30" s="762">
        <f>$AC30*(IF(TYPE(INDEX($F30:$Y30,1,MATCH(AM$7,$F30:$Y30,0)+1))=1,INDEX($F30:$Y30,1,MATCH(AM$7,$F30:$Y30,0)+1),0))*VLOOKUP(AM$7,Reference!$B$7:$C$117,2,FALSE)/$AA30</f>
        <v>0</v>
      </c>
      <c r="AN30" s="762">
        <f>$AC30*(IF(TYPE(INDEX($F30:$Y30,1,MATCH(AN$7,$F30:$Y30,0)+1))=1,INDEX($F30:$Y30,1,MATCH(AN$7,$F30:$Y30,0)+1),0))*VLOOKUP(AN$7,Reference!$B$7:$C$117,2,FALSE)/$AA30</f>
        <v>0</v>
      </c>
      <c r="AO30" s="762">
        <f>$AC30*(IF(TYPE(INDEX($F30:$Y30,1,MATCH(AO$7,$F30:$Y30,0)+1))=1,INDEX($F30:$Y30,1,MATCH(AO$7,$F30:$Y30,0)+1),0))*VLOOKUP(AO$7,Reference!$B$7:$C$117,2,FALSE)/$AA30</f>
        <v>0</v>
      </c>
      <c r="AP30" s="762">
        <f>$AC30*(IF(TYPE(INDEX($F30:$Y30,1,MATCH(AP$7,$F30:$Y30,0)+1))=1,INDEX($F30:$Y30,1,MATCH(AP$7,$F30:$Y30,0)+1),0))*VLOOKUP(AP$7,Reference!$B$7:$C$117,2,FALSE)/$AA30</f>
        <v>0</v>
      </c>
      <c r="AQ30" s="762">
        <f>$AC30*(IF(TYPE(INDEX($F30:$Y30,1,MATCH(AQ$7,$F30:$Y30,0)+1))=1,INDEX($F30:$Y30,1,MATCH(AQ$7,$F30:$Y30,0)+1),0))*VLOOKUP(AQ$7,Reference!$B$7:$C$117,2,FALSE)/$AA30</f>
        <v>0</v>
      </c>
      <c r="AR30" s="762">
        <f>$AC30*(IF(TYPE(INDEX($F30:$Y30,1,MATCH(AR$7,$F30:$Y30,0)+1))=1,INDEX($F30:$Y30,1,MATCH(AR$7,$F30:$Y30,0)+1),0))*VLOOKUP(AR$7,Reference!$B$7:$C$117,2,FALSE)/$AA30</f>
        <v>1.291324012565835E-4</v>
      </c>
      <c r="AS30" s="762">
        <f>$AC30*(IF(TYPE(INDEX($F30:$Y30,1,MATCH(AS$7,$F30:$Y30,0)+1))=1,INDEX($F30:$Y30,1,MATCH(AS$7,$F30:$Y30,0)+1),0))*VLOOKUP(AS$7,Reference!$B$7:$C$117,2,FALSE)/$AA30</f>
        <v>0</v>
      </c>
      <c r="AT30" s="6"/>
      <c r="AU30" s="6"/>
      <c r="AV30" s="6"/>
    </row>
    <row r="31" spans="1:48" x14ac:dyDescent="0.25">
      <c r="A31" s="329">
        <f t="shared" si="24"/>
        <v>21</v>
      </c>
      <c r="B31" s="321">
        <v>9</v>
      </c>
      <c r="C31" s="321" t="str">
        <f>VLOOKUP(B31,Streams!$A$17:$C$937,3,FALSE)</f>
        <v>liquid</v>
      </c>
      <c r="D31" s="18" t="s">
        <v>131</v>
      </c>
      <c r="E31" s="480">
        <f>'Material Balance'!W27</f>
        <v>4.9862824809299253E-4</v>
      </c>
      <c r="F31" s="321" t="s">
        <v>73</v>
      </c>
      <c r="G31" s="321">
        <v>2</v>
      </c>
      <c r="H31" s="321" t="s">
        <v>66</v>
      </c>
      <c r="I31" s="321">
        <v>1</v>
      </c>
      <c r="J31" s="321"/>
      <c r="K31" s="321"/>
      <c r="L31" s="321"/>
      <c r="M31" s="321"/>
      <c r="N31" s="321"/>
      <c r="O31" s="321"/>
      <c r="P31" s="321"/>
      <c r="Q31" s="321"/>
      <c r="R31" s="321"/>
      <c r="S31" s="321"/>
      <c r="T31" s="321"/>
      <c r="U31" s="321"/>
      <c r="V31" s="321"/>
      <c r="W31" s="321"/>
      <c r="X31" s="321"/>
      <c r="Y31" s="321"/>
      <c r="Z31" s="18" t="str">
        <f t="shared" si="45"/>
        <v>Na2O</v>
      </c>
      <c r="AA31" s="18">
        <f>IF(COUNTBLANK(F31)=0,VLOOKUP(F31,Reference!$B$5:$C$115,2,FALSE)*G31,0)+IF(COUNTBLANK(H31)=0,VLOOKUP(H31,Reference!$B$5:$C$115,2,FALSE)*I31,0)+IF(COUNTBLANK(J31)=0,VLOOKUP(J31,Reference!$B$5:$C$115,2,FALSE)*K31,0)+IF(COUNTBLANK(L31)=0,VLOOKUP(L31,Reference!$B$5:$C$115,2,FALSE)*M31,0)+IF(COUNTBLANK(N31)=0,VLOOKUP(N31,Reference!$B$5:$C$115,2,FALSE)*O31,0)+IF(COUNTBLANK(P31)=0,VLOOKUP(P31,Reference!$B$5:$C$115,2,FALSE)*Q31,0)+IF(COUNTBLANK(R31)=0,VLOOKUP(R31,Reference!$B$5:$C$115,2,FALSE)*S31,0)+IF(COUNTBLANK(T31)=0,VLOOKUP(T31,Reference!$B$5:$C$115,2,FALSE)*U31,0)+IF(COUNTBLANK(V31)=0,VLOOKUP(V31,Reference!$B$5:$C$115,2,FALSE)*W31,0)+IF(COUNTBLANK(X31)=0,VLOOKUP(X31,Reference!$B$5:$C$115,2,FALSE)*Y31,0)</f>
        <v>61.9788</v>
      </c>
      <c r="AB31" s="321">
        <f>VLOOKUP(B31,Streams!$A$17:$E$939,5,FALSE)</f>
        <v>0.25923970847482214</v>
      </c>
      <c r="AC31" s="321">
        <f t="shared" si="46"/>
        <v>1.2926424167293866E-4</v>
      </c>
      <c r="AD31" s="495" t="e">
        <f>VLOOKUP(Z31,Reference!O27:P40,2,FALSE)</f>
        <v>#N/A</v>
      </c>
      <c r="AE31" s="326" t="e">
        <f t="shared" si="44"/>
        <v>#N/A</v>
      </c>
      <c r="AG31" s="762">
        <f>$AC31*(IF(TYPE(INDEX($F31:$Y31,1,MATCH(AG$7,$F31:$Y31,0)+1))=1,INDEX($F31:$Y31,1,MATCH(AG$7,$F31:$Y31,0)+1),0))*VLOOKUP(AG$7,Reference!$B$7:$C$117,2,FALSE)/$AA31</f>
        <v>0</v>
      </c>
      <c r="AH31" s="762">
        <f>$AC31*(IF(TYPE(INDEX($F31:$Y31,1,MATCH(AH$7,$F31:$Y31,0)+1))=1,INDEX($F31:$Y31,1,MATCH(AH$7,$F31:$Y31,0)+1),0))*VLOOKUP(AH$7,Reference!$B$7:$C$117,2,FALSE)/$AA31</f>
        <v>3.3368672969176794E-5</v>
      </c>
      <c r="AI31" s="762">
        <f>$AC31*(IF(TYPE(INDEX($F31:$Y31,1,MATCH(AI$7,$F31:$Y31,0)+1))=1,INDEX($F31:$Y31,1,MATCH(AI$7,$F31:$Y31,0)+1),0))*VLOOKUP(AI$7,Reference!$B$7:$C$117,2,FALSE)/$AA31</f>
        <v>0</v>
      </c>
      <c r="AJ31" s="762">
        <f>$AC31*(IF(TYPE(INDEX($F31:$Y31,1,MATCH(AJ$7,$F31:$Y31,0)+1))=1,INDEX($F31:$Y31,1,MATCH(AJ$7,$F31:$Y31,0)+1),0))*VLOOKUP(AJ$7,Reference!$B$7:$C$117,2,FALSE)/$AA31</f>
        <v>0</v>
      </c>
      <c r="AK31" s="762">
        <f>$AC31*(IF(TYPE(INDEX($F31:$Y31,1,MATCH(AK$7,$F31:$Y31,0)+1))=1,INDEX($F31:$Y31,1,MATCH(AK$7,$F31:$Y31,0)+1),0))*VLOOKUP(AK$7,Reference!$B$7:$C$117,2,FALSE)/$AA31</f>
        <v>0</v>
      </c>
      <c r="AL31" s="762">
        <f>$AC31*(IF(TYPE(INDEX($F31:$Y31,1,MATCH(AL$7,$F31:$Y31,0)+1))=1,INDEX($F31:$Y31,1,MATCH(AL$7,$F31:$Y31,0)+1),0))*VLOOKUP(AL$7,Reference!$B$7:$C$117,2,FALSE)/$AA31</f>
        <v>0</v>
      </c>
      <c r="AM31" s="762">
        <f>$AC31*(IF(TYPE(INDEX($F31:$Y31,1,MATCH(AM$7,$F31:$Y31,0)+1))=1,INDEX($F31:$Y31,1,MATCH(AM$7,$F31:$Y31,0)+1),0))*VLOOKUP(AM$7,Reference!$B$7:$C$117,2,FALSE)/$AA31</f>
        <v>0</v>
      </c>
      <c r="AN31" s="762">
        <f>$AC31*(IF(TYPE(INDEX($F31:$Y31,1,MATCH(AN$7,$F31:$Y31,0)+1))=1,INDEX($F31:$Y31,1,MATCH(AN$7,$F31:$Y31,0)+1),0))*VLOOKUP(AN$7,Reference!$B$7:$C$117,2,FALSE)/$AA31</f>
        <v>0</v>
      </c>
      <c r="AO31" s="762">
        <f>$AC31*(IF(TYPE(INDEX($F31:$Y31,1,MATCH(AO$7,$F31:$Y31,0)+1))=1,INDEX($F31:$Y31,1,MATCH(AO$7,$F31:$Y31,0)+1),0))*VLOOKUP(AO$7,Reference!$B$7:$C$117,2,FALSE)/$AA31</f>
        <v>0</v>
      </c>
      <c r="AP31" s="762">
        <f>$AC31*(IF(TYPE(INDEX($F31:$Y31,1,MATCH(AP$7,$F31:$Y31,0)+1))=1,INDEX($F31:$Y31,1,MATCH(AP$7,$F31:$Y31,0)+1),0))*VLOOKUP(AP$7,Reference!$B$7:$C$117,2,FALSE)/$AA31</f>
        <v>0</v>
      </c>
      <c r="AQ31" s="762">
        <f>$AC31*(IF(TYPE(INDEX($F31:$Y31,1,MATCH(AQ$7,$F31:$Y31,0)+1))=1,INDEX($F31:$Y31,1,MATCH(AQ$7,$F31:$Y31,0)+1),0))*VLOOKUP(AQ$7,Reference!$B$7:$C$117,2,FALSE)/$AA31</f>
        <v>9.5895568703761861E-5</v>
      </c>
      <c r="AR31" s="762">
        <f>$AC31*(IF(TYPE(INDEX($F31:$Y31,1,MATCH(AR$7,$F31:$Y31,0)+1))=1,INDEX($F31:$Y31,1,MATCH(AR$7,$F31:$Y31,0)+1),0))*VLOOKUP(AR$7,Reference!$B$7:$C$117,2,FALSE)/$AA31</f>
        <v>0</v>
      </c>
      <c r="AS31" s="762">
        <f>$AC31*(IF(TYPE(INDEX($F31:$Y31,1,MATCH(AS$7,$F31:$Y31,0)+1))=1,INDEX($F31:$Y31,1,MATCH(AS$7,$F31:$Y31,0)+1),0))*VLOOKUP(AS$7,Reference!$B$7:$C$117,2,FALSE)/$AA31</f>
        <v>0</v>
      </c>
      <c r="AT31" s="6"/>
      <c r="AU31" s="6"/>
      <c r="AV31" s="6"/>
    </row>
    <row r="32" spans="1:48" x14ac:dyDescent="0.25">
      <c r="A32" s="404">
        <f t="shared" ref="A32:A41" si="47">IF(TYPE(A31)=2,1,1+A31)</f>
        <v>22</v>
      </c>
      <c r="B32" s="321">
        <v>9</v>
      </c>
      <c r="C32" s="321" t="str">
        <f>VLOOKUP(B32,Streams!$A$17:$C$937,3,FALSE)</f>
        <v>liquid</v>
      </c>
      <c r="D32" s="18" t="s">
        <v>139</v>
      </c>
      <c r="E32" s="531">
        <f>'Material Balance'!W22</f>
        <v>0</v>
      </c>
      <c r="F32" s="321" t="s">
        <v>70</v>
      </c>
      <c r="G32" s="321">
        <v>2</v>
      </c>
      <c r="H32" s="321" t="s">
        <v>66</v>
      </c>
      <c r="I32" s="321">
        <v>3</v>
      </c>
      <c r="J32" s="321"/>
      <c r="K32" s="321"/>
      <c r="L32" s="321"/>
      <c r="M32" s="321"/>
      <c r="N32" s="321"/>
      <c r="O32" s="321"/>
      <c r="P32" s="321"/>
      <c r="Q32" s="321"/>
      <c r="R32" s="321"/>
      <c r="S32" s="321"/>
      <c r="T32" s="321"/>
      <c r="U32" s="321"/>
      <c r="V32" s="321"/>
      <c r="W32" s="321"/>
      <c r="X32" s="321"/>
      <c r="Y32" s="321"/>
      <c r="Z32" s="18" t="str">
        <f t="shared" ref="Z32" si="48">F32&amp;IF(G32=1,"",G32)&amp;H32&amp;IF(I32=1,"",I32)&amp;J32&amp;IF(K32=1,"",K32)&amp;L32&amp;IF(M32=1,"",M32)&amp;N32&amp;IF(O32=1,"",O32)&amp;P32&amp;IF(Q32=1,"",Q32)&amp;R32&amp;IF(S32=1,"",S32)&amp;T32&amp;IF(U32=1,"",U32)&amp;V32&amp;IF(W32=1,"",W32)&amp;X32&amp;IF(Y32=1,"",Y32)</f>
        <v>Y2O3</v>
      </c>
      <c r="AA32" s="18">
        <f>IF(COUNTBLANK(F32)=0,VLOOKUP(F32,Reference!$B$5:$C$115,2,FALSE)*G32,0)+IF(COUNTBLANK(H32)=0,VLOOKUP(H32,Reference!$B$5:$C$115,2,FALSE)*I32,0)+IF(COUNTBLANK(J32)=0,VLOOKUP(J32,Reference!$B$5:$C$115,2,FALSE)*K32,0)+IF(COUNTBLANK(L32)=0,VLOOKUP(L32,Reference!$B$5:$C$115,2,FALSE)*M32,0)+IF(COUNTBLANK(N32)=0,VLOOKUP(N32,Reference!$B$5:$C$115,2,FALSE)*O32,0)+IF(COUNTBLANK(P32)=0,VLOOKUP(P32,Reference!$B$5:$C$115,2,FALSE)*Q32,0)+IF(COUNTBLANK(R32)=0,VLOOKUP(R32,Reference!$B$5:$C$115,2,FALSE)*S32,0)+IF(COUNTBLANK(T32)=0,VLOOKUP(T32,Reference!$B$5:$C$115,2,FALSE)*U32,0)+IF(COUNTBLANK(V32)=0,VLOOKUP(V32,Reference!$B$5:$C$115,2,FALSE)*W32,0)+IF(COUNTBLANK(X32)=0,VLOOKUP(X32,Reference!$B$5:$C$115,2,FALSE)*Y32,0)</f>
        <v>225.81</v>
      </c>
      <c r="AB32" s="321">
        <f>VLOOKUP(B32,Streams!$A$17:$E$939,5,FALSE)</f>
        <v>0.25923970847482214</v>
      </c>
      <c r="AC32" s="321">
        <f>E32*AB32</f>
        <v>0</v>
      </c>
      <c r="AD32" s="495">
        <f>VLOOKUP(Z32,Reference!O27:P40,2,FALSE)</f>
        <v>5</v>
      </c>
      <c r="AE32" s="447">
        <f t="shared" ref="AE32" si="49">AD32*AC32</f>
        <v>0</v>
      </c>
      <c r="AG32" s="762">
        <f>$AC32*(IF(TYPE(INDEX($F32:$Y32,1,MATCH(AG$7,$F32:$Y32,0)+1))=1,INDEX($F32:$Y32,1,MATCH(AG$7,$F32:$Y32,0)+1),0))*VLOOKUP(AG$7,Reference!$B$7:$C$117,2,FALSE)/$AA32</f>
        <v>0</v>
      </c>
      <c r="AH32" s="762">
        <f>$AC32*(IF(TYPE(INDEX($F32:$Y32,1,MATCH(AH$7,$F32:$Y32,0)+1))=1,INDEX($F32:$Y32,1,MATCH(AH$7,$F32:$Y32,0)+1),0))*VLOOKUP(AH$7,Reference!$B$7:$C$117,2,FALSE)/$AA32</f>
        <v>0</v>
      </c>
      <c r="AI32" s="762">
        <f>$AC32*(IF(TYPE(INDEX($F32:$Y32,1,MATCH(AI$7,$F32:$Y32,0)+1))=1,INDEX($F32:$Y32,1,MATCH(AI$7,$F32:$Y32,0)+1),0))*VLOOKUP(AI$7,Reference!$B$7:$C$117,2,FALSE)/$AA32</f>
        <v>0</v>
      </c>
      <c r="AJ32" s="762">
        <f>$AC32*(IF(TYPE(INDEX($F32:$Y32,1,MATCH(AJ$7,$F32:$Y32,0)+1))=1,INDEX($F32:$Y32,1,MATCH(AJ$7,$F32:$Y32,0)+1),0))*VLOOKUP(AJ$7,Reference!$B$7:$C$117,2,FALSE)/$AA32</f>
        <v>0</v>
      </c>
      <c r="AK32" s="762">
        <f>$AC32*(IF(TYPE(INDEX($F32:$Y32,1,MATCH(AK$7,$F32:$Y32,0)+1))=1,INDEX($F32:$Y32,1,MATCH(AK$7,$F32:$Y32,0)+1),0))*VLOOKUP(AK$7,Reference!$B$7:$C$117,2,FALSE)/$AA32</f>
        <v>0</v>
      </c>
      <c r="AL32" s="762">
        <f>$AC32*(IF(TYPE(INDEX($F32:$Y32,1,MATCH(AL$7,$F32:$Y32,0)+1))=1,INDEX($F32:$Y32,1,MATCH(AL$7,$F32:$Y32,0)+1),0))*VLOOKUP(AL$7,Reference!$B$7:$C$117,2,FALSE)/$AA32</f>
        <v>0</v>
      </c>
      <c r="AM32" s="762">
        <f>$AC32*(IF(TYPE(INDEX($F32:$Y32,1,MATCH(AM$7,$F32:$Y32,0)+1))=1,INDEX($F32:$Y32,1,MATCH(AM$7,$F32:$Y32,0)+1),0))*VLOOKUP(AM$7,Reference!$B$7:$C$117,2,FALSE)/$AA32</f>
        <v>0</v>
      </c>
      <c r="AN32" s="762">
        <f>$AC32*(IF(TYPE(INDEX($F32:$Y32,1,MATCH(AN$7,$F32:$Y32,0)+1))=1,INDEX($F32:$Y32,1,MATCH(AN$7,$F32:$Y32,0)+1),0))*VLOOKUP(AN$7,Reference!$B$7:$C$117,2,FALSE)/$AA32</f>
        <v>0</v>
      </c>
      <c r="AO32" s="762">
        <f>$AC32*(IF(TYPE(INDEX($F32:$Y32,1,MATCH(AO$7,$F32:$Y32,0)+1))=1,INDEX($F32:$Y32,1,MATCH(AO$7,$F32:$Y32,0)+1),0))*VLOOKUP(AO$7,Reference!$B$7:$C$117,2,FALSE)/$AA32</f>
        <v>0</v>
      </c>
      <c r="AP32" s="762">
        <f>$AC32*(IF(TYPE(INDEX($F32:$Y32,1,MATCH(AP$7,$F32:$Y32,0)+1))=1,INDEX($F32:$Y32,1,MATCH(AP$7,$F32:$Y32,0)+1),0))*VLOOKUP(AP$7,Reference!$B$7:$C$117,2,FALSE)/$AA32</f>
        <v>0</v>
      </c>
      <c r="AQ32" s="762">
        <f>$AC32*(IF(TYPE(INDEX($F32:$Y32,1,MATCH(AQ$7,$F32:$Y32,0)+1))=1,INDEX($F32:$Y32,1,MATCH(AQ$7,$F32:$Y32,0)+1),0))*VLOOKUP(AQ$7,Reference!$B$7:$C$117,2,FALSE)/$AA32</f>
        <v>0</v>
      </c>
      <c r="AR32" s="762">
        <f>$AC32*(IF(TYPE(INDEX($F32:$Y32,1,MATCH(AR$7,$F32:$Y32,0)+1))=1,INDEX($F32:$Y32,1,MATCH(AR$7,$F32:$Y32,0)+1),0))*VLOOKUP(AR$7,Reference!$B$7:$C$117,2,FALSE)/$AA32</f>
        <v>0</v>
      </c>
      <c r="AS32" s="762">
        <f>$AC32*(IF(TYPE(INDEX($F32:$Y32,1,MATCH(AS$7,$F32:$Y32,0)+1))=1,INDEX($F32:$Y32,1,MATCH(AS$7,$F32:$Y32,0)+1),0))*VLOOKUP(AS$7,Reference!$B$7:$C$117,2,FALSE)/$AA32</f>
        <v>0</v>
      </c>
      <c r="AT32" s="6"/>
      <c r="AU32" s="6"/>
      <c r="AV32" s="6"/>
    </row>
    <row r="33" spans="1:48" x14ac:dyDescent="0.25">
      <c r="A33" s="335">
        <f t="shared" si="47"/>
        <v>23</v>
      </c>
      <c r="B33" s="322">
        <v>9</v>
      </c>
      <c r="C33" s="322" t="str">
        <f>VLOOKUP(B33,Streams!$A$17:$C$937,3,FALSE)</f>
        <v>liquid</v>
      </c>
      <c r="D33" s="11" t="s">
        <v>133</v>
      </c>
      <c r="E33" s="526">
        <f>'Material Balance'!W28</f>
        <v>8.0446728359869822E-5</v>
      </c>
      <c r="F33" s="322" t="s">
        <v>47</v>
      </c>
      <c r="G33" s="322">
        <v>2</v>
      </c>
      <c r="H33" s="322" t="s">
        <v>66</v>
      </c>
      <c r="I33" s="322">
        <v>3</v>
      </c>
      <c r="J33" s="322"/>
      <c r="K33" s="322"/>
      <c r="L33" s="322"/>
      <c r="M33" s="322"/>
      <c r="N33" s="322"/>
      <c r="O33" s="322"/>
      <c r="P33" s="322"/>
      <c r="Q33" s="322"/>
      <c r="R33" s="322"/>
      <c r="S33" s="322"/>
      <c r="T33" s="322"/>
      <c r="U33" s="322"/>
      <c r="V33" s="322"/>
      <c r="W33" s="322"/>
      <c r="X33" s="322"/>
      <c r="Y33" s="322"/>
      <c r="Z33" s="11" t="str">
        <f t="shared" ref="Z33:Z37" si="50">F33&amp;IF(G33=1,"",G33)&amp;H33&amp;IF(I33=1,"",I33)&amp;J33&amp;IF(K33=1,"",K33)&amp;L33&amp;IF(M33=1,"",M33)&amp;N33&amp;IF(O33=1,"",O33)&amp;P33&amp;IF(Q33=1,"",Q33)&amp;R33&amp;IF(S33=1,"",S33)&amp;T33&amp;IF(U33=1,"",U33)&amp;V33&amp;IF(W33=1,"",W33)&amp;X33&amp;IF(Y33=1,"",Y33)</f>
        <v>B2O3</v>
      </c>
      <c r="AA33" s="11">
        <f>IF(COUNTBLANK(F33)=0,VLOOKUP(F33,Reference!$B$5:$C$115,2,FALSE)*G33,0)+IF(COUNTBLANK(H33)=0,VLOOKUP(H33,Reference!$B$5:$C$115,2,FALSE)*I33,0)+IF(COUNTBLANK(J33)=0,VLOOKUP(J33,Reference!$B$5:$C$115,2,FALSE)*K33,0)+IF(COUNTBLANK(L33)=0,VLOOKUP(L33,Reference!$B$5:$C$115,2,FALSE)*M33,0)+IF(COUNTBLANK(N33)=0,VLOOKUP(N33,Reference!$B$5:$C$115,2,FALSE)*O33,0)+IF(COUNTBLANK(P33)=0,VLOOKUP(P33,Reference!$B$5:$C$115,2,FALSE)*Q33,0)+IF(COUNTBLANK(R33)=0,VLOOKUP(R33,Reference!$B$5:$C$115,2,FALSE)*S33,0)+IF(COUNTBLANK(T33)=0,VLOOKUP(T33,Reference!$B$5:$C$115,2,FALSE)*U33,0)+IF(COUNTBLANK(V33)=0,VLOOKUP(V33,Reference!$B$5:$C$115,2,FALSE)*W33,0)+IF(COUNTBLANK(X33)=0,VLOOKUP(X33,Reference!$B$5:$C$115,2,FALSE)*Y33,0)</f>
        <v>69.620199999999997</v>
      </c>
      <c r="AB33" s="322">
        <f>VLOOKUP(B33,Streams!$A$17:$E$939,5,FALSE)</f>
        <v>0.25923970847482214</v>
      </c>
      <c r="AC33" s="322">
        <f t="shared" ref="AC33" si="51">E33*AB33</f>
        <v>2.085498640776586E-5</v>
      </c>
      <c r="AD33" s="495" t="e">
        <f>VLOOKUP(Z33,Reference!O27:P40,2,FALSE)</f>
        <v>#N/A</v>
      </c>
      <c r="AE33" s="336" t="e">
        <f t="shared" ref="AE33:AE37" si="52">AD33*AC33</f>
        <v>#N/A</v>
      </c>
      <c r="AG33" s="762">
        <f>$AC33*(IF(TYPE(INDEX($F33:$Y33,1,MATCH(AG$7,$F33:$Y33,0)+1))=1,INDEX($F33:$Y33,1,MATCH(AG$7,$F33:$Y33,0)+1),0))*VLOOKUP(AG$7,Reference!$B$7:$C$117,2,FALSE)/$AA33</f>
        <v>0</v>
      </c>
      <c r="AH33" s="762">
        <f>$AC33*(IF(TYPE(INDEX($F33:$Y33,1,MATCH(AH$7,$F33:$Y33,0)+1))=1,INDEX($F33:$Y33,1,MATCH(AH$7,$F33:$Y33,0)+1),0))*VLOOKUP(AH$7,Reference!$B$7:$C$117,2,FALSE)/$AA33</f>
        <v>1.4378036957624763E-5</v>
      </c>
      <c r="AI33" s="762">
        <f>$AC33*(IF(TYPE(INDEX($F33:$Y33,1,MATCH(AI$7,$F33:$Y33,0)+1))=1,INDEX($F33:$Y33,1,MATCH(AI$7,$F33:$Y33,0)+1),0))*VLOOKUP(AI$7,Reference!$B$7:$C$117,2,FALSE)/$AA33</f>
        <v>0</v>
      </c>
      <c r="AJ33" s="762">
        <f>$AC33*(IF(TYPE(INDEX($F33:$Y33,1,MATCH(AJ$7,$F33:$Y33,0)+1))=1,INDEX($F33:$Y33,1,MATCH(AJ$7,$F33:$Y33,0)+1),0))*VLOOKUP(AJ$7,Reference!$B$7:$C$117,2,FALSE)/$AA33</f>
        <v>0</v>
      </c>
      <c r="AK33" s="762">
        <f>$AC33*(IF(TYPE(INDEX($F33:$Y33,1,MATCH(AK$7,$F33:$Y33,0)+1))=1,INDEX($F33:$Y33,1,MATCH(AK$7,$F33:$Y33,0)+1),0))*VLOOKUP(AK$7,Reference!$B$7:$C$117,2,FALSE)/$AA33</f>
        <v>0</v>
      </c>
      <c r="AL33" s="762">
        <f>$AC33*(IF(TYPE(INDEX($F33:$Y33,1,MATCH(AL$7,$F33:$Y33,0)+1))=1,INDEX($F33:$Y33,1,MATCH(AL$7,$F33:$Y33,0)+1),0))*VLOOKUP(AL$7,Reference!$B$7:$C$117,2,FALSE)/$AA33</f>
        <v>0</v>
      </c>
      <c r="AM33" s="762">
        <f>$AC33*(IF(TYPE(INDEX($F33:$Y33,1,MATCH(AM$7,$F33:$Y33,0)+1))=1,INDEX($F33:$Y33,1,MATCH(AM$7,$F33:$Y33,0)+1),0))*VLOOKUP(AM$7,Reference!$B$7:$C$117,2,FALSE)/$AA33</f>
        <v>6.4769494501411007E-6</v>
      </c>
      <c r="AN33" s="762">
        <f>$AC33*(IF(TYPE(INDEX($F33:$Y33,1,MATCH(AN$7,$F33:$Y33,0)+1))=1,INDEX($F33:$Y33,1,MATCH(AN$7,$F33:$Y33,0)+1),0))*VLOOKUP(AN$7,Reference!$B$7:$C$117,2,FALSE)/$AA33</f>
        <v>0</v>
      </c>
      <c r="AO33" s="762">
        <f>$AC33*(IF(TYPE(INDEX($F33:$Y33,1,MATCH(AO$7,$F33:$Y33,0)+1))=1,INDEX($F33:$Y33,1,MATCH(AO$7,$F33:$Y33,0)+1),0))*VLOOKUP(AO$7,Reference!$B$7:$C$117,2,FALSE)/$AA33</f>
        <v>0</v>
      </c>
      <c r="AP33" s="762">
        <f>$AC33*(IF(TYPE(INDEX($F33:$Y33,1,MATCH(AP$7,$F33:$Y33,0)+1))=1,INDEX($F33:$Y33,1,MATCH(AP$7,$F33:$Y33,0)+1),0))*VLOOKUP(AP$7,Reference!$B$7:$C$117,2,FALSE)/$AA33</f>
        <v>0</v>
      </c>
      <c r="AQ33" s="762">
        <f>$AC33*(IF(TYPE(INDEX($F33:$Y33,1,MATCH(AQ$7,$F33:$Y33,0)+1))=1,INDEX($F33:$Y33,1,MATCH(AQ$7,$F33:$Y33,0)+1),0))*VLOOKUP(AQ$7,Reference!$B$7:$C$117,2,FALSE)/$AA33</f>
        <v>0</v>
      </c>
      <c r="AR33" s="762">
        <f>$AC33*(IF(TYPE(INDEX($F33:$Y33,1,MATCH(AR$7,$F33:$Y33,0)+1))=1,INDEX($F33:$Y33,1,MATCH(AR$7,$F33:$Y33,0)+1),0))*VLOOKUP(AR$7,Reference!$B$7:$C$117,2,FALSE)/$AA33</f>
        <v>0</v>
      </c>
      <c r="AS33" s="762">
        <f>$AC33*(IF(TYPE(INDEX($F33:$Y33,1,MATCH(AS$7,$F33:$Y33,0)+1))=1,INDEX($F33:$Y33,1,MATCH(AS$7,$F33:$Y33,0)+1),0))*VLOOKUP(AS$7,Reference!$B$7:$C$117,2,FALSE)/$AA33</f>
        <v>0</v>
      </c>
      <c r="AT33" s="6"/>
      <c r="AU33" s="6"/>
      <c r="AV33" s="6"/>
    </row>
    <row r="34" spans="1:48" x14ac:dyDescent="0.25">
      <c r="A34" s="405">
        <f t="shared" si="47"/>
        <v>24</v>
      </c>
      <c r="B34" s="321">
        <v>8</v>
      </c>
      <c r="C34" s="321" t="str">
        <f>VLOOKUP(B34,Streams!$A$17:$C$937,3,FALSE)</f>
        <v>solid</v>
      </c>
      <c r="D34" s="18" t="s">
        <v>140</v>
      </c>
      <c r="E34" s="484">
        <f>'Material Balance'!R48</f>
        <v>0.99999878599999992</v>
      </c>
      <c r="F34" s="328" t="s">
        <v>45</v>
      </c>
      <c r="G34" s="296">
        <v>1</v>
      </c>
      <c r="H34" s="321"/>
      <c r="I34" s="321"/>
      <c r="J34" s="321"/>
      <c r="K34" s="321"/>
      <c r="L34" s="321"/>
      <c r="M34" s="321"/>
      <c r="N34" s="321"/>
      <c r="O34" s="321"/>
      <c r="P34" s="321"/>
      <c r="Q34" s="321"/>
      <c r="R34" s="321"/>
      <c r="S34" s="321"/>
      <c r="T34" s="321"/>
      <c r="U34" s="321"/>
      <c r="V34" s="321"/>
      <c r="W34" s="321"/>
      <c r="X34" s="321"/>
      <c r="Y34" s="321"/>
      <c r="Z34" s="18" t="str">
        <f t="shared" si="50"/>
        <v>Si</v>
      </c>
      <c r="AA34" s="18">
        <f>IF(COUNTBLANK(F34)=0,VLOOKUP(F34,Reference!$B$5:$C$115,2,FALSE)*G34,0)+IF(COUNTBLANK(H34)=0,VLOOKUP(H34,Reference!$B$5:$C$115,2,FALSE)*I34,0)+IF(COUNTBLANK(J34)=0,VLOOKUP(J34,Reference!$B$5:$C$115,2,FALSE)*K34,0)+IF(COUNTBLANK(L34)=0,VLOOKUP(L34,Reference!$B$5:$C$115,2,FALSE)*M34,0)+IF(COUNTBLANK(N34)=0,VLOOKUP(N34,Reference!$B$5:$C$115,2,FALSE)*O34,0)+IF(COUNTBLANK(P34)=0,VLOOKUP(P34,Reference!$B$5:$C$115,2,FALSE)*Q34,0)+IF(COUNTBLANK(R34)=0,VLOOKUP(R34,Reference!$B$5:$C$115,2,FALSE)*S34,0)+IF(COUNTBLANK(T34)=0,VLOOKUP(T34,Reference!$B$5:$C$115,2,FALSE)*U34,0)+IF(COUNTBLANK(V34)=0,VLOOKUP(V34,Reference!$B$5:$C$115,2,FALSE)*W34,0)+IF(COUNTBLANK(X34)=0,VLOOKUP(X34,Reference!$B$5:$C$115,2,FALSE)*Y34,0)</f>
        <v>28.0855</v>
      </c>
      <c r="AB34" s="321">
        <f>VLOOKUP(B34,Streams!$A$17:$E$939,5,FALSE)</f>
        <v>1</v>
      </c>
      <c r="AC34" s="321">
        <f t="shared" ref="AC34:AC39" si="53">E34*AB34</f>
        <v>0.99999878599999992</v>
      </c>
      <c r="AD34" s="755" t="e">
        <f>VLOOKUP(Z34,Reference!O27:P40,2,FALSE)</f>
        <v>#N/A</v>
      </c>
      <c r="AE34" s="326" t="e">
        <f t="shared" si="52"/>
        <v>#N/A</v>
      </c>
      <c r="AG34" s="762">
        <f>$AC34*(IF(TYPE(INDEX($F34:$Y34,1,MATCH(AG$7,$F34:$Y34,0)+1))=1,INDEX($F34:$Y34,1,MATCH(AG$7,$F34:$Y34,0)+1),0))*VLOOKUP(AG$7,Reference!$B$7:$C$117,2,FALSE)/$AA34</f>
        <v>0.99999878599999992</v>
      </c>
      <c r="AH34" s="762">
        <f>$AC34*(IF(TYPE(INDEX($F34:$Y34,1,MATCH(AH$7,$F34:$Y34,0)+1))=1,INDEX($F34:$Y34,1,MATCH(AH$7,$F34:$Y34,0)+1),0))*VLOOKUP(AH$7,Reference!$B$7:$C$117,2,FALSE)/$AA34</f>
        <v>0</v>
      </c>
      <c r="AI34" s="762">
        <f>$AC34*(IF(TYPE(INDEX($F34:$Y34,1,MATCH(AI$7,$F34:$Y34,0)+1))=1,INDEX($F34:$Y34,1,MATCH(AI$7,$F34:$Y34,0)+1),0))*VLOOKUP(AI$7,Reference!$B$7:$C$117,2,FALSE)/$AA34</f>
        <v>0</v>
      </c>
      <c r="AJ34" s="762">
        <f>$AC34*(IF(TYPE(INDEX($F34:$Y34,1,MATCH(AJ$7,$F34:$Y34,0)+1))=1,INDEX($F34:$Y34,1,MATCH(AJ$7,$F34:$Y34,0)+1),0))*VLOOKUP(AJ$7,Reference!$B$7:$C$117,2,FALSE)/$AA34</f>
        <v>0</v>
      </c>
      <c r="AK34" s="762">
        <f>$AC34*(IF(TYPE(INDEX($F34:$Y34,1,MATCH(AK$7,$F34:$Y34,0)+1))=1,INDEX($F34:$Y34,1,MATCH(AK$7,$F34:$Y34,0)+1),0))*VLOOKUP(AK$7,Reference!$B$7:$C$117,2,FALSE)/$AA34</f>
        <v>0</v>
      </c>
      <c r="AL34" s="762">
        <f>$AC34*(IF(TYPE(INDEX($F34:$Y34,1,MATCH(AL$7,$F34:$Y34,0)+1))=1,INDEX($F34:$Y34,1,MATCH(AL$7,$F34:$Y34,0)+1),0))*VLOOKUP(AL$7,Reference!$B$7:$C$117,2,FALSE)/$AA34</f>
        <v>0</v>
      </c>
      <c r="AM34" s="762">
        <f>$AC34*(IF(TYPE(INDEX($F34:$Y34,1,MATCH(AM$7,$F34:$Y34,0)+1))=1,INDEX($F34:$Y34,1,MATCH(AM$7,$F34:$Y34,0)+1),0))*VLOOKUP(AM$7,Reference!$B$7:$C$117,2,FALSE)/$AA34</f>
        <v>0</v>
      </c>
      <c r="AN34" s="762">
        <f>$AC34*(IF(TYPE(INDEX($F34:$Y34,1,MATCH(AN$7,$F34:$Y34,0)+1))=1,INDEX($F34:$Y34,1,MATCH(AN$7,$F34:$Y34,0)+1),0))*VLOOKUP(AN$7,Reference!$B$7:$C$117,2,FALSE)/$AA34</f>
        <v>0</v>
      </c>
      <c r="AO34" s="762">
        <f>$AC34*(IF(TYPE(INDEX($F34:$Y34,1,MATCH(AO$7,$F34:$Y34,0)+1))=1,INDEX($F34:$Y34,1,MATCH(AO$7,$F34:$Y34,0)+1),0))*VLOOKUP(AO$7,Reference!$B$7:$C$117,2,FALSE)/$AA34</f>
        <v>0</v>
      </c>
      <c r="AP34" s="762">
        <f>$AC34*(IF(TYPE(INDEX($F34:$Y34,1,MATCH(AP$7,$F34:$Y34,0)+1))=1,INDEX($F34:$Y34,1,MATCH(AP$7,$F34:$Y34,0)+1),0))*VLOOKUP(AP$7,Reference!$B$7:$C$117,2,FALSE)/$AA34</f>
        <v>0</v>
      </c>
      <c r="AQ34" s="762">
        <f>$AC34*(IF(TYPE(INDEX($F34:$Y34,1,MATCH(AQ$7,$F34:$Y34,0)+1))=1,INDEX($F34:$Y34,1,MATCH(AQ$7,$F34:$Y34,0)+1),0))*VLOOKUP(AQ$7,Reference!$B$7:$C$117,2,FALSE)/$AA34</f>
        <v>0</v>
      </c>
      <c r="AR34" s="762">
        <f>$AC34*(IF(TYPE(INDEX($F34:$Y34,1,MATCH(AR$7,$F34:$Y34,0)+1))=1,INDEX($F34:$Y34,1,MATCH(AR$7,$F34:$Y34,0)+1),0))*VLOOKUP(AR$7,Reference!$B$7:$C$117,2,FALSE)/$AA34</f>
        <v>0</v>
      </c>
      <c r="AS34" s="762">
        <f>$AC34*(IF(TYPE(INDEX($F34:$Y34,1,MATCH(AS$7,$F34:$Y34,0)+1))=1,INDEX($F34:$Y34,1,MATCH(AS$7,$F34:$Y34,0)+1),0))*VLOOKUP(AS$7,Reference!$B$7:$C$117,2,FALSE)/$AA34</f>
        <v>0</v>
      </c>
      <c r="AT34" s="6"/>
      <c r="AU34" s="6"/>
      <c r="AV34" s="6"/>
    </row>
    <row r="35" spans="1:48" x14ac:dyDescent="0.25">
      <c r="A35" s="524">
        <f t="shared" si="47"/>
        <v>25</v>
      </c>
      <c r="B35" s="321">
        <v>8</v>
      </c>
      <c r="C35" s="321" t="str">
        <f>VLOOKUP(B35,Streams!$A$17:$C$937,3,FALSE)</f>
        <v>solid</v>
      </c>
      <c r="D35" s="18" t="s">
        <v>141</v>
      </c>
      <c r="E35" s="485">
        <f>'Material Balance'!S48</f>
        <v>9.9999999999999995E-7</v>
      </c>
      <c r="F35" s="328" t="s">
        <v>46</v>
      </c>
      <c r="G35" s="296">
        <v>1</v>
      </c>
      <c r="H35" s="321"/>
      <c r="I35" s="321"/>
      <c r="J35" s="321"/>
      <c r="K35" s="321"/>
      <c r="L35" s="321"/>
      <c r="M35" s="321"/>
      <c r="N35" s="321"/>
      <c r="O35" s="321"/>
      <c r="P35" s="321"/>
      <c r="Q35" s="321"/>
      <c r="R35" s="321"/>
      <c r="S35" s="321"/>
      <c r="T35" s="321"/>
      <c r="U35" s="321"/>
      <c r="V35" s="321"/>
      <c r="W35" s="321"/>
      <c r="X35" s="321"/>
      <c r="Y35" s="321"/>
      <c r="Z35" s="18" t="str">
        <f t="shared" si="50"/>
        <v>Al</v>
      </c>
      <c r="AA35" s="18">
        <f>IF(COUNTBLANK(F35)=0,VLOOKUP(F35,Reference!$B$5:$C$115,2,FALSE)*G35,0)+IF(COUNTBLANK(H35)=0,VLOOKUP(H35,Reference!$B$5:$C$115,2,FALSE)*I35,0)+IF(COUNTBLANK(J35)=0,VLOOKUP(J35,Reference!$B$5:$C$115,2,FALSE)*K35,0)+IF(COUNTBLANK(L35)=0,VLOOKUP(L35,Reference!$B$5:$C$115,2,FALSE)*M35,0)+IF(COUNTBLANK(N35)=0,VLOOKUP(N35,Reference!$B$5:$C$115,2,FALSE)*O35,0)+IF(COUNTBLANK(P35)=0,VLOOKUP(P35,Reference!$B$5:$C$115,2,FALSE)*Q35,0)+IF(COUNTBLANK(R35)=0,VLOOKUP(R35,Reference!$B$5:$C$115,2,FALSE)*S35,0)+IF(COUNTBLANK(T35)=0,VLOOKUP(T35,Reference!$B$5:$C$115,2,FALSE)*U35,0)+IF(COUNTBLANK(V35)=0,VLOOKUP(V35,Reference!$B$5:$C$115,2,FALSE)*W35,0)+IF(COUNTBLANK(X35)=0,VLOOKUP(X35,Reference!$B$5:$C$115,2,FALSE)*Y35,0)</f>
        <v>26.9815</v>
      </c>
      <c r="AB35" s="321">
        <f>VLOOKUP(B35,Streams!$A$17:$E$939,5,FALSE)</f>
        <v>1</v>
      </c>
      <c r="AC35" s="321">
        <f t="shared" si="53"/>
        <v>9.9999999999999995E-7</v>
      </c>
      <c r="AD35" s="495" t="e">
        <f>VLOOKUP(Z35,Reference!O27:P40,2,FALSE)</f>
        <v>#N/A</v>
      </c>
      <c r="AE35" s="326" t="e">
        <f t="shared" si="52"/>
        <v>#N/A</v>
      </c>
      <c r="AG35" s="762">
        <f>$AC35*(IF(TYPE(INDEX($F35:$Y35,1,MATCH(AG$7,$F35:$Y35,0)+1))=1,INDEX($F35:$Y35,1,MATCH(AG$7,$F35:$Y35,0)+1),0))*VLOOKUP(AG$7,Reference!$B$7:$C$117,2,FALSE)/$AA35</f>
        <v>0</v>
      </c>
      <c r="AH35" s="762">
        <f>$AC35*(IF(TYPE(INDEX($F35:$Y35,1,MATCH(AH$7,$F35:$Y35,0)+1))=1,INDEX($F35:$Y35,1,MATCH(AH$7,$F35:$Y35,0)+1),0))*VLOOKUP(AH$7,Reference!$B$7:$C$117,2,FALSE)/$AA35</f>
        <v>0</v>
      </c>
      <c r="AI35" s="762">
        <f>$AC35*(IF(TYPE(INDEX($F35:$Y35,1,MATCH(AI$7,$F35:$Y35,0)+1))=1,INDEX($F35:$Y35,1,MATCH(AI$7,$F35:$Y35,0)+1),0))*VLOOKUP(AI$7,Reference!$B$7:$C$117,2,FALSE)/$AA35</f>
        <v>0</v>
      </c>
      <c r="AJ35" s="762">
        <f>$AC35*(IF(TYPE(INDEX($F35:$Y35,1,MATCH(AJ$7,$F35:$Y35,0)+1))=1,INDEX($F35:$Y35,1,MATCH(AJ$7,$F35:$Y35,0)+1),0))*VLOOKUP(AJ$7,Reference!$B$7:$C$117,2,FALSE)/$AA35</f>
        <v>0</v>
      </c>
      <c r="AK35" s="762">
        <f>$AC35*(IF(TYPE(INDEX($F35:$Y35,1,MATCH(AK$7,$F35:$Y35,0)+1))=1,INDEX($F35:$Y35,1,MATCH(AK$7,$F35:$Y35,0)+1),0))*VLOOKUP(AK$7,Reference!$B$7:$C$117,2,FALSE)/$AA35</f>
        <v>0</v>
      </c>
      <c r="AL35" s="762">
        <f>$AC35*(IF(TYPE(INDEX($F35:$Y35,1,MATCH(AL$7,$F35:$Y35,0)+1))=1,INDEX($F35:$Y35,1,MATCH(AL$7,$F35:$Y35,0)+1),0))*VLOOKUP(AL$7,Reference!$B$7:$C$117,2,FALSE)/$AA35</f>
        <v>0</v>
      </c>
      <c r="AM35" s="762">
        <f>$AC35*(IF(TYPE(INDEX($F35:$Y35,1,MATCH(AM$7,$F35:$Y35,0)+1))=1,INDEX($F35:$Y35,1,MATCH(AM$7,$F35:$Y35,0)+1),0))*VLOOKUP(AM$7,Reference!$B$7:$C$117,2,FALSE)/$AA35</f>
        <v>0</v>
      </c>
      <c r="AN35" s="762">
        <f>$AC35*(IF(TYPE(INDEX($F35:$Y35,1,MATCH(AN$7,$F35:$Y35,0)+1))=1,INDEX($F35:$Y35,1,MATCH(AN$7,$F35:$Y35,0)+1),0))*VLOOKUP(AN$7,Reference!$B$7:$C$117,2,FALSE)/$AA35</f>
        <v>9.9999999999999995E-7</v>
      </c>
      <c r="AO35" s="762">
        <f>$AC35*(IF(TYPE(INDEX($F35:$Y35,1,MATCH(AO$7,$F35:$Y35,0)+1))=1,INDEX($F35:$Y35,1,MATCH(AO$7,$F35:$Y35,0)+1),0))*VLOOKUP(AO$7,Reference!$B$7:$C$117,2,FALSE)/$AA35</f>
        <v>0</v>
      </c>
      <c r="AP35" s="762">
        <f>$AC35*(IF(TYPE(INDEX($F35:$Y35,1,MATCH(AP$7,$F35:$Y35,0)+1))=1,INDEX($F35:$Y35,1,MATCH(AP$7,$F35:$Y35,0)+1),0))*VLOOKUP(AP$7,Reference!$B$7:$C$117,2,FALSE)/$AA35</f>
        <v>0</v>
      </c>
      <c r="AQ35" s="762">
        <f>$AC35*(IF(TYPE(INDEX($F35:$Y35,1,MATCH(AQ$7,$F35:$Y35,0)+1))=1,INDEX($F35:$Y35,1,MATCH(AQ$7,$F35:$Y35,0)+1),0))*VLOOKUP(AQ$7,Reference!$B$7:$C$117,2,FALSE)/$AA35</f>
        <v>0</v>
      </c>
      <c r="AR35" s="762">
        <f>$AC35*(IF(TYPE(INDEX($F35:$Y35,1,MATCH(AR$7,$F35:$Y35,0)+1))=1,INDEX($F35:$Y35,1,MATCH(AR$7,$F35:$Y35,0)+1),0))*VLOOKUP(AR$7,Reference!$B$7:$C$117,2,FALSE)/$AA35</f>
        <v>0</v>
      </c>
      <c r="AS35" s="762">
        <f>$AC35*(IF(TYPE(INDEX($F35:$Y35,1,MATCH(AS$7,$F35:$Y35,0)+1))=1,INDEX($F35:$Y35,1,MATCH(AS$7,$F35:$Y35,0)+1),0))*VLOOKUP(AS$7,Reference!$B$7:$C$117,2,FALSE)/$AA35</f>
        <v>0</v>
      </c>
      <c r="AT35" s="6"/>
      <c r="AU35" s="6"/>
      <c r="AV35" s="6"/>
    </row>
    <row r="36" spans="1:48" x14ac:dyDescent="0.25">
      <c r="A36" s="337">
        <f t="shared" si="47"/>
        <v>26</v>
      </c>
      <c r="B36" s="322">
        <v>8</v>
      </c>
      <c r="C36" s="322" t="str">
        <f>VLOOKUP(B36,Streams!$A$17:$C$937,3,FALSE)</f>
        <v>solid</v>
      </c>
      <c r="D36" s="11" t="s">
        <v>142</v>
      </c>
      <c r="E36" s="486">
        <f>'Material Balance'!T48</f>
        <v>2.1400000000000001E-7</v>
      </c>
      <c r="F36" s="338" t="s">
        <v>47</v>
      </c>
      <c r="G36" s="339">
        <v>1</v>
      </c>
      <c r="H36" s="322"/>
      <c r="I36" s="322"/>
      <c r="J36" s="322"/>
      <c r="K36" s="322"/>
      <c r="L36" s="322"/>
      <c r="M36" s="322"/>
      <c r="N36" s="322"/>
      <c r="O36" s="322"/>
      <c r="P36" s="322"/>
      <c r="Q36" s="322"/>
      <c r="R36" s="322"/>
      <c r="S36" s="322"/>
      <c r="T36" s="322"/>
      <c r="U36" s="322"/>
      <c r="V36" s="322"/>
      <c r="W36" s="322"/>
      <c r="X36" s="322"/>
      <c r="Y36" s="322"/>
      <c r="Z36" s="11" t="str">
        <f t="shared" si="50"/>
        <v>B</v>
      </c>
      <c r="AA36" s="11">
        <f>IF(COUNTBLANK(F36)=0,VLOOKUP(F36,Reference!$B$5:$C$115,2,FALSE)*G36,0)+IF(COUNTBLANK(H36)=0,VLOOKUP(H36,Reference!$B$5:$C$115,2,FALSE)*I36,0)+IF(COUNTBLANK(J36)=0,VLOOKUP(J36,Reference!$B$5:$C$115,2,FALSE)*K36,0)+IF(COUNTBLANK(L36)=0,VLOOKUP(L36,Reference!$B$5:$C$115,2,FALSE)*M36,0)+IF(COUNTBLANK(N36)=0,VLOOKUP(N36,Reference!$B$5:$C$115,2,FALSE)*O36,0)+IF(COUNTBLANK(P36)=0,VLOOKUP(P36,Reference!$B$5:$C$115,2,FALSE)*Q36,0)+IF(COUNTBLANK(R36)=0,VLOOKUP(R36,Reference!$B$5:$C$115,2,FALSE)*S36,0)+IF(COUNTBLANK(T36)=0,VLOOKUP(T36,Reference!$B$5:$C$115,2,FALSE)*U36,0)+IF(COUNTBLANK(V36)=0,VLOOKUP(V36,Reference!$B$5:$C$115,2,FALSE)*W36,0)+IF(COUNTBLANK(X36)=0,VLOOKUP(X36,Reference!$B$5:$C$115,2,FALSE)*Y36,0)</f>
        <v>10.811</v>
      </c>
      <c r="AB36" s="322">
        <f>VLOOKUP(B36,Streams!$A$17:$E$939,5,FALSE)</f>
        <v>1</v>
      </c>
      <c r="AC36" s="322">
        <f t="shared" si="53"/>
        <v>2.1400000000000001E-7</v>
      </c>
      <c r="AD36" s="496" t="e">
        <f>VLOOKUP(Z36,Reference!O27:P40,2,FALSE)</f>
        <v>#N/A</v>
      </c>
      <c r="AE36" s="336" t="e">
        <f t="shared" si="52"/>
        <v>#N/A</v>
      </c>
      <c r="AG36" s="762">
        <f>$AC36*(IF(TYPE(INDEX($F36:$Y36,1,MATCH(AG$7,$F36:$Y36,0)+1))=1,INDEX($F36:$Y36,1,MATCH(AG$7,$F36:$Y36,0)+1),0))*VLOOKUP(AG$7,Reference!$B$7:$C$117,2,FALSE)/$AA36</f>
        <v>0</v>
      </c>
      <c r="AH36" s="762">
        <f>$AC36*(IF(TYPE(INDEX($F36:$Y36,1,MATCH(AH$7,$F36:$Y36,0)+1))=1,INDEX($F36:$Y36,1,MATCH(AH$7,$F36:$Y36,0)+1),0))*VLOOKUP(AH$7,Reference!$B$7:$C$117,2,FALSE)/$AA36</f>
        <v>0</v>
      </c>
      <c r="AI36" s="762">
        <f>$AC36*(IF(TYPE(INDEX($F36:$Y36,1,MATCH(AI$7,$F36:$Y36,0)+1))=1,INDEX($F36:$Y36,1,MATCH(AI$7,$F36:$Y36,0)+1),0))*VLOOKUP(AI$7,Reference!$B$7:$C$117,2,FALSE)/$AA36</f>
        <v>0</v>
      </c>
      <c r="AJ36" s="762">
        <f>$AC36*(IF(TYPE(INDEX($F36:$Y36,1,MATCH(AJ$7,$F36:$Y36,0)+1))=1,INDEX($F36:$Y36,1,MATCH(AJ$7,$F36:$Y36,0)+1),0))*VLOOKUP(AJ$7,Reference!$B$7:$C$117,2,FALSE)/$AA36</f>
        <v>0</v>
      </c>
      <c r="AK36" s="762">
        <f>$AC36*(IF(TYPE(INDEX($F36:$Y36,1,MATCH(AK$7,$F36:$Y36,0)+1))=1,INDEX($F36:$Y36,1,MATCH(AK$7,$F36:$Y36,0)+1),0))*VLOOKUP(AK$7,Reference!$B$7:$C$117,2,FALSE)/$AA36</f>
        <v>0</v>
      </c>
      <c r="AL36" s="762">
        <f>$AC36*(IF(TYPE(INDEX($F36:$Y36,1,MATCH(AL$7,$F36:$Y36,0)+1))=1,INDEX($F36:$Y36,1,MATCH(AL$7,$F36:$Y36,0)+1),0))*VLOOKUP(AL$7,Reference!$B$7:$C$117,2,FALSE)/$AA36</f>
        <v>0</v>
      </c>
      <c r="AM36" s="762">
        <f>$AC36*(IF(TYPE(INDEX($F36:$Y36,1,MATCH(AM$7,$F36:$Y36,0)+1))=1,INDEX($F36:$Y36,1,MATCH(AM$7,$F36:$Y36,0)+1),0))*VLOOKUP(AM$7,Reference!$B$7:$C$117,2,FALSE)/$AA36</f>
        <v>2.1400000000000001E-7</v>
      </c>
      <c r="AN36" s="762">
        <f>$AC36*(IF(TYPE(INDEX($F36:$Y36,1,MATCH(AN$7,$F36:$Y36,0)+1))=1,INDEX($F36:$Y36,1,MATCH(AN$7,$F36:$Y36,0)+1),0))*VLOOKUP(AN$7,Reference!$B$7:$C$117,2,FALSE)/$AA36</f>
        <v>0</v>
      </c>
      <c r="AO36" s="762">
        <f>$AC36*(IF(TYPE(INDEX($F36:$Y36,1,MATCH(AO$7,$F36:$Y36,0)+1))=1,INDEX($F36:$Y36,1,MATCH(AO$7,$F36:$Y36,0)+1),0))*VLOOKUP(AO$7,Reference!$B$7:$C$117,2,FALSE)/$AA36</f>
        <v>0</v>
      </c>
      <c r="AP36" s="762">
        <f>$AC36*(IF(TYPE(INDEX($F36:$Y36,1,MATCH(AP$7,$F36:$Y36,0)+1))=1,INDEX($F36:$Y36,1,MATCH(AP$7,$F36:$Y36,0)+1),0))*VLOOKUP(AP$7,Reference!$B$7:$C$117,2,FALSE)/$AA36</f>
        <v>0</v>
      </c>
      <c r="AQ36" s="762">
        <f>$AC36*(IF(TYPE(INDEX($F36:$Y36,1,MATCH(AQ$7,$F36:$Y36,0)+1))=1,INDEX($F36:$Y36,1,MATCH(AQ$7,$F36:$Y36,0)+1),0))*VLOOKUP(AQ$7,Reference!$B$7:$C$117,2,FALSE)/$AA36</f>
        <v>0</v>
      </c>
      <c r="AR36" s="762">
        <f>$AC36*(IF(TYPE(INDEX($F36:$Y36,1,MATCH(AR$7,$F36:$Y36,0)+1))=1,INDEX($F36:$Y36,1,MATCH(AR$7,$F36:$Y36,0)+1),0))*VLOOKUP(AR$7,Reference!$B$7:$C$117,2,FALSE)/$AA36</f>
        <v>0</v>
      </c>
      <c r="AS36" s="762">
        <f>$AC36*(IF(TYPE(INDEX($F36:$Y36,1,MATCH(AS$7,$F36:$Y36,0)+1))=1,INDEX($F36:$Y36,1,MATCH(AS$7,$F36:$Y36,0)+1),0))*VLOOKUP(AS$7,Reference!$B$7:$C$117,2,FALSE)/$AA36</f>
        <v>0</v>
      </c>
      <c r="AT36" s="6"/>
      <c r="AU36" s="6"/>
      <c r="AV36" s="6"/>
    </row>
    <row r="37" spans="1:48" x14ac:dyDescent="0.25">
      <c r="A37" s="525">
        <f t="shared" si="47"/>
        <v>27</v>
      </c>
      <c r="B37" s="321">
        <v>5</v>
      </c>
      <c r="C37" s="321" t="str">
        <f>VLOOKUP(B37,Streams!$A$17:$C$937,3,FALSE)</f>
        <v>liquid</v>
      </c>
      <c r="D37" s="18" t="s">
        <v>139</v>
      </c>
      <c r="E37" s="481">
        <f>'Material Balance'!R12</f>
        <v>0</v>
      </c>
      <c r="F37" s="328" t="s">
        <v>70</v>
      </c>
      <c r="G37" s="328">
        <v>2</v>
      </c>
      <c r="H37" s="321" t="s">
        <v>66</v>
      </c>
      <c r="I37" s="321">
        <v>3</v>
      </c>
      <c r="J37" s="321"/>
      <c r="K37" s="321"/>
      <c r="L37" s="321"/>
      <c r="M37" s="321"/>
      <c r="N37" s="321"/>
      <c r="O37" s="321"/>
      <c r="P37" s="321"/>
      <c r="Q37" s="321"/>
      <c r="R37" s="321"/>
      <c r="S37" s="321"/>
      <c r="T37" s="321"/>
      <c r="U37" s="321"/>
      <c r="V37" s="321"/>
      <c r="W37" s="321"/>
      <c r="X37" s="321"/>
      <c r="Y37" s="321"/>
      <c r="Z37" s="18" t="str">
        <f t="shared" si="50"/>
        <v>Y2O3</v>
      </c>
      <c r="AA37" s="18">
        <f>IF(COUNTBLANK(F37)=0,VLOOKUP(F37,Reference!$B$5:$C$115,2,FALSE)*G37,0)+IF(COUNTBLANK(H37)=0,VLOOKUP(H37,Reference!$B$5:$C$115,2,FALSE)*I37,0)+IF(COUNTBLANK(J37)=0,VLOOKUP(J37,Reference!$B$5:$C$115,2,FALSE)*K37,0)+IF(COUNTBLANK(L37)=0,VLOOKUP(L37,Reference!$B$5:$C$115,2,FALSE)*M37,0)+IF(COUNTBLANK(N37)=0,VLOOKUP(N37,Reference!$B$5:$C$115,2,FALSE)*O37,0)+IF(COUNTBLANK(P37)=0,VLOOKUP(P37,Reference!$B$5:$C$115,2,FALSE)*Q37,0)+IF(COUNTBLANK(R37)=0,VLOOKUP(R37,Reference!$B$5:$C$115,2,FALSE)*S37,0)+IF(COUNTBLANK(T37)=0,VLOOKUP(T37,Reference!$B$5:$C$115,2,FALSE)*U37,0)+IF(COUNTBLANK(V37)=0,VLOOKUP(V37,Reference!$B$5:$C$115,2,FALSE)*W37,0)+IF(COUNTBLANK(X37)=0,VLOOKUP(X37,Reference!$B$5:$C$115,2,FALSE)*Y37,0)</f>
        <v>225.81</v>
      </c>
      <c r="AB37" s="321">
        <f>VLOOKUP(B37,Streams!$A$17:$E$939,5,FALSE)</f>
        <v>0.24417090612353978</v>
      </c>
      <c r="AC37" s="321">
        <f t="shared" si="53"/>
        <v>0</v>
      </c>
      <c r="AD37" s="495">
        <f>VLOOKUP(Z37,Reference!O27:P40,2,FALSE)</f>
        <v>5</v>
      </c>
      <c r="AE37" s="326">
        <f t="shared" si="52"/>
        <v>0</v>
      </c>
      <c r="AG37" s="762">
        <f>$AC37*(IF(TYPE(INDEX($F37:$Y37,1,MATCH(AG$7,$F37:$Y37,0)+1))=1,INDEX($F37:$Y37,1,MATCH(AG$7,$F37:$Y37,0)+1),0))*VLOOKUP(AG$7,Reference!$B$7:$C$117,2,FALSE)/$AA37</f>
        <v>0</v>
      </c>
      <c r="AH37" s="762">
        <f>$AC37*(IF(TYPE(INDEX($F37:$Y37,1,MATCH(AH$7,$F37:$Y37,0)+1))=1,INDEX($F37:$Y37,1,MATCH(AH$7,$F37:$Y37,0)+1),0))*VLOOKUP(AH$7,Reference!$B$7:$C$117,2,FALSE)/$AA37</f>
        <v>0</v>
      </c>
      <c r="AI37" s="762">
        <f>$AC37*(IF(TYPE(INDEX($F37:$Y37,1,MATCH(AI$7,$F37:$Y37,0)+1))=1,INDEX($F37:$Y37,1,MATCH(AI$7,$F37:$Y37,0)+1),0))*VLOOKUP(AI$7,Reference!$B$7:$C$117,2,FALSE)/$AA37</f>
        <v>0</v>
      </c>
      <c r="AJ37" s="762">
        <f>$AC37*(IF(TYPE(INDEX($F37:$Y37,1,MATCH(AJ$7,$F37:$Y37,0)+1))=1,INDEX($F37:$Y37,1,MATCH(AJ$7,$F37:$Y37,0)+1),0))*VLOOKUP(AJ$7,Reference!$B$7:$C$117,2,FALSE)/$AA37</f>
        <v>0</v>
      </c>
      <c r="AK37" s="762">
        <f>$AC37*(IF(TYPE(INDEX($F37:$Y37,1,MATCH(AK$7,$F37:$Y37,0)+1))=1,INDEX($F37:$Y37,1,MATCH(AK$7,$F37:$Y37,0)+1),0))*VLOOKUP(AK$7,Reference!$B$7:$C$117,2,FALSE)/$AA37</f>
        <v>0</v>
      </c>
      <c r="AL37" s="762">
        <f>$AC37*(IF(TYPE(INDEX($F37:$Y37,1,MATCH(AL$7,$F37:$Y37,0)+1))=1,INDEX($F37:$Y37,1,MATCH(AL$7,$F37:$Y37,0)+1),0))*VLOOKUP(AL$7,Reference!$B$7:$C$117,2,FALSE)/$AA37</f>
        <v>0</v>
      </c>
      <c r="AM37" s="762">
        <f>$AC37*(IF(TYPE(INDEX($F37:$Y37,1,MATCH(AM$7,$F37:$Y37,0)+1))=1,INDEX($F37:$Y37,1,MATCH(AM$7,$F37:$Y37,0)+1),0))*VLOOKUP(AM$7,Reference!$B$7:$C$117,2,FALSE)/$AA37</f>
        <v>0</v>
      </c>
      <c r="AN37" s="762">
        <f>$AC37*(IF(TYPE(INDEX($F37:$Y37,1,MATCH(AN$7,$F37:$Y37,0)+1))=1,INDEX($F37:$Y37,1,MATCH(AN$7,$F37:$Y37,0)+1),0))*VLOOKUP(AN$7,Reference!$B$7:$C$117,2,FALSE)/$AA37</f>
        <v>0</v>
      </c>
      <c r="AO37" s="762">
        <f>$AC37*(IF(TYPE(INDEX($F37:$Y37,1,MATCH(AO$7,$F37:$Y37,0)+1))=1,INDEX($F37:$Y37,1,MATCH(AO$7,$F37:$Y37,0)+1),0))*VLOOKUP(AO$7,Reference!$B$7:$C$117,2,FALSE)/$AA37</f>
        <v>0</v>
      </c>
      <c r="AP37" s="762">
        <f>$AC37*(IF(TYPE(INDEX($F37:$Y37,1,MATCH(AP$7,$F37:$Y37,0)+1))=1,INDEX($F37:$Y37,1,MATCH(AP$7,$F37:$Y37,0)+1),0))*VLOOKUP(AP$7,Reference!$B$7:$C$117,2,FALSE)/$AA37</f>
        <v>0</v>
      </c>
      <c r="AQ37" s="762">
        <f>$AC37*(IF(TYPE(INDEX($F37:$Y37,1,MATCH(AQ$7,$F37:$Y37,0)+1))=1,INDEX($F37:$Y37,1,MATCH(AQ$7,$F37:$Y37,0)+1),0))*VLOOKUP(AQ$7,Reference!$B$7:$C$117,2,FALSE)/$AA37</f>
        <v>0</v>
      </c>
      <c r="AR37" s="762">
        <f>$AC37*(IF(TYPE(INDEX($F37:$Y37,1,MATCH(AR$7,$F37:$Y37,0)+1))=1,INDEX($F37:$Y37,1,MATCH(AR$7,$F37:$Y37,0)+1),0))*VLOOKUP(AR$7,Reference!$B$7:$C$117,2,FALSE)/$AA37</f>
        <v>0</v>
      </c>
      <c r="AS37" s="762">
        <f>$AC37*(IF(TYPE(INDEX($F37:$Y37,1,MATCH(AS$7,$F37:$Y37,0)+1))=1,INDEX($F37:$Y37,1,MATCH(AS$7,$F37:$Y37,0)+1),0))*VLOOKUP(AS$7,Reference!$B$7:$C$117,2,FALSE)/$AA37</f>
        <v>0</v>
      </c>
      <c r="AT37" s="6"/>
      <c r="AU37" s="6"/>
      <c r="AV37" s="6"/>
    </row>
    <row r="38" spans="1:48" x14ac:dyDescent="0.25">
      <c r="A38" s="133">
        <f t="shared" si="47"/>
        <v>28</v>
      </c>
      <c r="B38" s="321">
        <v>5</v>
      </c>
      <c r="C38" s="321" t="str">
        <f>VLOOKUP(B38,Streams!$A$17:$C$937,3,FALSE)</f>
        <v>liquid</v>
      </c>
      <c r="D38" s="18" t="s">
        <v>138</v>
      </c>
      <c r="E38" s="482">
        <f>'Material Balance'!R11</f>
        <v>2.0700000000000052E-2</v>
      </c>
      <c r="F38" s="321" t="s">
        <v>70</v>
      </c>
      <c r="G38" s="321">
        <v>1</v>
      </c>
      <c r="H38" s="321" t="s">
        <v>68</v>
      </c>
      <c r="I38" s="321">
        <v>3</v>
      </c>
      <c r="J38" s="321"/>
      <c r="K38" s="321"/>
      <c r="L38" s="321"/>
      <c r="M38" s="321"/>
      <c r="N38" s="321"/>
      <c r="O38" s="321"/>
      <c r="P38" s="321"/>
      <c r="Q38" s="321"/>
      <c r="R38" s="321"/>
      <c r="S38" s="321"/>
      <c r="T38" s="321"/>
      <c r="U38" s="321"/>
      <c r="V38" s="321"/>
      <c r="W38" s="321"/>
      <c r="X38" s="321"/>
      <c r="Y38" s="321"/>
      <c r="Z38" s="18" t="str">
        <f t="shared" ref="Z38" si="54">F38&amp;IF(G38=1,"",G38)&amp;H38&amp;IF(I38=1,"",I38)&amp;J38&amp;IF(K38=1,"",K38)&amp;L38&amp;IF(M38=1,"",M38)&amp;N38&amp;IF(O38=1,"",O38)&amp;P38&amp;IF(Q38=1,"",Q38)&amp;R38&amp;IF(S38=1,"",S38)&amp;T38&amp;IF(U38=1,"",U38)&amp;V38&amp;IF(W38=1,"",W38)&amp;X38&amp;IF(Y38=1,"",Y38)</f>
        <v>YF3</v>
      </c>
      <c r="AA38" s="18">
        <f>IF(COUNTBLANK(F38)=0,VLOOKUP(F38,Reference!$B$5:$C$115,2,FALSE)*G38,0)+IF(COUNTBLANK(H38)=0,VLOOKUP(H38,Reference!$B$5:$C$115,2,FALSE)*I38,0)+IF(COUNTBLANK(J38)=0,VLOOKUP(J38,Reference!$B$5:$C$115,2,FALSE)*K38,0)+IF(COUNTBLANK(L38)=0,VLOOKUP(L38,Reference!$B$5:$C$115,2,FALSE)*M38,0)+IF(COUNTBLANK(N38)=0,VLOOKUP(N38,Reference!$B$5:$C$115,2,FALSE)*O38,0)+IF(COUNTBLANK(P38)=0,VLOOKUP(P38,Reference!$B$5:$C$115,2,FALSE)*Q38,0)+IF(COUNTBLANK(R38)=0,VLOOKUP(R38,Reference!$B$5:$C$115,2,FALSE)*S38,0)+IF(COUNTBLANK(T38)=0,VLOOKUP(T38,Reference!$B$5:$C$115,2,FALSE)*U38,0)+IF(COUNTBLANK(V38)=0,VLOOKUP(V38,Reference!$B$5:$C$115,2,FALSE)*W38,0)+IF(COUNTBLANK(X38)=0,VLOOKUP(X38,Reference!$B$5:$C$115,2,FALSE)*Y38,0)</f>
        <v>145.90109999999999</v>
      </c>
      <c r="AB38" s="762">
        <f>VLOOKUP(B38,Streams!$A$17:$E$939,5,FALSE)</f>
        <v>0.24417090612353978</v>
      </c>
      <c r="AC38" s="497">
        <f t="shared" si="53"/>
        <v>5.0543377567572861E-3</v>
      </c>
      <c r="AD38" s="495">
        <f>VLOOKUP(Z38,Reference!O27:P40,2,FALSE)</f>
        <v>1000</v>
      </c>
      <c r="AE38" s="327">
        <f t="shared" ref="AE38" si="55">AD38*AC38</f>
        <v>5.0543377567572865</v>
      </c>
      <c r="AG38" s="762">
        <f>$AC38*(IF(TYPE(INDEX($F38:$Y38,1,MATCH(AG$7,$F38:$Y38,0)+1))=1,INDEX($F38:$Y38,1,MATCH(AG$7,$F38:$Y38,0)+1),0))*VLOOKUP(AG$7,Reference!$B$7:$C$117,2,FALSE)/$AA38</f>
        <v>0</v>
      </c>
      <c r="AH38" s="762">
        <f>$AC38*(IF(TYPE(INDEX($F38:$Y38,1,MATCH(AH$7,$F38:$Y38,0)+1))=1,INDEX($F38:$Y38,1,MATCH(AH$7,$F38:$Y38,0)+1),0))*VLOOKUP(AH$7,Reference!$B$7:$C$117,2,FALSE)/$AA38</f>
        <v>0</v>
      </c>
      <c r="AI38" s="762">
        <f>$AC38*(IF(TYPE(INDEX($F38:$Y38,1,MATCH(AI$7,$F38:$Y38,0)+1))=1,INDEX($F38:$Y38,1,MATCH(AI$7,$F38:$Y38,0)+1),0))*VLOOKUP(AI$7,Reference!$B$7:$C$117,2,FALSE)/$AA38</f>
        <v>0</v>
      </c>
      <c r="AJ38" s="762">
        <f>$AC38*(IF(TYPE(INDEX($F38:$Y38,1,MATCH(AJ$7,$F38:$Y38,0)+1))=1,INDEX($F38:$Y38,1,MATCH(AJ$7,$F38:$Y38,0)+1),0))*VLOOKUP(AJ$7,Reference!$B$7:$C$117,2,FALSE)/$AA38</f>
        <v>1.974440160587774E-3</v>
      </c>
      <c r="AK38" s="762">
        <f>$AC38*(IF(TYPE(INDEX($F38:$Y38,1,MATCH(AK$7,$F38:$Y38,0)+1))=1,INDEX($F38:$Y38,1,MATCH(AK$7,$F38:$Y38,0)+1),0))*VLOOKUP(AK$7,Reference!$B$7:$C$117,2,FALSE)/$AA38</f>
        <v>0</v>
      </c>
      <c r="AL38" s="762">
        <f>$AC38*(IF(TYPE(INDEX($F38:$Y38,1,MATCH(AL$7,$F38:$Y38,0)+1))=1,INDEX($F38:$Y38,1,MATCH(AL$7,$F38:$Y38,0)+1),0))*VLOOKUP(AL$7,Reference!$B$7:$C$117,2,FALSE)/$AA38</f>
        <v>3.0798975961695125E-3</v>
      </c>
      <c r="AM38" s="762">
        <f>$AC38*(IF(TYPE(INDEX($F38:$Y38,1,MATCH(AM$7,$F38:$Y38,0)+1))=1,INDEX($F38:$Y38,1,MATCH(AM$7,$F38:$Y38,0)+1),0))*VLOOKUP(AM$7,Reference!$B$7:$C$117,2,FALSE)/$AA38</f>
        <v>0</v>
      </c>
      <c r="AN38" s="762">
        <f>$AC38*(IF(TYPE(INDEX($F38:$Y38,1,MATCH(AN$7,$F38:$Y38,0)+1))=1,INDEX($F38:$Y38,1,MATCH(AN$7,$F38:$Y38,0)+1),0))*VLOOKUP(AN$7,Reference!$B$7:$C$117,2,FALSE)/$AA38</f>
        <v>0</v>
      </c>
      <c r="AO38" s="762">
        <f>$AC38*(IF(TYPE(INDEX($F38:$Y38,1,MATCH(AO$7,$F38:$Y38,0)+1))=1,INDEX($F38:$Y38,1,MATCH(AO$7,$F38:$Y38,0)+1),0))*VLOOKUP(AO$7,Reference!$B$7:$C$117,2,FALSE)/$AA38</f>
        <v>0</v>
      </c>
      <c r="AP38" s="762">
        <f>$AC38*(IF(TYPE(INDEX($F38:$Y38,1,MATCH(AP$7,$F38:$Y38,0)+1))=1,INDEX($F38:$Y38,1,MATCH(AP$7,$F38:$Y38,0)+1),0))*VLOOKUP(AP$7,Reference!$B$7:$C$117,2,FALSE)/$AA38</f>
        <v>0</v>
      </c>
      <c r="AQ38" s="762">
        <f>$AC38*(IF(TYPE(INDEX($F38:$Y38,1,MATCH(AQ$7,$F38:$Y38,0)+1))=1,INDEX($F38:$Y38,1,MATCH(AQ$7,$F38:$Y38,0)+1),0))*VLOOKUP(AQ$7,Reference!$B$7:$C$117,2,FALSE)/$AA38</f>
        <v>0</v>
      </c>
      <c r="AR38" s="762">
        <f>$AC38*(IF(TYPE(INDEX($F38:$Y38,1,MATCH(AR$7,$F38:$Y38,0)+1))=1,INDEX($F38:$Y38,1,MATCH(AR$7,$F38:$Y38,0)+1),0))*VLOOKUP(AR$7,Reference!$B$7:$C$117,2,FALSE)/$AA38</f>
        <v>0</v>
      </c>
      <c r="AS38" s="762">
        <f>$AC38*(IF(TYPE(INDEX($F38:$Y38,1,MATCH(AS$7,$F38:$Y38,0)+1))=1,INDEX($F38:$Y38,1,MATCH(AS$7,$F38:$Y38,0)+1),0))*VLOOKUP(AS$7,Reference!$B$7:$C$117,2,FALSE)/$AA38</f>
        <v>0</v>
      </c>
      <c r="AT38" s="6"/>
      <c r="AU38" s="6"/>
      <c r="AV38" s="6"/>
    </row>
    <row r="39" spans="1:48" x14ac:dyDescent="0.25">
      <c r="A39" s="525">
        <f t="shared" si="47"/>
        <v>29</v>
      </c>
      <c r="B39" s="321">
        <v>5</v>
      </c>
      <c r="C39" s="321" t="str">
        <f>VLOOKUP(B39,Streams!$A$17:$C$937,3,FALSE)</f>
        <v>liquid</v>
      </c>
      <c r="D39" s="18" t="s">
        <v>136</v>
      </c>
      <c r="E39" s="482">
        <f>'Material Balance'!R8</f>
        <v>0.4819</v>
      </c>
      <c r="F39" s="321" t="s">
        <v>67</v>
      </c>
      <c r="G39" s="321">
        <v>1</v>
      </c>
      <c r="H39" s="321" t="s">
        <v>68</v>
      </c>
      <c r="I39" s="321">
        <v>2</v>
      </c>
      <c r="J39" s="321"/>
      <c r="K39" s="321"/>
      <c r="L39" s="321"/>
      <c r="M39" s="321"/>
      <c r="N39" s="321"/>
      <c r="O39" s="321"/>
      <c r="P39" s="321"/>
      <c r="Q39" s="321"/>
      <c r="R39" s="321"/>
      <c r="S39" s="321"/>
      <c r="T39" s="321"/>
      <c r="U39" s="321"/>
      <c r="V39" s="321"/>
      <c r="W39" s="321"/>
      <c r="X39" s="321"/>
      <c r="Y39" s="321"/>
      <c r="Z39" s="18" t="str">
        <f t="shared" ref="Z39" si="56">F39&amp;IF(G39=1,"",G39)&amp;H39&amp;IF(I39=1,"",I39)&amp;J39&amp;IF(K39=1,"",K39)&amp;L39&amp;IF(M39=1,"",M39)&amp;N39&amp;IF(O39=1,"",O39)&amp;P39&amp;IF(Q39=1,"",Q39)&amp;R39&amp;IF(S39=1,"",S39)&amp;T39&amp;IF(U39=1,"",U39)&amp;V39&amp;IF(W39=1,"",W39)&amp;X39&amp;IF(Y39=1,"",Y39)</f>
        <v>MgF2</v>
      </c>
      <c r="AA39" s="18">
        <f>IF(COUNTBLANK(F39)=0,VLOOKUP(F39,Reference!$B$5:$C$115,2,FALSE)*G39,0)+IF(COUNTBLANK(H39)=0,VLOOKUP(H39,Reference!$B$5:$C$115,2,FALSE)*I39,0)+IF(COUNTBLANK(J39)=0,VLOOKUP(J39,Reference!$B$5:$C$115,2,FALSE)*K39,0)+IF(COUNTBLANK(L39)=0,VLOOKUP(L39,Reference!$B$5:$C$115,2,FALSE)*M39,0)+IF(COUNTBLANK(N39)=0,VLOOKUP(N39,Reference!$B$5:$C$115,2,FALSE)*O39,0)+IF(COUNTBLANK(P39)=0,VLOOKUP(P39,Reference!$B$5:$C$115,2,FALSE)*Q39,0)+IF(COUNTBLANK(R39)=0,VLOOKUP(R39,Reference!$B$5:$C$115,2,FALSE)*S39,0)+IF(COUNTBLANK(T39)=0,VLOOKUP(T39,Reference!$B$5:$C$115,2,FALSE)*U39,0)+IF(COUNTBLANK(V39)=0,VLOOKUP(V39,Reference!$B$5:$C$115,2,FALSE)*W39,0)+IF(COUNTBLANK(X39)=0,VLOOKUP(X39,Reference!$B$5:$C$115,2,FALSE)*Y39,0)</f>
        <v>62.3018</v>
      </c>
      <c r="AB39" s="321">
        <f>VLOOKUP(B39,Streams!$A$17:$E$939,5,FALSE)</f>
        <v>0.24417090612353978</v>
      </c>
      <c r="AC39" s="321">
        <f t="shared" si="53"/>
        <v>0.11766595966093382</v>
      </c>
      <c r="AD39" s="495">
        <f>VLOOKUP(Z39,Reference!O27:P40,2,FALSE)</f>
        <v>1</v>
      </c>
      <c r="AE39" s="528">
        <f>AD39*AC39</f>
        <v>0.11766595966093382</v>
      </c>
      <c r="AG39" s="762">
        <f>$AC39*(IF(TYPE(INDEX($F39:$Y39,1,MATCH(AG$7,$F39:$Y39,0)+1))=1,INDEX($F39:$Y39,1,MATCH(AG$7,$F39:$Y39,0)+1),0))*VLOOKUP(AG$7,Reference!$B$7:$C$117,2,FALSE)/$AA39</f>
        <v>0</v>
      </c>
      <c r="AH39" s="762">
        <f>$AC39*(IF(TYPE(INDEX($F39:$Y39,1,MATCH(AH$7,$F39:$Y39,0)+1))=1,INDEX($F39:$Y39,1,MATCH(AH$7,$F39:$Y39,0)+1),0))*VLOOKUP(AH$7,Reference!$B$7:$C$117,2,FALSE)/$AA39</f>
        <v>0</v>
      </c>
      <c r="AI39" s="9">
        <f>$AC39*(IF(TYPE(INDEX($F39:$Y39,1,MATCH(AI$7,$F39:$Y39,0)+1))=1,INDEX($F39:$Y39,1,MATCH(AI$7,$F39:$Y39,0)+1),0))*VLOOKUP(AI$7,Reference!$B$7:$C$117,2,FALSE)/$AA39</f>
        <v>4.5903507596233115E-2</v>
      </c>
      <c r="AJ39" s="9">
        <f>$AC39*(IF(TYPE(INDEX($F39:$Y39,1,MATCH(AJ$7,$F39:$Y39,0)+1))=1,INDEX($F39:$Y39,1,MATCH(AJ$7,$F39:$Y39,0)+1),0))*VLOOKUP(AJ$7,Reference!$B$7:$C$117,2,FALSE)/$AA39</f>
        <v>7.1762452064700707E-2</v>
      </c>
      <c r="AK39" s="762">
        <f>$AC39*(IF(TYPE(INDEX($F39:$Y39,1,MATCH(AK$7,$F39:$Y39,0)+1))=1,INDEX($F39:$Y39,1,MATCH(AK$7,$F39:$Y39,0)+1),0))*VLOOKUP(AK$7,Reference!$B$7:$C$117,2,FALSE)/$AA39</f>
        <v>0</v>
      </c>
      <c r="AL39" s="762">
        <f>$AC39*(IF(TYPE(INDEX($F39:$Y39,1,MATCH(AL$7,$F39:$Y39,0)+1))=1,INDEX($F39:$Y39,1,MATCH(AL$7,$F39:$Y39,0)+1),0))*VLOOKUP(AL$7,Reference!$B$7:$C$117,2,FALSE)/$AA39</f>
        <v>0</v>
      </c>
      <c r="AM39" s="762">
        <f>$AC39*(IF(TYPE(INDEX($F39:$Y39,1,MATCH(AM$7,$F39:$Y39,0)+1))=1,INDEX($F39:$Y39,1,MATCH(AM$7,$F39:$Y39,0)+1),0))*VLOOKUP(AM$7,Reference!$B$7:$C$117,2,FALSE)/$AA39</f>
        <v>0</v>
      </c>
      <c r="AN39" s="762">
        <f>$AC39*(IF(TYPE(INDEX($F39:$Y39,1,MATCH(AN$7,$F39:$Y39,0)+1))=1,INDEX($F39:$Y39,1,MATCH(AN$7,$F39:$Y39,0)+1),0))*VLOOKUP(AN$7,Reference!$B$7:$C$117,2,FALSE)/$AA39</f>
        <v>0</v>
      </c>
      <c r="AO39" s="762">
        <f>$AC39*(IF(TYPE(INDEX($F39:$Y39,1,MATCH(AO$7,$F39:$Y39,0)+1))=1,INDEX($F39:$Y39,1,MATCH(AO$7,$F39:$Y39,0)+1),0))*VLOOKUP(AO$7,Reference!$B$7:$C$117,2,FALSE)/$AA39</f>
        <v>0</v>
      </c>
      <c r="AP39" s="762">
        <f>$AC39*(IF(TYPE(INDEX($F39:$Y39,1,MATCH(AP$7,$F39:$Y39,0)+1))=1,INDEX($F39:$Y39,1,MATCH(AP$7,$F39:$Y39,0)+1),0))*VLOOKUP(AP$7,Reference!$B$7:$C$117,2,FALSE)/$AA39</f>
        <v>0</v>
      </c>
      <c r="AQ39" s="762">
        <f>$AC39*(IF(TYPE(INDEX($F39:$Y39,1,MATCH(AQ$7,$F39:$Y39,0)+1))=1,INDEX($F39:$Y39,1,MATCH(AQ$7,$F39:$Y39,0)+1),0))*VLOOKUP(AQ$7,Reference!$B$7:$C$117,2,FALSE)/$AA39</f>
        <v>0</v>
      </c>
      <c r="AR39" s="762">
        <f>$AC39*(IF(TYPE(INDEX($F39:$Y39,1,MATCH(AR$7,$F39:$Y39,0)+1))=1,INDEX($F39:$Y39,1,MATCH(AR$7,$F39:$Y39,0)+1),0))*VLOOKUP(AR$7,Reference!$B$7:$C$117,2,FALSE)/$AA39</f>
        <v>0</v>
      </c>
      <c r="AS39" s="762">
        <f>$AC39*(IF(TYPE(INDEX($F39:$Y39,1,MATCH(AS$7,$F39:$Y39,0)+1))=1,INDEX($F39:$Y39,1,MATCH(AS$7,$F39:$Y39,0)+1),0))*VLOOKUP(AS$7,Reference!$B$7:$C$117,2,FALSE)/$AA39</f>
        <v>0</v>
      </c>
      <c r="AT39" s="6"/>
      <c r="AU39" s="6"/>
      <c r="AV39" s="6"/>
    </row>
    <row r="40" spans="1:48" x14ac:dyDescent="0.25">
      <c r="A40" s="133">
        <f t="shared" si="47"/>
        <v>30</v>
      </c>
      <c r="B40" s="321">
        <v>5</v>
      </c>
      <c r="C40" s="321" t="str">
        <f>VLOOKUP(B40,Streams!$A$17:$C$937,3,FALSE)</f>
        <v>liquid</v>
      </c>
      <c r="D40" s="18" t="s">
        <v>135</v>
      </c>
      <c r="E40" s="482">
        <f>'Material Balance'!R9</f>
        <v>0.4819</v>
      </c>
      <c r="F40" s="321" t="s">
        <v>69</v>
      </c>
      <c r="G40" s="321">
        <v>1</v>
      </c>
      <c r="H40" s="321" t="s">
        <v>68</v>
      </c>
      <c r="I40" s="321">
        <v>2</v>
      </c>
      <c r="J40" s="321"/>
      <c r="K40" s="321"/>
      <c r="L40" s="321"/>
      <c r="M40" s="321"/>
      <c r="N40" s="321"/>
      <c r="O40" s="321"/>
      <c r="P40" s="321"/>
      <c r="Q40" s="321"/>
      <c r="R40" s="321"/>
      <c r="S40" s="321"/>
      <c r="T40" s="321"/>
      <c r="U40" s="321"/>
      <c r="V40" s="321"/>
      <c r="W40" s="321"/>
      <c r="X40" s="321"/>
      <c r="Y40" s="321"/>
      <c r="Z40" s="18" t="str">
        <f t="shared" ref="Z40" si="57">F40&amp;IF(G40=1,"",G40)&amp;H40&amp;IF(I40=1,"",I40)&amp;J40&amp;IF(K40=1,"",K40)&amp;L40&amp;IF(M40=1,"",M40)&amp;N40&amp;IF(O40=1,"",O40)&amp;P40&amp;IF(Q40=1,"",Q40)&amp;R40&amp;IF(S40=1,"",S40)&amp;T40&amp;IF(U40=1,"",U40)&amp;V40&amp;IF(W40=1,"",W40)&amp;X40&amp;IF(Y40=1,"",Y40)</f>
        <v>CaF2</v>
      </c>
      <c r="AA40" s="18">
        <f>IF(COUNTBLANK(F40)=0,VLOOKUP(F40,Reference!$B$5:$C$115,2,FALSE)*G40,0)+IF(COUNTBLANK(H40)=0,VLOOKUP(H40,Reference!$B$5:$C$115,2,FALSE)*I40,0)+IF(COUNTBLANK(J40)=0,VLOOKUP(J40,Reference!$B$5:$C$115,2,FALSE)*K40,0)+IF(COUNTBLANK(L40)=0,VLOOKUP(L40,Reference!$B$5:$C$115,2,FALSE)*M40,0)+IF(COUNTBLANK(N40)=0,VLOOKUP(N40,Reference!$B$5:$C$115,2,FALSE)*O40,0)+IF(COUNTBLANK(P40)=0,VLOOKUP(P40,Reference!$B$5:$C$115,2,FALSE)*Q40,0)+IF(COUNTBLANK(R40)=0,VLOOKUP(R40,Reference!$B$5:$C$115,2,FALSE)*S40,0)+IF(COUNTBLANK(T40)=0,VLOOKUP(T40,Reference!$B$5:$C$115,2,FALSE)*U40,0)+IF(COUNTBLANK(V40)=0,VLOOKUP(V40,Reference!$B$5:$C$115,2,FALSE)*W40,0)+IF(COUNTBLANK(X40)=0,VLOOKUP(X40,Reference!$B$5:$C$115,2,FALSE)*Y40,0)</f>
        <v>78.07480000000001</v>
      </c>
      <c r="AB40" s="321">
        <f>VLOOKUP(B40,Streams!$A$17:$E$939,5,FALSE)</f>
        <v>0.24417090612353978</v>
      </c>
      <c r="AC40" s="321">
        <f t="shared" ref="AC40" si="58">E40*AB40</f>
        <v>0.11766595966093382</v>
      </c>
      <c r="AD40" s="495">
        <f>VLOOKUP(Z40,Reference!O27:P40,2,FALSE)</f>
        <v>0.4</v>
      </c>
      <c r="AE40" s="528">
        <f t="shared" ref="AE40" si="59">AD40*AC40</f>
        <v>4.7066383864373534E-2</v>
      </c>
      <c r="AG40" s="762">
        <f>$AC40*(IF(TYPE(INDEX($F40:$Y40,1,MATCH(AG$7,$F40:$Y40,0)+1))=1,INDEX($F40:$Y40,1,MATCH(AG$7,$F40:$Y40,0)+1),0))*VLOOKUP(AG$7,Reference!$B$7:$C$117,2,FALSE)/$AA40</f>
        <v>0</v>
      </c>
      <c r="AH40" s="762">
        <f>$AC40*(IF(TYPE(INDEX($F40:$Y40,1,MATCH(AH$7,$F40:$Y40,0)+1))=1,INDEX($F40:$Y40,1,MATCH(AH$7,$F40:$Y40,0)+1),0))*VLOOKUP(AH$7,Reference!$B$7:$C$117,2,FALSE)/$AA40</f>
        <v>0</v>
      </c>
      <c r="AI40" s="762">
        <f>$AC40*(IF(TYPE(INDEX($F40:$Y40,1,MATCH(AI$7,$F40:$Y40,0)+1))=1,INDEX($F40:$Y40,1,MATCH(AI$7,$F40:$Y40,0)+1),0))*VLOOKUP(AI$7,Reference!$B$7:$C$117,2,FALSE)/$AA40</f>
        <v>0</v>
      </c>
      <c r="AJ40" s="9">
        <f>$AC40*(IF(TYPE(INDEX($F40:$Y40,1,MATCH(AJ$7,$F40:$Y40,0)+1))=1,INDEX($F40:$Y40,1,MATCH(AJ$7,$F40:$Y40,0)+1),0))*VLOOKUP(AJ$7,Reference!$B$7:$C$117,2,FALSE)/$AA40</f>
        <v>5.7264699186479764E-2</v>
      </c>
      <c r="AK40" s="762">
        <f>$AC40*(IF(TYPE(INDEX($F40:$Y40,1,MATCH(AK$7,$F40:$Y40,0)+1))=1,INDEX($F40:$Y40,1,MATCH(AK$7,$F40:$Y40,0)+1),0))*VLOOKUP(AK$7,Reference!$B$7:$C$117,2,FALSE)/$AA40</f>
        <v>6.0401260474454058E-2</v>
      </c>
      <c r="AL40" s="762">
        <f>$AC40*(IF(TYPE(INDEX($F40:$Y40,1,MATCH(AL$7,$F40:$Y40,0)+1))=1,INDEX($F40:$Y40,1,MATCH(AL$7,$F40:$Y40,0)+1),0))*VLOOKUP(AL$7,Reference!$B$7:$C$117,2,FALSE)/$AA40</f>
        <v>0</v>
      </c>
      <c r="AM40" s="762">
        <f>$AC40*(IF(TYPE(INDEX($F40:$Y40,1,MATCH(AM$7,$F40:$Y40,0)+1))=1,INDEX($F40:$Y40,1,MATCH(AM$7,$F40:$Y40,0)+1),0))*VLOOKUP(AM$7,Reference!$B$7:$C$117,2,FALSE)/$AA40</f>
        <v>0</v>
      </c>
      <c r="AN40" s="762">
        <f>$AC40*(IF(TYPE(INDEX($F40:$Y40,1,MATCH(AN$7,$F40:$Y40,0)+1))=1,INDEX($F40:$Y40,1,MATCH(AN$7,$F40:$Y40,0)+1),0))*VLOOKUP(AN$7,Reference!$B$7:$C$117,2,FALSE)/$AA40</f>
        <v>0</v>
      </c>
      <c r="AO40" s="762">
        <f>$AC40*(IF(TYPE(INDEX($F40:$Y40,1,MATCH(AO$7,$F40:$Y40,0)+1))=1,INDEX($F40:$Y40,1,MATCH(AO$7,$F40:$Y40,0)+1),0))*VLOOKUP(AO$7,Reference!$B$7:$C$117,2,FALSE)/$AA40</f>
        <v>0</v>
      </c>
      <c r="AP40" s="762">
        <f>$AC40*(IF(TYPE(INDEX($F40:$Y40,1,MATCH(AP$7,$F40:$Y40,0)+1))=1,INDEX($F40:$Y40,1,MATCH(AP$7,$F40:$Y40,0)+1),0))*VLOOKUP(AP$7,Reference!$B$7:$C$117,2,FALSE)/$AA40</f>
        <v>0</v>
      </c>
      <c r="AQ40" s="762">
        <f>$AC40*(IF(TYPE(INDEX($F40:$Y40,1,MATCH(AQ$7,$F40:$Y40,0)+1))=1,INDEX($F40:$Y40,1,MATCH(AQ$7,$F40:$Y40,0)+1),0))*VLOOKUP(AQ$7,Reference!$B$7:$C$117,2,FALSE)/$AA40</f>
        <v>0</v>
      </c>
      <c r="AR40" s="762">
        <f>$AC40*(IF(TYPE(INDEX($F40:$Y40,1,MATCH(AR$7,$F40:$Y40,0)+1))=1,INDEX($F40:$Y40,1,MATCH(AR$7,$F40:$Y40,0)+1),0))*VLOOKUP(AR$7,Reference!$B$7:$C$117,2,FALSE)/$AA40</f>
        <v>0</v>
      </c>
      <c r="AS40" s="762">
        <f>$AC40*(IF(TYPE(INDEX($F40:$Y40,1,MATCH(AS$7,$F40:$Y40,0)+1))=1,INDEX($F40:$Y40,1,MATCH(AS$7,$F40:$Y40,0)+1),0))*VLOOKUP(AS$7,Reference!$B$7:$C$117,2,FALSE)/$AA40</f>
        <v>0</v>
      </c>
      <c r="AT40" s="6"/>
      <c r="AU40" s="6"/>
      <c r="AV40" s="6"/>
    </row>
    <row r="41" spans="1:48" x14ac:dyDescent="0.25">
      <c r="A41" s="525">
        <f t="shared" si="47"/>
        <v>31</v>
      </c>
      <c r="B41" s="762">
        <v>5</v>
      </c>
      <c r="C41" s="762" t="str">
        <f>VLOOKUP(B41,Streams!$A$17:$C$937,3,FALSE)</f>
        <v>liquid</v>
      </c>
      <c r="D41" s="18" t="s">
        <v>128</v>
      </c>
      <c r="E41" s="483">
        <f>'Material Balance'!R10</f>
        <v>1.55E-2</v>
      </c>
      <c r="F41" s="762" t="s">
        <v>69</v>
      </c>
      <c r="G41" s="762">
        <v>1</v>
      </c>
      <c r="H41" s="762" t="s">
        <v>66</v>
      </c>
      <c r="I41" s="762">
        <v>1</v>
      </c>
      <c r="J41" s="762"/>
      <c r="K41" s="762"/>
      <c r="L41" s="762"/>
      <c r="M41" s="762"/>
      <c r="N41" s="762"/>
      <c r="O41" s="762"/>
      <c r="P41" s="762"/>
      <c r="Q41" s="762"/>
      <c r="R41" s="762"/>
      <c r="S41" s="762"/>
      <c r="T41" s="762"/>
      <c r="U41" s="762"/>
      <c r="V41" s="762"/>
      <c r="W41" s="762"/>
      <c r="X41" s="762"/>
      <c r="Y41" s="762"/>
      <c r="Z41" t="str">
        <f>F41&amp;IF(G41=1,"",G41)&amp;H41&amp;IF(I41=1,"",I41)&amp;J41&amp;IF(K41=1,"",K41)&amp;L41&amp;IF(M41=1,"",M41)&amp;N41&amp;IF(O41=1,"",O41)&amp;P41&amp;IF(Q41=1,"",Q41)&amp;R41&amp;IF(S41=1,"",S41)&amp;T41&amp;IF(U41=1,"",U41)&amp;V41&amp;IF(W41=1,"",W41)&amp;X41&amp;IF(Y41=1,"",Y41)</f>
        <v>CaO</v>
      </c>
      <c r="AA41">
        <f>IF(COUNTBLANK(F41)=0,VLOOKUP(F41,Reference!$B$5:$C$115,2,FALSE)*G41,0)+IF(COUNTBLANK(H41)=0,VLOOKUP(H41,Reference!$B$5:$C$115,2,FALSE)*I41,0)+IF(COUNTBLANK(J41)=0,VLOOKUP(J41,Reference!$B$5:$C$115,2,FALSE)*K41,0)+IF(COUNTBLANK(L41)=0,VLOOKUP(L41,Reference!$B$5:$C$115,2,FALSE)*M41,0)+IF(COUNTBLANK(N41)=0,VLOOKUP(N41,Reference!$B$5:$C$115,2,FALSE)*O41,0)+IF(COUNTBLANK(P41)=0,VLOOKUP(P41,Reference!$B$5:$C$115,2,FALSE)*Q41,0)+IF(COUNTBLANK(R41)=0,VLOOKUP(R41,Reference!$B$5:$C$115,2,FALSE)*S41,0)+IF(COUNTBLANK(T41)=0,VLOOKUP(T41,Reference!$B$5:$C$115,2,FALSE)*U41,0)+IF(COUNTBLANK(V41)=0,VLOOKUP(V41,Reference!$B$5:$C$115,2,FALSE)*W41,0)+IF(COUNTBLANK(X41)=0,VLOOKUP(X41,Reference!$B$5:$C$115,2,FALSE)*Y41,0)</f>
        <v>56.077400000000004</v>
      </c>
      <c r="AB41" s="762">
        <f>VLOOKUP(B41,Streams!$A$17:$E$939,5,FALSE)</f>
        <v>0.24417090612353978</v>
      </c>
      <c r="AC41" s="762">
        <f>E41*AB41</f>
        <v>3.7846490449148667E-3</v>
      </c>
      <c r="AD41" s="495">
        <f>VLOOKUP(Z41,Reference!O27:P40,2,FALSE)</f>
        <v>0.15</v>
      </c>
      <c r="AE41" s="529">
        <f>AD41*AC41</f>
        <v>5.6769735673722996E-4</v>
      </c>
      <c r="AG41" s="762">
        <f>$AC41*(IF(TYPE(INDEX($F41:$Y41,1,MATCH(AG$7,$F41:$Y41,0)+1))=1,INDEX($F41:$Y41,1,MATCH(AG$7,$F41:$Y41,0)+1),0))*VLOOKUP(AG$7,Reference!$B$7:$C$117,2,FALSE)/$AA41</f>
        <v>0</v>
      </c>
      <c r="AH41" s="762">
        <f>$AC41*(IF(TYPE(INDEX($F41:$Y41,1,MATCH(AH$7,$F41:$Y41,0)+1))=1,INDEX($F41:$Y41,1,MATCH(AH$7,$F41:$Y41,0)+1),0))*VLOOKUP(AH$7,Reference!$B$7:$C$117,2,FALSE)/$AA41</f>
        <v>1.0797953173508562E-3</v>
      </c>
      <c r="AI41" s="762">
        <f>$AC41*(IF(TYPE(INDEX($F41:$Y41,1,MATCH(AI$7,$F41:$Y41,0)+1))=1,INDEX($F41:$Y41,1,MATCH(AI$7,$F41:$Y41,0)+1),0))*VLOOKUP(AI$7,Reference!$B$7:$C$117,2,FALSE)/$AA41</f>
        <v>0</v>
      </c>
      <c r="AJ41" s="762">
        <f>$AC41*(IF(TYPE(INDEX($F41:$Y41,1,MATCH(AJ$7,$F41:$Y41,0)+1))=1,INDEX($F41:$Y41,1,MATCH(AJ$7,$F41:$Y41,0)+1),0))*VLOOKUP(AJ$7,Reference!$B$7:$C$117,2,FALSE)/$AA41</f>
        <v>0</v>
      </c>
      <c r="AK41" s="762">
        <f>$AC41*(IF(TYPE(INDEX($F41:$Y41,1,MATCH(AK$7,$F41:$Y41,0)+1))=1,INDEX($F41:$Y41,1,MATCH(AK$7,$F41:$Y41,0)+1),0))*VLOOKUP(AK$7,Reference!$B$7:$C$117,2,FALSE)/$AA41</f>
        <v>2.70485372756401E-3</v>
      </c>
      <c r="AL41" s="762">
        <f>$AC41*(IF(TYPE(INDEX($F41:$Y41,1,MATCH(AL$7,$F41:$Y41,0)+1))=1,INDEX($F41:$Y41,1,MATCH(AL$7,$F41:$Y41,0)+1),0))*VLOOKUP(AL$7,Reference!$B$7:$C$117,2,FALSE)/$AA41</f>
        <v>0</v>
      </c>
      <c r="AM41" s="762">
        <f>$AC41*(IF(TYPE(INDEX($F41:$Y41,1,MATCH(AM$7,$F41:$Y41,0)+1))=1,INDEX($F41:$Y41,1,MATCH(AM$7,$F41:$Y41,0)+1),0))*VLOOKUP(AM$7,Reference!$B$7:$C$117,2,FALSE)/$AA41</f>
        <v>0</v>
      </c>
      <c r="AN41" s="762">
        <f>$AC41*(IF(TYPE(INDEX($F41:$Y41,1,MATCH(AN$7,$F41:$Y41,0)+1))=1,INDEX($F41:$Y41,1,MATCH(AN$7,$F41:$Y41,0)+1),0))*VLOOKUP(AN$7,Reference!$B$7:$C$117,2,FALSE)/$AA41</f>
        <v>0</v>
      </c>
      <c r="AO41" s="762">
        <f>$AC41*(IF(TYPE(INDEX($F41:$Y41,1,MATCH(AO$7,$F41:$Y41,0)+1))=1,INDEX($F41:$Y41,1,MATCH(AO$7,$F41:$Y41,0)+1),0))*VLOOKUP(AO$7,Reference!$B$7:$C$117,2,FALSE)/$AA41</f>
        <v>0</v>
      </c>
      <c r="AP41" s="762">
        <f>$AC41*(IF(TYPE(INDEX($F41:$Y41,1,MATCH(AP$7,$F41:$Y41,0)+1))=1,INDEX($F41:$Y41,1,MATCH(AP$7,$F41:$Y41,0)+1),0))*VLOOKUP(AP$7,Reference!$B$7:$C$117,2,FALSE)/$AA41</f>
        <v>0</v>
      </c>
      <c r="AQ41" s="762">
        <f>$AC41*(IF(TYPE(INDEX($F41:$Y41,1,MATCH(AQ$7,$F41:$Y41,0)+1))=1,INDEX($F41:$Y41,1,MATCH(AQ$7,$F41:$Y41,0)+1),0))*VLOOKUP(AQ$7,Reference!$B$7:$C$117,2,FALSE)/$AA41</f>
        <v>0</v>
      </c>
      <c r="AR41" s="762">
        <f>$AC41*(IF(TYPE(INDEX($F41:$Y41,1,MATCH(AR$7,$F41:$Y41,0)+1))=1,INDEX($F41:$Y41,1,MATCH(AR$7,$F41:$Y41,0)+1),0))*VLOOKUP(AR$7,Reference!$B$7:$C$117,2,FALSE)/$AA41</f>
        <v>0</v>
      </c>
      <c r="AS41" s="762">
        <f>$AC41*(IF(TYPE(INDEX($F41:$Y41,1,MATCH(AS$7,$F41:$Y41,0)+1))=1,INDEX($F41:$Y41,1,MATCH(AS$7,$F41:$Y41,0)+1),0))*VLOOKUP(AS$7,Reference!$B$7:$C$117,2,FALSE)/$AA41</f>
        <v>0</v>
      </c>
      <c r="AT41" s="6"/>
      <c r="AU41" s="6"/>
      <c r="AV41" s="6"/>
    </row>
    <row r="50" spans="3:8" x14ac:dyDescent="0.25">
      <c r="C50" s="767"/>
      <c r="D50" s="767"/>
      <c r="E50" s="767"/>
      <c r="F50" s="316"/>
      <c r="G50" s="316"/>
      <c r="H50" s="316"/>
    </row>
    <row r="51" spans="3:8" x14ac:dyDescent="0.25">
      <c r="C51" s="767"/>
      <c r="D51" s="767"/>
      <c r="E51" s="767"/>
      <c r="F51" s="316"/>
      <c r="G51" s="316"/>
      <c r="H51" s="316"/>
    </row>
    <row r="52" spans="3:8" x14ac:dyDescent="0.25">
      <c r="C52" s="767"/>
      <c r="D52" s="767"/>
      <c r="E52" s="767"/>
      <c r="F52" s="317"/>
      <c r="G52" s="317"/>
      <c r="H52" s="317"/>
    </row>
    <row r="53" spans="3:8" x14ac:dyDescent="0.25">
      <c r="C53" s="29"/>
      <c r="E53" s="762"/>
      <c r="F53" s="762"/>
      <c r="G53" s="762"/>
      <c r="H53" s="762"/>
    </row>
  </sheetData>
  <mergeCells count="13">
    <mergeCell ref="AD7:AD9"/>
    <mergeCell ref="AE7:AE9"/>
    <mergeCell ref="X10:Y10"/>
    <mergeCell ref="R10:S10"/>
    <mergeCell ref="T10:U10"/>
    <mergeCell ref="V10:W10"/>
    <mergeCell ref="F9:Y9"/>
    <mergeCell ref="J10:K10"/>
    <mergeCell ref="L10:M10"/>
    <mergeCell ref="N10:O10"/>
    <mergeCell ref="P10:Q10"/>
    <mergeCell ref="F10:G10"/>
    <mergeCell ref="H10:I10"/>
  </mergeCells>
  <conditionalFormatting sqref="A11">
    <cfRule type="expression" dxfId="82" priority="797">
      <formula>OR(#REF!="no",#REF!="add species?")</formula>
    </cfRule>
  </conditionalFormatting>
  <conditionalFormatting sqref="B11 D11:Y11 E12:E19 D31:Y41 B31:B41">
    <cfRule type="expression" dxfId="81" priority="795">
      <formula>COUNTBLANK($A11)=0</formula>
    </cfRule>
  </conditionalFormatting>
  <conditionalFormatting sqref="Z11:AC11 Z31:AA31 AC31 AB12:AB31 Z32:AC41 AG11:AS41">
    <cfRule type="expression" dxfId="80" priority="322">
      <formula>COUNTBLANK($A11)=1</formula>
    </cfRule>
  </conditionalFormatting>
  <conditionalFormatting sqref="E7">
    <cfRule type="notContainsBlanks" dxfId="79" priority="182">
      <formula>LEN(TRIM(E7))&gt;0</formula>
    </cfRule>
  </conditionalFormatting>
  <conditionalFormatting sqref="E6:K6">
    <cfRule type="expression" dxfId="78" priority="157">
      <formula>$E$6="Continue here to confirm economic values."</formula>
    </cfRule>
  </conditionalFormatting>
  <conditionalFormatting sqref="A12">
    <cfRule type="expression" dxfId="77" priority="140">
      <formula>OR(#REF!="no",#REF!="add species?")</formula>
    </cfRule>
  </conditionalFormatting>
  <conditionalFormatting sqref="B12 D12 F12:Y12">
    <cfRule type="expression" dxfId="76" priority="139">
      <formula>COUNTBLANK($A12)=0</formula>
    </cfRule>
  </conditionalFormatting>
  <conditionalFormatting sqref="Z12:AA12 AC12">
    <cfRule type="expression" dxfId="75" priority="138">
      <formula>COUNTBLANK($A12)=1</formula>
    </cfRule>
  </conditionalFormatting>
  <conditionalFormatting sqref="A13">
    <cfRule type="expression" dxfId="74" priority="137">
      <formula>OR(#REF!="no",#REF!="add species?")</formula>
    </cfRule>
  </conditionalFormatting>
  <conditionalFormatting sqref="B13 D13 F13:Y13">
    <cfRule type="expression" dxfId="73" priority="136">
      <formula>COUNTBLANK($A13)=0</formula>
    </cfRule>
  </conditionalFormatting>
  <conditionalFormatting sqref="Z13:AA13 AC13">
    <cfRule type="expression" dxfId="72" priority="135">
      <formula>COUNTBLANK($A13)=1</formula>
    </cfRule>
  </conditionalFormatting>
  <conditionalFormatting sqref="A14">
    <cfRule type="expression" dxfId="71" priority="134">
      <formula>OR(#REF!="no",#REF!="add species?")</formula>
    </cfRule>
  </conditionalFormatting>
  <conditionalFormatting sqref="B14 D14 F14:Y14">
    <cfRule type="expression" dxfId="70" priority="133">
      <formula>COUNTBLANK($A14)=0</formula>
    </cfRule>
  </conditionalFormatting>
  <conditionalFormatting sqref="Z14:AA14 AC14">
    <cfRule type="expression" dxfId="69" priority="132">
      <formula>COUNTBLANK($A14)=1</formula>
    </cfRule>
  </conditionalFormatting>
  <conditionalFormatting sqref="A15">
    <cfRule type="expression" dxfId="68" priority="131">
      <formula>OR(#REF!="no",#REF!="add species?")</formula>
    </cfRule>
  </conditionalFormatting>
  <conditionalFormatting sqref="B15 D15 G15:Y15">
    <cfRule type="expression" dxfId="67" priority="130">
      <formula>COUNTBLANK($A15)=0</formula>
    </cfRule>
  </conditionalFormatting>
  <conditionalFormatting sqref="Z15:AA15 AC15">
    <cfRule type="expression" dxfId="66" priority="129">
      <formula>COUNTBLANK($A15)=1</formula>
    </cfRule>
  </conditionalFormatting>
  <conditionalFormatting sqref="A16">
    <cfRule type="expression" dxfId="65" priority="128">
      <formula>OR(#REF!="no",#REF!="add species?")</formula>
    </cfRule>
  </conditionalFormatting>
  <conditionalFormatting sqref="B16 D16 F16:Y16">
    <cfRule type="expression" dxfId="64" priority="127">
      <formula>COUNTBLANK($A16)=0</formula>
    </cfRule>
  </conditionalFormatting>
  <conditionalFormatting sqref="Z16:AA16 AC16">
    <cfRule type="expression" dxfId="63" priority="126">
      <formula>COUNTBLANK($A16)=1</formula>
    </cfRule>
  </conditionalFormatting>
  <conditionalFormatting sqref="A17 A19:A41">
    <cfRule type="expression" dxfId="62" priority="125">
      <formula>OR(#REF!="no",#REF!="add species?")</formula>
    </cfRule>
  </conditionalFormatting>
  <conditionalFormatting sqref="B17 D17 F17:Y17">
    <cfRule type="expression" dxfId="61" priority="124">
      <formula>COUNTBLANK($A17)=0</formula>
    </cfRule>
  </conditionalFormatting>
  <conditionalFormatting sqref="Z17:AA17 AC17">
    <cfRule type="expression" dxfId="60" priority="123">
      <formula>COUNTBLANK($A17)=1</formula>
    </cfRule>
  </conditionalFormatting>
  <conditionalFormatting sqref="A18">
    <cfRule type="expression" dxfId="59" priority="122">
      <formula>OR(#REF!="no",#REF!="add species?")</formula>
    </cfRule>
  </conditionalFormatting>
  <conditionalFormatting sqref="B18 D18 F18:Y18">
    <cfRule type="expression" dxfId="58" priority="121">
      <formula>COUNTBLANK($A18)=0</formula>
    </cfRule>
  </conditionalFormatting>
  <conditionalFormatting sqref="Z18:AA18 AC18">
    <cfRule type="expression" dxfId="57" priority="120">
      <formula>COUNTBLANK($A18)=1</formula>
    </cfRule>
  </conditionalFormatting>
  <conditionalFormatting sqref="B19 D19 F19:Y19">
    <cfRule type="expression" dxfId="56" priority="118">
      <formula>COUNTBLANK($A19)=0</formula>
    </cfRule>
  </conditionalFormatting>
  <conditionalFormatting sqref="Z19:AA19 AC19">
    <cfRule type="expression" dxfId="55" priority="117">
      <formula>COUNTBLANK($A19)=1</formula>
    </cfRule>
  </conditionalFormatting>
  <conditionalFormatting sqref="B20 D20:Y20">
    <cfRule type="expression" dxfId="54" priority="103">
      <formula>COUNTBLANK($A20)=0</formula>
    </cfRule>
  </conditionalFormatting>
  <conditionalFormatting sqref="Z20:AA20 AC20">
    <cfRule type="expression" dxfId="53" priority="102">
      <formula>COUNTBLANK($A20)=1</formula>
    </cfRule>
  </conditionalFormatting>
  <conditionalFormatting sqref="B21 D21:E21 G21:Y21 E22:E28">
    <cfRule type="expression" dxfId="52" priority="100">
      <formula>COUNTBLANK($A21)=0</formula>
    </cfRule>
  </conditionalFormatting>
  <conditionalFormatting sqref="Z21:AA21 AC21">
    <cfRule type="expression" dxfId="51" priority="99">
      <formula>COUNTBLANK($A21)=1</formula>
    </cfRule>
  </conditionalFormatting>
  <conditionalFormatting sqref="B22 D22 G22:Y22">
    <cfRule type="expression" dxfId="50" priority="97">
      <formula>COUNTBLANK($A22)=0</formula>
    </cfRule>
  </conditionalFormatting>
  <conditionalFormatting sqref="Z22:AA22 AC22">
    <cfRule type="expression" dxfId="49" priority="96">
      <formula>COUNTBLANK($A22)=1</formula>
    </cfRule>
  </conditionalFormatting>
  <conditionalFormatting sqref="B23 D23 F23:Y23">
    <cfRule type="expression" dxfId="48" priority="94">
      <formula>COUNTBLANK($A23)=0</formula>
    </cfRule>
  </conditionalFormatting>
  <conditionalFormatting sqref="Z23:AA23 AC23">
    <cfRule type="expression" dxfId="47" priority="93">
      <formula>COUNTBLANK($A23)=1</formula>
    </cfRule>
  </conditionalFormatting>
  <conditionalFormatting sqref="B24 D24 F24:Y24">
    <cfRule type="expression" dxfId="46" priority="91">
      <formula>COUNTBLANK($A24)=0</formula>
    </cfRule>
  </conditionalFormatting>
  <conditionalFormatting sqref="Z24:AA24 AC24">
    <cfRule type="expression" dxfId="45" priority="90">
      <formula>COUNTBLANK($A24)=1</formula>
    </cfRule>
  </conditionalFormatting>
  <conditionalFormatting sqref="B25 F25:Y25">
    <cfRule type="expression" dxfId="44" priority="88">
      <formula>COUNTBLANK($A25)=0</formula>
    </cfRule>
  </conditionalFormatting>
  <conditionalFormatting sqref="Z25:AA25 AC25">
    <cfRule type="expression" dxfId="43" priority="87">
      <formula>COUNTBLANK($A25)=1</formula>
    </cfRule>
  </conditionalFormatting>
  <conditionalFormatting sqref="B26 F26:Y26">
    <cfRule type="expression" dxfId="42" priority="85">
      <formula>COUNTBLANK($A26)=0</formula>
    </cfRule>
  </conditionalFormatting>
  <conditionalFormatting sqref="Z26:AA26 AC26">
    <cfRule type="expression" dxfId="41" priority="84">
      <formula>COUNTBLANK($A26)=1</formula>
    </cfRule>
  </conditionalFormatting>
  <conditionalFormatting sqref="F21">
    <cfRule type="expression" dxfId="40" priority="82">
      <formula>COUNTBLANK($A21)=0</formula>
    </cfRule>
  </conditionalFormatting>
  <conditionalFormatting sqref="F15">
    <cfRule type="expression" dxfId="39" priority="81">
      <formula>COUNTBLANK($A15)=0</formula>
    </cfRule>
  </conditionalFormatting>
  <conditionalFormatting sqref="F22">
    <cfRule type="expression" dxfId="38" priority="80">
      <formula>COUNTBLANK($A22)=0</formula>
    </cfRule>
  </conditionalFormatting>
  <conditionalFormatting sqref="B27 F27:Y27">
    <cfRule type="expression" dxfId="37" priority="78">
      <formula>COUNTBLANK($A27)=0</formula>
    </cfRule>
  </conditionalFormatting>
  <conditionalFormatting sqref="Z27:AA27 AC27">
    <cfRule type="expression" dxfId="36" priority="77">
      <formula>COUNTBLANK($A27)=1</formula>
    </cfRule>
  </conditionalFormatting>
  <conditionalFormatting sqref="D25">
    <cfRule type="expression" dxfId="35" priority="76">
      <formula>COUNTBLANK($A25)=0</formula>
    </cfRule>
  </conditionalFormatting>
  <conditionalFormatting sqref="D26">
    <cfRule type="expression" dxfId="34" priority="75">
      <formula>COUNTBLANK($A26)=0</formula>
    </cfRule>
  </conditionalFormatting>
  <conditionalFormatting sqref="D27">
    <cfRule type="expression" dxfId="33" priority="74">
      <formula>COUNTBLANK($A27)=0</formula>
    </cfRule>
  </conditionalFormatting>
  <conditionalFormatting sqref="B28 F28:Y28">
    <cfRule type="expression" dxfId="32" priority="72">
      <formula>COUNTBLANK($A28)=0</formula>
    </cfRule>
  </conditionalFormatting>
  <conditionalFormatting sqref="Z28:AA28 AC28">
    <cfRule type="expression" dxfId="31" priority="71">
      <formula>COUNTBLANK($A28)=1</formula>
    </cfRule>
  </conditionalFormatting>
  <conditionalFormatting sqref="D28">
    <cfRule type="expression" dxfId="30" priority="70">
      <formula>COUNTBLANK($A28)=0</formula>
    </cfRule>
  </conditionalFormatting>
  <conditionalFormatting sqref="E29">
    <cfRule type="expression" dxfId="29" priority="69">
      <formula>COUNTBLANK($A29)=0</formula>
    </cfRule>
  </conditionalFormatting>
  <conditionalFormatting sqref="B29 F29:Y29">
    <cfRule type="expression" dxfId="28" priority="67">
      <formula>COUNTBLANK($A29)=0</formula>
    </cfRule>
  </conditionalFormatting>
  <conditionalFormatting sqref="Z29:AA29 AC29">
    <cfRule type="expression" dxfId="27" priority="66">
      <formula>COUNTBLANK($A29)=1</formula>
    </cfRule>
  </conditionalFormatting>
  <conditionalFormatting sqref="E30">
    <cfRule type="expression" dxfId="26" priority="64">
      <formula>COUNTBLANK($A30)=0</formula>
    </cfRule>
  </conditionalFormatting>
  <conditionalFormatting sqref="B30 F30:Y30">
    <cfRule type="expression" dxfId="25" priority="62">
      <formula>COUNTBLANK($A30)=0</formula>
    </cfRule>
  </conditionalFormatting>
  <conditionalFormatting sqref="Z30:AA30 AC30">
    <cfRule type="expression" dxfId="24" priority="61">
      <formula>COUNTBLANK($A30)=1</formula>
    </cfRule>
  </conditionalFormatting>
  <conditionalFormatting sqref="D29">
    <cfRule type="expression" dxfId="23" priority="59">
      <formula>COUNTBLANK($A29)=0</formula>
    </cfRule>
  </conditionalFormatting>
  <conditionalFormatting sqref="D30">
    <cfRule type="expression" dxfId="22" priority="58">
      <formula>COUNTBLANK($A30)=0</formula>
    </cfRule>
  </conditionalFormatting>
  <hyperlinks>
    <hyperlink ref="E7" location="CheckStreamComp" display="CheckStreamComp" xr:uid="{00000000-0004-0000-0300-000000000000}"/>
    <hyperlink ref="E6" location="Economic_Value_Streams" display="Economic_Value_Streams" xr:uid="{00000000-0004-0000-0300-000001000000}"/>
  </hyperlink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Reference!$B$5:$B$115</xm:f>
          </x14:formula1>
          <xm:sqref>V11:V41 F11:F41 X11:X41 H11:H41 J11:J41 L11:L41 N11:N41 R11:R41 P11:P41 T11:T41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30"/>
  <sheetViews>
    <sheetView tabSelected="1" topLeftCell="A20" zoomScale="70" zoomScaleNormal="70" workbookViewId="0">
      <selection activeCell="G24" sqref="G24"/>
    </sheetView>
  </sheetViews>
  <sheetFormatPr defaultRowHeight="15" x14ac:dyDescent="0.25"/>
  <cols>
    <col min="1" max="1" width="4.7109375" customWidth="1"/>
    <col min="2" max="2" width="20.85546875" bestFit="1" customWidth="1"/>
    <col min="3" max="3" width="11.28515625" customWidth="1"/>
    <col min="4" max="4" width="13.28515625" customWidth="1"/>
    <col min="5" max="5" width="12.28515625" customWidth="1"/>
    <col min="6" max="6" width="13.5703125" customWidth="1"/>
    <col min="7" max="7" width="11.7109375" customWidth="1"/>
    <col min="8" max="9" width="12.85546875" customWidth="1"/>
    <col min="10" max="10" width="13.7109375" customWidth="1"/>
    <col min="11" max="11" width="13.85546875" customWidth="1"/>
    <col min="12" max="12" width="13.7109375" customWidth="1"/>
    <col min="13" max="13" width="12.85546875" customWidth="1"/>
    <col min="14" max="14" width="12.7109375" customWidth="1"/>
    <col min="15" max="15" width="12" customWidth="1"/>
    <col min="16" max="16" width="12.85546875" customWidth="1"/>
    <col min="17" max="17" width="8.140625" customWidth="1"/>
    <col min="18" max="18" width="13.140625" customWidth="1"/>
    <col min="19" max="19" width="11.42578125" customWidth="1"/>
    <col min="20" max="20" width="14.7109375" customWidth="1"/>
    <col min="21" max="21" width="11.42578125" customWidth="1"/>
    <col min="22" max="22" width="12.140625" customWidth="1"/>
    <col min="23" max="23" width="12" customWidth="1"/>
    <col min="24" max="24" width="11.140625" customWidth="1"/>
    <col min="25" max="25" width="11.7109375" customWidth="1"/>
    <col min="26" max="26" width="11.42578125" customWidth="1"/>
    <col min="27" max="27" width="10.28515625" customWidth="1"/>
    <col min="28" max="28" width="10.85546875" customWidth="1"/>
    <col min="29" max="29" width="10.5703125" customWidth="1"/>
    <col min="30" max="30" width="12.140625" customWidth="1"/>
    <col min="31" max="31" width="11.85546875" customWidth="1"/>
    <col min="32" max="32" width="13.85546875" customWidth="1"/>
    <col min="33" max="33" width="16.140625" customWidth="1"/>
    <col min="34" max="34" width="13.5703125" customWidth="1"/>
    <col min="35" max="35" width="22.5703125" customWidth="1"/>
    <col min="36" max="36" width="19.42578125" customWidth="1"/>
    <col min="37" max="37" width="23.5703125" customWidth="1"/>
    <col min="38" max="38" width="11.85546875" customWidth="1"/>
    <col min="41" max="41" width="11.140625" customWidth="1"/>
    <col min="44" max="47" width="12.5703125" bestFit="1" customWidth="1"/>
    <col min="48" max="48" width="11.5703125" bestFit="1" customWidth="1"/>
    <col min="49" max="49" width="13.140625" customWidth="1"/>
    <col min="50" max="50" width="12.85546875" customWidth="1"/>
    <col min="51" max="51" width="13.42578125" customWidth="1"/>
    <col min="52" max="52" width="11" customWidth="1"/>
    <col min="53" max="54" width="10.85546875" customWidth="1"/>
    <col min="55" max="55" width="10.5703125" customWidth="1"/>
    <col min="56" max="56" width="9.85546875" customWidth="1"/>
    <col min="57" max="57" width="10.140625" customWidth="1"/>
    <col min="58" max="59" width="10" customWidth="1"/>
    <col min="60" max="60" width="10.5703125" customWidth="1"/>
    <col min="61" max="62" width="10.85546875" customWidth="1"/>
  </cols>
  <sheetData>
    <row r="1" spans="1:37" x14ac:dyDescent="0.25">
      <c r="C1" s="281"/>
      <c r="I1" s="206"/>
      <c r="T1" s="353"/>
      <c r="U1" s="353"/>
      <c r="V1" s="353"/>
      <c r="W1" s="353"/>
      <c r="X1" s="353"/>
      <c r="Y1" s="353"/>
      <c r="Z1" s="353"/>
      <c r="AA1" s="353"/>
      <c r="AB1" s="353"/>
      <c r="AC1" s="353"/>
      <c r="AD1" s="353"/>
    </row>
    <row r="2" spans="1:37" ht="21" x14ac:dyDescent="0.35">
      <c r="A2" s="618" t="s">
        <v>143</v>
      </c>
      <c r="C2" s="281"/>
      <c r="I2" s="206"/>
      <c r="T2" s="353"/>
      <c r="U2" s="353"/>
      <c r="Z2" s="353"/>
      <c r="AA2" s="353"/>
      <c r="AB2" s="353"/>
      <c r="AC2" s="353"/>
      <c r="AD2" s="353"/>
      <c r="AF2" s="198"/>
      <c r="AG2" s="198"/>
      <c r="AH2" s="198"/>
      <c r="AI2" s="198"/>
    </row>
    <row r="3" spans="1:37" x14ac:dyDescent="0.25">
      <c r="C3" s="281"/>
      <c r="I3" s="206"/>
      <c r="L3" s="535" t="s">
        <v>144</v>
      </c>
      <c r="M3" s="395"/>
      <c r="P3" s="353"/>
      <c r="U3" s="353"/>
      <c r="V3" s="422" t="s">
        <v>145</v>
      </c>
      <c r="W3" s="422"/>
      <c r="X3" s="428"/>
      <c r="Y3" s="422"/>
      <c r="Z3" s="422"/>
      <c r="AA3" s="424" t="s">
        <v>146</v>
      </c>
      <c r="AB3" s="198"/>
      <c r="AC3" s="198"/>
      <c r="AD3" s="198"/>
    </row>
    <row r="4" spans="1:37" x14ac:dyDescent="0.25">
      <c r="B4" s="218" t="s">
        <v>115</v>
      </c>
      <c r="C4" s="218" t="s">
        <v>147</v>
      </c>
      <c r="D4" s="218"/>
      <c r="E4" s="218" t="s">
        <v>148</v>
      </c>
      <c r="F4" s="218" t="s">
        <v>149</v>
      </c>
      <c r="G4" s="218"/>
      <c r="H4" s="764" t="s">
        <v>150</v>
      </c>
      <c r="I4" s="320" t="s">
        <v>151</v>
      </c>
      <c r="J4" s="320" t="s">
        <v>152</v>
      </c>
      <c r="L4" s="617" t="s">
        <v>153</v>
      </c>
      <c r="M4" s="617" t="s">
        <v>154</v>
      </c>
      <c r="N4" s="617" t="s">
        <v>155</v>
      </c>
      <c r="O4" s="617" t="s">
        <v>156</v>
      </c>
      <c r="P4" s="353"/>
      <c r="Q4" s="320" t="s">
        <v>157</v>
      </c>
      <c r="R4" s="582" t="s">
        <v>54</v>
      </c>
      <c r="S4" s="789" t="s">
        <v>158</v>
      </c>
      <c r="T4" s="790"/>
      <c r="U4" s="353"/>
      <c r="V4" s="617" t="s">
        <v>153</v>
      </c>
      <c r="W4" s="617" t="s">
        <v>154</v>
      </c>
      <c r="X4" s="617" t="s">
        <v>155</v>
      </c>
      <c r="Y4" s="617" t="s">
        <v>156</v>
      </c>
      <c r="AA4" s="617" t="s">
        <v>153</v>
      </c>
      <c r="AB4" s="617" t="s">
        <v>154</v>
      </c>
      <c r="AC4" s="617" t="s">
        <v>155</v>
      </c>
      <c r="AD4" s="617" t="s">
        <v>156</v>
      </c>
    </row>
    <row r="5" spans="1:37" x14ac:dyDescent="0.25">
      <c r="B5" s="223" t="s">
        <v>45</v>
      </c>
      <c r="C5" s="223">
        <v>28.0855</v>
      </c>
      <c r="D5" s="223"/>
      <c r="E5" s="223" t="s">
        <v>52</v>
      </c>
      <c r="F5" s="223">
        <f>SiliconMolarMass+(2*OMolarMass)</f>
        <v>60.084299999999999</v>
      </c>
      <c r="G5" s="223"/>
      <c r="H5" s="305">
        <f>SiliconMolarMass/SiO2MolarMass</f>
        <v>0.46743492060321917</v>
      </c>
      <c r="I5" s="305">
        <f>2*OMolarMass/SiO2MolarMass</f>
        <v>0.53256507939678088</v>
      </c>
      <c r="J5" s="266">
        <f t="shared" ref="J5:J18" si="0">SUM(H5:I5)</f>
        <v>1</v>
      </c>
      <c r="L5" s="244" t="s">
        <v>52</v>
      </c>
      <c r="M5" s="566">
        <v>0.998</v>
      </c>
      <c r="N5" s="305" t="s">
        <v>45</v>
      </c>
      <c r="O5" s="305">
        <f>H5*M5</f>
        <v>0.46650005076201273</v>
      </c>
      <c r="P5" s="353"/>
      <c r="U5" s="353"/>
      <c r="V5" s="244" t="s">
        <v>49</v>
      </c>
      <c r="W5" s="457">
        <f>45/99</f>
        <v>0.45454545454545453</v>
      </c>
      <c r="X5" s="305" t="s">
        <v>69</v>
      </c>
      <c r="Y5" s="305">
        <f>(W5*H7)+(W7*H8)</f>
        <v>0.29830290797029813</v>
      </c>
      <c r="AA5" s="244" t="s">
        <v>49</v>
      </c>
      <c r="AB5" s="500">
        <f>AE26/I7</f>
        <v>0.44754415352851673</v>
      </c>
      <c r="AC5" s="305" t="s">
        <v>69</v>
      </c>
      <c r="AD5" s="409">
        <f>AN47/AV47</f>
        <v>0.24178192274856583</v>
      </c>
    </row>
    <row r="6" spans="1:37" x14ac:dyDescent="0.25">
      <c r="B6" s="223" t="s">
        <v>66</v>
      </c>
      <c r="C6" s="223">
        <v>15.9994</v>
      </c>
      <c r="D6" s="223"/>
      <c r="E6" s="223" t="s">
        <v>50</v>
      </c>
      <c r="F6" s="223">
        <f>MgMolarMass+(2*FMolarMass)</f>
        <v>62.3018</v>
      </c>
      <c r="G6" s="223"/>
      <c r="H6" s="305">
        <f>MgMolarMass/MgF2MolarMass</f>
        <v>0.39011713947269583</v>
      </c>
      <c r="I6" s="305">
        <f>2*FMolarMass/MgF2MolarMass</f>
        <v>0.60988286052730423</v>
      </c>
      <c r="J6" s="266">
        <f t="shared" si="0"/>
        <v>1</v>
      </c>
      <c r="L6" s="244" t="s">
        <v>34</v>
      </c>
      <c r="M6" s="377">
        <f>50%*(100%-M$5)</f>
        <v>1.0000000000000009E-3</v>
      </c>
      <c r="N6" s="249" t="s">
        <v>46</v>
      </c>
      <c r="O6" s="305">
        <f>H10*M6</f>
        <v>5.2925034228706663E-4</v>
      </c>
      <c r="Q6" s="421" t="s">
        <v>159</v>
      </c>
      <c r="V6" s="244" t="s">
        <v>50</v>
      </c>
      <c r="W6" s="457">
        <f>35/99</f>
        <v>0.35353535353535354</v>
      </c>
      <c r="X6" s="305" t="s">
        <v>68</v>
      </c>
      <c r="Y6" s="305">
        <f>(W5*I7)+(W6*I6)+(W8*I11)</f>
        <v>0.45261313070264464</v>
      </c>
      <c r="AA6" s="244" t="s">
        <v>50</v>
      </c>
      <c r="AB6" s="500">
        <f>AD7/H6</f>
        <v>0.44754415352851656</v>
      </c>
      <c r="AC6" s="305" t="s">
        <v>68</v>
      </c>
      <c r="AD6" s="409">
        <f>AO47/AV47</f>
        <v>0.4982664188369661</v>
      </c>
    </row>
    <row r="7" spans="1:37" x14ac:dyDescent="0.25">
      <c r="B7" s="223" t="s">
        <v>67</v>
      </c>
      <c r="C7" s="223">
        <v>24.305</v>
      </c>
      <c r="D7" s="223"/>
      <c r="E7" s="223" t="s">
        <v>49</v>
      </c>
      <c r="F7" s="223">
        <f>CaMolarMass+(2*FMolarMass)</f>
        <v>78.07480000000001</v>
      </c>
      <c r="G7" s="223"/>
      <c r="H7" s="305">
        <f>CaMolarMass/CaF2MolarMass</f>
        <v>0.51332824419659095</v>
      </c>
      <c r="I7" s="305">
        <f>(FMolarMass*2)/CaF2MolarMass</f>
        <v>0.48667175580340899</v>
      </c>
      <c r="J7" s="266">
        <f t="shared" si="0"/>
        <v>1</v>
      </c>
      <c r="L7" s="244" t="s">
        <v>36</v>
      </c>
      <c r="M7" s="377">
        <f>15%*(100%-M$5)</f>
        <v>3.0000000000000024E-4</v>
      </c>
      <c r="N7" s="249" t="s">
        <v>66</v>
      </c>
      <c r="O7" s="305">
        <f>(I5*M5)+(I10*M6)+(I12*M7)+(I8*M8)+(I13*M9)+(I14*M10)+(I16*M11)+(I15*M12)+(I17*M13)</f>
        <v>0.5323294188827461</v>
      </c>
      <c r="P7" s="164"/>
      <c r="Q7" s="617" t="s">
        <v>153</v>
      </c>
      <c r="R7" s="617" t="s">
        <v>154</v>
      </c>
      <c r="S7" s="617" t="s">
        <v>155</v>
      </c>
      <c r="T7" s="617" t="s">
        <v>156</v>
      </c>
      <c r="V7" s="244" t="s">
        <v>37</v>
      </c>
      <c r="W7" s="457">
        <f>9/99</f>
        <v>9.0909090909090912E-2</v>
      </c>
      <c r="X7" s="305" t="s">
        <v>67</v>
      </c>
      <c r="Y7" s="305">
        <f>(W6*H6)</f>
        <v>0.13792020082368034</v>
      </c>
      <c r="AA7" s="244" t="s">
        <v>37</v>
      </c>
      <c r="AB7" s="501">
        <f>AE28/H8</f>
        <v>1.6853258470235496E-2</v>
      </c>
      <c r="AC7" s="305" t="s">
        <v>67</v>
      </c>
      <c r="AD7" s="407">
        <f>AM47/AV47</f>
        <v>0.17459464496227389</v>
      </c>
    </row>
    <row r="8" spans="1:37" x14ac:dyDescent="0.25">
      <c r="B8" s="223" t="s">
        <v>69</v>
      </c>
      <c r="C8" s="223">
        <v>40.078000000000003</v>
      </c>
      <c r="D8" s="223"/>
      <c r="E8" s="223" t="s">
        <v>37</v>
      </c>
      <c r="F8" s="223">
        <f>CaMolarMass+OMolarMass</f>
        <v>56.077400000000004</v>
      </c>
      <c r="G8" s="223"/>
      <c r="H8" s="305">
        <f>CaMolarMass/CaOMolarMass</f>
        <v>0.7146907666903245</v>
      </c>
      <c r="I8" s="305">
        <f>OMolarMass/CaOMolarMass</f>
        <v>0.2853092333096755</v>
      </c>
      <c r="J8" s="266">
        <f t="shared" si="0"/>
        <v>1</v>
      </c>
      <c r="L8" s="244" t="s">
        <v>37</v>
      </c>
      <c r="M8" s="377">
        <f>15%*(100%-M$5)</f>
        <v>3.0000000000000024E-4</v>
      </c>
      <c r="N8" s="249" t="s">
        <v>71</v>
      </c>
      <c r="O8" s="305">
        <f>M7*H12</f>
        <v>2.0982765163612608E-4</v>
      </c>
      <c r="Q8" s="223" t="s">
        <v>50</v>
      </c>
      <c r="R8" s="246">
        <f>48.19%</f>
        <v>0.4819</v>
      </c>
      <c r="S8" s="302" t="s">
        <v>67</v>
      </c>
      <c r="T8" s="302">
        <f>R8*H6</f>
        <v>0.18799744951189212</v>
      </c>
      <c r="V8" s="449" t="s">
        <v>54</v>
      </c>
      <c r="W8" s="458">
        <f>4/99</f>
        <v>4.0404040404040407E-2</v>
      </c>
      <c r="X8" s="305" t="s">
        <v>66</v>
      </c>
      <c r="Y8" s="456">
        <f>(W7*I8)+(W9*I18)+(W10*I5)+(W11*I10)</f>
        <v>5.7589476307918365E-2</v>
      </c>
      <c r="AA8" s="244" t="s">
        <v>52</v>
      </c>
      <c r="AB8" s="502">
        <f>AD11/H5</f>
        <v>4.0935598994698369E-2</v>
      </c>
      <c r="AC8" s="305" t="s">
        <v>66</v>
      </c>
      <c r="AD8" s="407">
        <f>AL47/AV47</f>
        <v>4.6677702227421208E-2</v>
      </c>
    </row>
    <row r="9" spans="1:37" x14ac:dyDescent="0.25">
      <c r="B9" s="223" t="s">
        <v>68</v>
      </c>
      <c r="C9" s="223">
        <v>18.9984</v>
      </c>
      <c r="D9" s="223"/>
      <c r="E9" s="223" t="s">
        <v>42</v>
      </c>
      <c r="F9" s="223">
        <f>2*OMolarMass</f>
        <v>31.998799999999999</v>
      </c>
      <c r="G9" s="223"/>
      <c r="H9" s="305">
        <f>2*OMolarMass/MolarMassofO2</f>
        <v>1</v>
      </c>
      <c r="I9" s="305">
        <v>0</v>
      </c>
      <c r="J9" s="266">
        <f t="shared" si="0"/>
        <v>1</v>
      </c>
      <c r="L9" s="244" t="s">
        <v>38</v>
      </c>
      <c r="M9" s="377">
        <f>10%*(100%-M$5)</f>
        <v>2.000000000000002E-4</v>
      </c>
      <c r="N9" s="249" t="s">
        <v>69</v>
      </c>
      <c r="O9" s="305">
        <f>H8*M8</f>
        <v>2.1440723000709752E-4</v>
      </c>
      <c r="P9" s="190"/>
      <c r="Q9" s="223" t="s">
        <v>49</v>
      </c>
      <c r="R9" s="246">
        <f>48.19%</f>
        <v>0.4819</v>
      </c>
      <c r="S9" s="302" t="s">
        <v>69</v>
      </c>
      <c r="T9" s="302">
        <f>R9*H7+R10*H8</f>
        <v>0.25845058776203722</v>
      </c>
      <c r="U9" s="190"/>
      <c r="V9" s="448" t="s">
        <v>53</v>
      </c>
      <c r="W9" s="459">
        <v>0</v>
      </c>
      <c r="X9" s="305" t="s">
        <v>70</v>
      </c>
      <c r="Y9" s="305">
        <f>(W9*H18)+(W8*H11)</f>
        <v>2.4620496869163951E-2</v>
      </c>
      <c r="AA9" s="244" t="s">
        <v>34</v>
      </c>
      <c r="AB9" s="503">
        <f>AD12/H10</f>
        <v>8.1871197989396762E-3</v>
      </c>
      <c r="AC9" s="305" t="s">
        <v>70</v>
      </c>
      <c r="AD9" s="407">
        <f>AP47/AV47</f>
        <v>1.1714434375108706E-2</v>
      </c>
      <c r="AE9" s="48"/>
      <c r="AK9" s="47"/>
    </row>
    <row r="10" spans="1:37" x14ac:dyDescent="0.25">
      <c r="B10" s="223" t="s">
        <v>46</v>
      </c>
      <c r="C10" s="223">
        <v>26.9815</v>
      </c>
      <c r="D10" s="225"/>
      <c r="E10" s="223" t="s">
        <v>34</v>
      </c>
      <c r="F10" s="223">
        <f>(2*AlMolarMass)+(3*OMolarMass)</f>
        <v>101.96119999999999</v>
      </c>
      <c r="G10" s="226"/>
      <c r="H10" s="248">
        <f>2*AlMolarMass/Al2O3MolarMass</f>
        <v>0.52925034228706613</v>
      </c>
      <c r="I10" s="305">
        <f>3*OMolarMass/Al2O3MolarMass</f>
        <v>0.47074965771293398</v>
      </c>
      <c r="J10" s="266">
        <f t="shared" si="0"/>
        <v>1</v>
      </c>
      <c r="L10" s="244" t="s">
        <v>39</v>
      </c>
      <c r="M10" s="377">
        <f>5%*(100%-M$5)</f>
        <v>1.000000000000001E-4</v>
      </c>
      <c r="N10" s="249" t="s">
        <v>75</v>
      </c>
      <c r="O10" s="305">
        <f>H13*M9</f>
        <v>8.7284193974268912E-5</v>
      </c>
      <c r="Q10" s="223" t="s">
        <v>37</v>
      </c>
      <c r="R10" s="246">
        <f>1.55%</f>
        <v>1.55E-2</v>
      </c>
      <c r="S10" s="302" t="s">
        <v>68</v>
      </c>
      <c r="T10" s="302">
        <f>R8*I6+R9*I7+R11*I11</f>
        <v>0.53651597355127634</v>
      </c>
      <c r="V10" s="244" t="s">
        <v>52</v>
      </c>
      <c r="W10" s="457">
        <f>5/99</f>
        <v>5.0505050505050504E-2</v>
      </c>
      <c r="X10" s="305" t="s">
        <v>45</v>
      </c>
      <c r="Y10" s="305">
        <f>(W10*H5)</f>
        <v>2.3607824272889856E-2</v>
      </c>
      <c r="AA10" s="426" t="s">
        <v>54</v>
      </c>
      <c r="AB10" s="501">
        <f>AD9/H11</f>
        <v>1.9224245648558447E-2</v>
      </c>
      <c r="AC10" s="305" t="s">
        <v>47</v>
      </c>
      <c r="AD10" s="407">
        <f>AK47/AV47</f>
        <v>2.4635169487108607E-5</v>
      </c>
    </row>
    <row r="11" spans="1:37" x14ac:dyDescent="0.25">
      <c r="B11" s="223" t="s">
        <v>70</v>
      </c>
      <c r="C11" s="223">
        <v>88.905900000000003</v>
      </c>
      <c r="D11" s="223"/>
      <c r="E11" s="223" t="s">
        <v>54</v>
      </c>
      <c r="F11" s="223">
        <f>YMolarMass+(3*FMolarMass)</f>
        <v>145.90109999999999</v>
      </c>
      <c r="G11" s="223"/>
      <c r="H11" s="305" cm="1">
        <f t="array" ref="H11">YMolarMass/YF3MolarMass</f>
        <v>0.60935729751180778</v>
      </c>
      <c r="I11" s="305">
        <f>3*FMolarMass/YF3MolarMass</f>
        <v>0.39064270248819238</v>
      </c>
      <c r="J11" s="266">
        <f t="shared" si="0"/>
        <v>1.0000000000000002</v>
      </c>
      <c r="K11" s="281"/>
      <c r="L11" s="244" t="s">
        <v>41</v>
      </c>
      <c r="M11" s="377">
        <f>3%*(100%-M$5)</f>
        <v>6.0000000000000049E-5</v>
      </c>
      <c r="N11" s="249" t="s">
        <v>73</v>
      </c>
      <c r="O11" s="305">
        <f>M11*H16</f>
        <v>4.4511413580127435E-5</v>
      </c>
      <c r="Q11" s="425" t="s">
        <v>54</v>
      </c>
      <c r="R11" s="342">
        <f>IF(R4="YF3", 100%-SUM(R8:R10,R12), 0%)</f>
        <v>2.0700000000000052E-2</v>
      </c>
      <c r="S11" s="302" t="s">
        <v>66</v>
      </c>
      <c r="T11" s="302">
        <f>R10*I8+R12*I18</f>
        <v>4.4222931162999704E-3</v>
      </c>
      <c r="V11" s="244" t="s">
        <v>34</v>
      </c>
      <c r="W11" s="457">
        <f>1/99</f>
        <v>1.0101010101010102E-2</v>
      </c>
      <c r="X11" s="305" t="s">
        <v>46</v>
      </c>
      <c r="Y11" s="305">
        <f>(W11*H10)</f>
        <v>5.3459630534047091E-3</v>
      </c>
      <c r="AA11" s="448" t="s">
        <v>53</v>
      </c>
      <c r="AB11" s="469">
        <f>0</f>
        <v>0</v>
      </c>
      <c r="AC11" s="305" t="s">
        <v>45</v>
      </c>
      <c r="AD11" s="410">
        <f>AI47/AV47</f>
        <v>1.913472846593205E-2</v>
      </c>
    </row>
    <row r="12" spans="1:37" x14ac:dyDescent="0.25">
      <c r="B12" s="223" t="s">
        <v>72</v>
      </c>
      <c r="C12" s="223">
        <v>91.224000000000004</v>
      </c>
      <c r="D12" s="223"/>
      <c r="E12" s="223" t="s">
        <v>36</v>
      </c>
      <c r="F12" s="223">
        <v>159.68819999999999</v>
      </c>
      <c r="G12" s="223"/>
      <c r="H12" s="305">
        <v>0.69942550545375304</v>
      </c>
      <c r="I12" s="305">
        <v>0.30057449454624702</v>
      </c>
      <c r="J12" s="266">
        <f t="shared" si="0"/>
        <v>1</v>
      </c>
      <c r="K12" s="281"/>
      <c r="L12" s="244" t="s">
        <v>43</v>
      </c>
      <c r="M12" s="377">
        <f>1.5%*(100%-M$5)</f>
        <v>3.0000000000000024E-5</v>
      </c>
      <c r="N12" s="249" t="s">
        <v>72</v>
      </c>
      <c r="O12" s="305">
        <f>M12*H15</f>
        <v>2.2209526159119916E-5</v>
      </c>
      <c r="Q12" s="425" t="s">
        <v>53</v>
      </c>
      <c r="R12" s="342">
        <f>IF(R4="Y2O3", 100%-SUM(R8:R11), 0%)</f>
        <v>0</v>
      </c>
      <c r="S12" s="302" t="s">
        <v>70</v>
      </c>
      <c r="T12" s="305">
        <f>(R11*H11)+(R12*H18)</f>
        <v>1.2613696058494453E-2</v>
      </c>
      <c r="V12" s="257" t="s">
        <v>152</v>
      </c>
      <c r="W12" s="413">
        <f>SUM(W5:W11)</f>
        <v>1</v>
      </c>
      <c r="X12" s="258" t="s">
        <v>152</v>
      </c>
      <c r="Y12" s="259">
        <f>SUM(Y5:Y11)</f>
        <v>1</v>
      </c>
      <c r="AA12" s="244" t="s">
        <v>43</v>
      </c>
      <c r="AB12" s="504">
        <f>AD14/H15</f>
        <v>2.4582919217981843E-4</v>
      </c>
      <c r="AC12" s="305" t="s">
        <v>46</v>
      </c>
      <c r="AD12" s="407">
        <f>AJ47/AV47</f>
        <v>4.3330359559340401E-3</v>
      </c>
    </row>
    <row r="13" spans="1:37" x14ac:dyDescent="0.25">
      <c r="B13" s="223" t="s">
        <v>47</v>
      </c>
      <c r="C13" s="223">
        <v>10.811</v>
      </c>
      <c r="D13" s="223"/>
      <c r="E13" s="223" t="s">
        <v>38</v>
      </c>
      <c r="F13" s="223">
        <v>141.94460000000001</v>
      </c>
      <c r="G13" s="223"/>
      <c r="H13" s="305">
        <v>0.43642096987134416</v>
      </c>
      <c r="I13" s="305">
        <v>0.56357903012865584</v>
      </c>
      <c r="J13" s="266">
        <f t="shared" si="0"/>
        <v>1</v>
      </c>
      <c r="K13" s="281"/>
      <c r="L13" s="224" t="s">
        <v>35</v>
      </c>
      <c r="M13" s="377">
        <f>0.5%*(100%-M$5)</f>
        <v>1.0000000000000009E-5</v>
      </c>
      <c r="N13" s="249" t="s">
        <v>47</v>
      </c>
      <c r="O13" s="305">
        <f>M13*H17</f>
        <v>3.1057078261768884E-6</v>
      </c>
      <c r="Q13" s="257" t="s">
        <v>152</v>
      </c>
      <c r="R13" s="413">
        <f>SUM(R8:R12)</f>
        <v>1</v>
      </c>
      <c r="S13" s="260" t="s">
        <v>152</v>
      </c>
      <c r="T13" s="259">
        <f>SUM(T8:T12)</f>
        <v>1</v>
      </c>
      <c r="AA13" s="244" t="s">
        <v>36</v>
      </c>
      <c r="AB13" s="504">
        <f>AD13/H12</f>
        <v>2.4582919217981838E-3</v>
      </c>
      <c r="AC13" s="305" t="s">
        <v>71</v>
      </c>
      <c r="AD13" s="407">
        <f>AQ47/AV47</f>
        <v>1.7193920699565728E-3</v>
      </c>
    </row>
    <row r="14" spans="1:37" x14ac:dyDescent="0.25">
      <c r="B14" s="223" t="s">
        <v>73</v>
      </c>
      <c r="C14" s="223">
        <v>22.989699999999999</v>
      </c>
      <c r="D14" s="223"/>
      <c r="E14" s="223" t="s">
        <v>39</v>
      </c>
      <c r="F14" s="223">
        <v>79.874799999999993</v>
      </c>
      <c r="G14" s="223"/>
      <c r="H14" s="305">
        <v>0.59934289771091009</v>
      </c>
      <c r="I14" s="305">
        <v>0.40065710228908996</v>
      </c>
      <c r="J14" s="266">
        <f t="shared" si="0"/>
        <v>1</v>
      </c>
      <c r="K14" s="281"/>
      <c r="L14" s="261" t="s">
        <v>152</v>
      </c>
      <c r="M14" s="414">
        <f>SUM(M5:M13)</f>
        <v>0.99999999999999978</v>
      </c>
      <c r="N14" s="249" t="s">
        <v>74</v>
      </c>
      <c r="O14" s="250">
        <f>M10*H14</f>
        <v>5.9934289771091066E-5</v>
      </c>
      <c r="Q14" s="425" t="s">
        <v>160</v>
      </c>
      <c r="R14" s="433">
        <f>R11+R12</f>
        <v>2.0700000000000052E-2</v>
      </c>
      <c r="U14" s="198"/>
      <c r="V14" s="424" t="s">
        <v>161</v>
      </c>
      <c r="W14" s="198"/>
      <c r="X14" s="198"/>
      <c r="Y14" s="198"/>
      <c r="AA14" s="244" t="s">
        <v>38</v>
      </c>
      <c r="AB14" s="504">
        <f>AD16/H13</f>
        <v>1.6388612811987899E-3</v>
      </c>
      <c r="AC14" s="305" t="s">
        <v>72</v>
      </c>
      <c r="AD14" s="407">
        <f>AR47/AV47</f>
        <v>1.8199166247976633E-4</v>
      </c>
    </row>
    <row r="15" spans="1:37" x14ac:dyDescent="0.25">
      <c r="B15" s="223" t="s">
        <v>75</v>
      </c>
      <c r="C15" s="223">
        <v>30.973800000000001</v>
      </c>
      <c r="D15" s="223"/>
      <c r="E15" s="223" t="s">
        <v>43</v>
      </c>
      <c r="F15" s="223">
        <v>123.22280000000001</v>
      </c>
      <c r="G15" s="223"/>
      <c r="H15" s="305">
        <v>0.74031753863732996</v>
      </c>
      <c r="I15" s="305">
        <v>0.25968246136266987</v>
      </c>
      <c r="J15" s="266">
        <f t="shared" si="0"/>
        <v>0.99999999999999978</v>
      </c>
      <c r="K15" s="281"/>
      <c r="N15" s="258" t="s">
        <v>152</v>
      </c>
      <c r="O15" s="259">
        <f>SUM(O5:O14)</f>
        <v>1</v>
      </c>
      <c r="R15" s="477"/>
      <c r="S15" s="768"/>
      <c r="T15" s="768"/>
      <c r="U15" s="198"/>
      <c r="V15" s="617" t="s">
        <v>153</v>
      </c>
      <c r="W15" s="617" t="s">
        <v>154</v>
      </c>
      <c r="X15" s="617" t="s">
        <v>155</v>
      </c>
      <c r="Y15" s="617" t="s">
        <v>156</v>
      </c>
      <c r="AA15" s="244" t="s">
        <v>39</v>
      </c>
      <c r="AB15" s="504">
        <f>AD15/H14</f>
        <v>8.1943064059939483E-4</v>
      </c>
      <c r="AC15" s="305" t="s">
        <v>74</v>
      </c>
      <c r="AD15" s="411">
        <f>AT47/AV47</f>
        <v>4.9111993460994861E-4</v>
      </c>
    </row>
    <row r="16" spans="1:37" x14ac:dyDescent="0.25">
      <c r="B16" s="223" t="s">
        <v>74</v>
      </c>
      <c r="C16" s="223">
        <v>47.875999999999998</v>
      </c>
      <c r="D16" s="223"/>
      <c r="E16" s="223" t="s">
        <v>41</v>
      </c>
      <c r="F16" s="223">
        <v>61.9788</v>
      </c>
      <c r="G16" s="223"/>
      <c r="H16" s="305">
        <v>0.74185689300212332</v>
      </c>
      <c r="I16" s="305">
        <v>0.25814310699787668</v>
      </c>
      <c r="J16" s="266">
        <f t="shared" si="0"/>
        <v>1</v>
      </c>
      <c r="K16" s="281"/>
      <c r="S16" s="461"/>
      <c r="T16" s="461"/>
      <c r="U16" s="198"/>
      <c r="V16" s="244" t="s">
        <v>49</v>
      </c>
      <c r="W16" s="474">
        <f>AB5/(AB19-AB18)</f>
        <v>0.45388864365414849</v>
      </c>
      <c r="X16" s="305" t="s">
        <v>69</v>
      </c>
      <c r="Y16" s="409">
        <f>AN47/(AV47-AE23)</f>
        <v>0.24520947958142877</v>
      </c>
      <c r="AA16" s="400" t="s">
        <v>41</v>
      </c>
      <c r="AB16" s="504">
        <f>AD17/H16</f>
        <v>4.9165838435963685E-4</v>
      </c>
      <c r="AC16" s="305" t="s">
        <v>75</v>
      </c>
      <c r="AD16" s="409">
        <f>AU47/AV47</f>
        <v>7.1523342982536954E-4</v>
      </c>
    </row>
    <row r="17" spans="1:62" x14ac:dyDescent="0.25">
      <c r="B17" s="223" t="s">
        <v>71</v>
      </c>
      <c r="C17" s="223">
        <v>55.844999999999999</v>
      </c>
      <c r="D17" s="223"/>
      <c r="E17" s="223" t="s">
        <v>35</v>
      </c>
      <c r="F17" s="223">
        <v>69.620199999999997</v>
      </c>
      <c r="G17" s="223"/>
      <c r="H17" s="305">
        <v>0.31057078261768856</v>
      </c>
      <c r="I17" s="305">
        <v>0.68942921738231144</v>
      </c>
      <c r="J17" s="266">
        <f t="shared" si="0"/>
        <v>1</v>
      </c>
      <c r="K17" s="281"/>
      <c r="L17" s="15"/>
      <c r="Q17" s="198"/>
      <c r="R17" s="462"/>
      <c r="S17" s="461"/>
      <c r="T17" s="461"/>
      <c r="U17" s="198"/>
      <c r="V17" s="244" t="s">
        <v>50</v>
      </c>
      <c r="W17" s="474">
        <f>AB6/(AB19-AB18)</f>
        <v>0.45388864365414833</v>
      </c>
      <c r="X17" s="305" t="s">
        <v>68</v>
      </c>
      <c r="Y17" s="409">
        <f>AO47/(AV47-AE23)</f>
        <v>0.50532995960567273</v>
      </c>
      <c r="AA17" s="244" t="s">
        <v>35</v>
      </c>
      <c r="AB17" s="504">
        <f>AD10/H17</f>
        <v>7.9322237846933606E-5</v>
      </c>
      <c r="AC17" s="305" t="s">
        <v>73</v>
      </c>
      <c r="AD17" s="409">
        <f>AS47/AV47</f>
        <v>3.6474016143948397E-4</v>
      </c>
    </row>
    <row r="18" spans="1:62" x14ac:dyDescent="0.25">
      <c r="E18" s="223" t="s">
        <v>53</v>
      </c>
      <c r="F18" s="223">
        <f>(2*YMolarMass)+3*OMolarMass</f>
        <v>225.81</v>
      </c>
      <c r="G18" s="223"/>
      <c r="H18" s="305">
        <f>(2*YMolarMass)/F18</f>
        <v>0.78743988308755153</v>
      </c>
      <c r="I18" s="305">
        <f>(3*OMolarMass)/F18</f>
        <v>0.2125601169124485</v>
      </c>
      <c r="J18" s="266">
        <f t="shared" si="0"/>
        <v>1</v>
      </c>
      <c r="L18" s="190"/>
      <c r="M18" s="190"/>
      <c r="N18" s="299"/>
      <c r="O18" s="299"/>
      <c r="Q18" s="198"/>
      <c r="T18" s="463"/>
      <c r="U18" s="198"/>
      <c r="V18" s="244" t="s">
        <v>37</v>
      </c>
      <c r="W18" s="471">
        <f>AB7/(AB19-AB18)</f>
        <v>1.7092174186385759E-2</v>
      </c>
      <c r="X18" s="305" t="s">
        <v>67</v>
      </c>
      <c r="Y18" s="409">
        <f>AM47/(AV47-AE23)</f>
        <v>0.17706973930149808</v>
      </c>
      <c r="AA18" s="453" t="s">
        <v>42</v>
      </c>
      <c r="AB18" s="505">
        <f>AE22/H9</f>
        <v>1.3978076372552058E-2</v>
      </c>
      <c r="AC18" s="258" t="s">
        <v>152</v>
      </c>
      <c r="AD18" s="455">
        <f>SUM(AD5:AD17)</f>
        <v>1</v>
      </c>
    </row>
    <row r="19" spans="1:62" x14ac:dyDescent="0.25">
      <c r="C19" s="15"/>
      <c r="L19" s="423" t="s">
        <v>162</v>
      </c>
      <c r="O19" s="436"/>
      <c r="P19" s="376"/>
      <c r="Q19" s="514" t="s">
        <v>163</v>
      </c>
      <c r="T19" s="198"/>
      <c r="U19" s="460"/>
      <c r="V19" s="244" t="s">
        <v>52</v>
      </c>
      <c r="W19" s="473">
        <f>AB8/(AB19-AB18)</f>
        <v>4.1515911577403433E-2</v>
      </c>
      <c r="X19" s="305" t="s">
        <v>66</v>
      </c>
      <c r="Y19" s="409">
        <f>(AL47-AE23)/(AV47-AE23)</f>
        <v>3.316318336469784E-2</v>
      </c>
      <c r="AA19" s="257" t="s">
        <v>152</v>
      </c>
      <c r="AB19" s="413">
        <f>SUM(AB5:AB18)</f>
        <v>1</v>
      </c>
    </row>
    <row r="20" spans="1:62" x14ac:dyDescent="0.25">
      <c r="L20" s="617" t="s">
        <v>153</v>
      </c>
      <c r="M20" s="617" t="s">
        <v>156</v>
      </c>
      <c r="N20" s="401" t="s">
        <v>164</v>
      </c>
      <c r="O20" s="198"/>
      <c r="P20" s="199"/>
      <c r="Q20" s="617" t="s">
        <v>153</v>
      </c>
      <c r="R20" s="617" t="s">
        <v>165</v>
      </c>
      <c r="U20" s="436"/>
      <c r="V20" s="244" t="s">
        <v>34</v>
      </c>
      <c r="W20" s="472">
        <f>AB9/(AB19-AB18)</f>
        <v>8.3031823154806894E-3</v>
      </c>
      <c r="X20" s="305" t="s">
        <v>70</v>
      </c>
      <c r="Y20" s="409">
        <f>AP47/(AV47-AE23)</f>
        <v>1.1880500924373778E-2</v>
      </c>
    </row>
    <row r="21" spans="1:62" x14ac:dyDescent="0.25">
      <c r="B21" s="15"/>
      <c r="G21" s="15"/>
      <c r="L21" s="302" t="s">
        <v>45</v>
      </c>
      <c r="M21" s="302">
        <f>1-SUM(M22:M23)</f>
        <v>0.99999878600000003</v>
      </c>
      <c r="N21" s="402">
        <f>(M21*100)%</f>
        <v>0.99999878600000003</v>
      </c>
      <c r="O21" s="768"/>
      <c r="Q21" s="515" t="s">
        <v>42</v>
      </c>
      <c r="R21" s="522">
        <f>(AB18*AV47)+AL46</f>
        <v>1.1393352255310267</v>
      </c>
      <c r="U21" s="198"/>
      <c r="V21" s="426" t="s">
        <v>54</v>
      </c>
      <c r="W21" s="471">
        <f>AB10/(AB19-AB18)</f>
        <v>1.9496773031004139E-2</v>
      </c>
      <c r="X21" s="305" t="s">
        <v>47</v>
      </c>
      <c r="Y21" s="409">
        <f>AK47/(AV47-AE23)</f>
        <v>2.498440338575737E-5</v>
      </c>
      <c r="AA21" s="506" t="s">
        <v>166</v>
      </c>
      <c r="AB21" s="507"/>
      <c r="AC21" s="507"/>
      <c r="AD21" s="507"/>
      <c r="AE21" s="508">
        <f>(AB7*I8)+(AB8*I5)+(AB9*I10)+(AB17*I17)+(AB16*I16)+(AB15*I14)+(AB14*I13)+(AB13*I12)+(AB12*I15)</f>
        <v>3.2699625854869151E-2</v>
      </c>
      <c r="AF21" s="199"/>
    </row>
    <row r="22" spans="1:62" x14ac:dyDescent="0.25">
      <c r="B22" s="190"/>
      <c r="C22" s="190"/>
      <c r="D22" s="299"/>
      <c r="E22" s="299"/>
      <c r="G22" s="190"/>
      <c r="H22" s="190"/>
      <c r="I22" s="299"/>
      <c r="J22" s="299"/>
      <c r="L22" s="305" t="s">
        <v>46</v>
      </c>
      <c r="M22" s="476">
        <v>9.9999999999999995E-7</v>
      </c>
      <c r="N22" s="403">
        <f>(M22*100)%</f>
        <v>9.9999999999999995E-7</v>
      </c>
      <c r="Q22" s="516"/>
      <c r="R22" s="523"/>
      <c r="U22" s="198"/>
      <c r="V22" s="448" t="s">
        <v>53</v>
      </c>
      <c r="W22" s="469">
        <f>0</f>
        <v>0</v>
      </c>
      <c r="X22" s="305" t="s">
        <v>45</v>
      </c>
      <c r="Y22" s="409">
        <f>AI47/(AV47-AE23)</f>
        <v>1.9405986831953839E-2</v>
      </c>
      <c r="AA22" s="509" t="s">
        <v>167</v>
      </c>
      <c r="AB22" s="198"/>
      <c r="AC22" s="198"/>
      <c r="AD22" s="198"/>
      <c r="AE22" s="517">
        <f>AD8-AE21</f>
        <v>1.3978076372552058E-2</v>
      </c>
    </row>
    <row r="23" spans="1:62" x14ac:dyDescent="0.25">
      <c r="C23" s="300"/>
      <c r="D23" s="301"/>
      <c r="E23" s="301"/>
      <c r="H23" s="300"/>
      <c r="I23" s="301"/>
      <c r="J23" s="301"/>
      <c r="L23" s="305" t="s">
        <v>168</v>
      </c>
      <c r="M23" s="476">
        <v>2.1400000000000001E-7</v>
      </c>
      <c r="N23" s="403">
        <f>(M23*100)%</f>
        <v>2.1400000000000001E-7</v>
      </c>
      <c r="O23" s="461"/>
      <c r="Q23" s="767"/>
      <c r="R23" s="532"/>
      <c r="U23" s="198"/>
      <c r="V23" s="244" t="s">
        <v>43</v>
      </c>
      <c r="W23" s="470">
        <f>AB12/(AB19-AB18)</f>
        <v>2.4931412404649627E-4</v>
      </c>
      <c r="X23" s="305" t="s">
        <v>46</v>
      </c>
      <c r="Y23" s="409">
        <f>AJ47/(AV47-AE23)</f>
        <v>4.3944620825400686E-3</v>
      </c>
      <c r="AA23" s="511" t="s">
        <v>169</v>
      </c>
      <c r="AB23" s="11"/>
      <c r="AC23" s="11"/>
      <c r="AD23" s="11"/>
      <c r="AE23" s="519">
        <f>AE22*AV47</f>
        <v>3.6750424681513869E-3</v>
      </c>
      <c r="AK23" s="190"/>
      <c r="AL23" s="190"/>
    </row>
    <row r="24" spans="1:62" x14ac:dyDescent="0.25">
      <c r="C24" s="303"/>
      <c r="D24" s="301"/>
      <c r="E24" s="301"/>
      <c r="H24" s="303"/>
      <c r="I24" s="301"/>
      <c r="J24" s="301"/>
      <c r="L24" s="260" t="s">
        <v>152</v>
      </c>
      <c r="M24" s="259">
        <f>SUM(M21:M23)</f>
        <v>1</v>
      </c>
      <c r="N24" s="413">
        <f>SUM(N21:N23)</f>
        <v>1</v>
      </c>
      <c r="O24" s="463"/>
      <c r="Q24" s="461"/>
      <c r="R24" s="462"/>
      <c r="U24" s="198"/>
      <c r="V24" s="244" t="s">
        <v>36</v>
      </c>
      <c r="W24" s="470">
        <f>AB13/(AB19-AB18)</f>
        <v>2.4931412404649625E-3</v>
      </c>
      <c r="X24" s="305" t="s">
        <v>71</v>
      </c>
      <c r="Y24" s="409">
        <f>AQ47/(AV47-AE23)</f>
        <v>1.7437665722798031E-3</v>
      </c>
      <c r="AA24" s="509" t="s">
        <v>170</v>
      </c>
      <c r="AB24" s="518"/>
      <c r="AC24" s="198"/>
      <c r="AD24" s="198"/>
      <c r="AE24" s="510">
        <f>AB6*I6</f>
        <v>0.27294950856624267</v>
      </c>
      <c r="AK24" s="762"/>
    </row>
    <row r="25" spans="1:62" x14ac:dyDescent="0.25">
      <c r="D25" s="301"/>
      <c r="E25" s="304"/>
      <c r="I25" s="301"/>
      <c r="J25" s="304"/>
      <c r="R25" s="530"/>
      <c r="U25" s="198"/>
      <c r="V25" s="244" t="s">
        <v>38</v>
      </c>
      <c r="W25" s="470">
        <f>AB14/(AB19-AB18)</f>
        <v>1.6620941603099756E-3</v>
      </c>
      <c r="X25" s="305" t="s">
        <v>72</v>
      </c>
      <c r="Y25" s="409">
        <f>AR47/(AV47-AE23)</f>
        <v>1.8457161866162404E-4</v>
      </c>
      <c r="AA25" s="509" t="s">
        <v>171</v>
      </c>
      <c r="AB25" s="461"/>
      <c r="AC25" s="198"/>
      <c r="AD25" s="198"/>
      <c r="AE25" s="510">
        <f>AB10*I11</f>
        <v>7.5098112734497445E-3</v>
      </c>
      <c r="AK25" s="762"/>
    </row>
    <row r="26" spans="1:62" x14ac:dyDescent="0.25">
      <c r="Q26" s="198"/>
      <c r="R26" s="198"/>
      <c r="S26" s="198"/>
      <c r="T26" s="198"/>
      <c r="U26" s="198"/>
      <c r="V26" s="244" t="s">
        <v>39</v>
      </c>
      <c r="W26" s="470">
        <f>AB15/(AB19-AB18)</f>
        <v>8.310470801549877E-4</v>
      </c>
      <c r="X26" s="305" t="s">
        <v>74</v>
      </c>
      <c r="Y26" s="409">
        <f>AT47/(AV47-AE23)</f>
        <v>4.9808216515428126E-4</v>
      </c>
      <c r="AA26" s="511" t="s">
        <v>172</v>
      </c>
      <c r="AB26" s="520"/>
      <c r="AC26" s="512"/>
      <c r="AD26" s="521"/>
      <c r="AE26" s="513">
        <f>AD6-AE24-AE25</f>
        <v>0.21780709899727368</v>
      </c>
      <c r="AK26" s="762"/>
    </row>
    <row r="27" spans="1:62" x14ac:dyDescent="0.25">
      <c r="I27" s="301"/>
      <c r="J27" s="304"/>
      <c r="Q27" s="198"/>
      <c r="R27" s="198"/>
      <c r="S27" s="198"/>
      <c r="T27" s="198"/>
      <c r="U27" s="198"/>
      <c r="V27" s="400" t="s">
        <v>41</v>
      </c>
      <c r="W27" s="470">
        <f>AB16/(AB19-AB18)</f>
        <v>4.9862824809299253E-4</v>
      </c>
      <c r="X27" s="305" t="s">
        <v>75</v>
      </c>
      <c r="Y27" s="409">
        <f>AU47/(AV47-AE23)</f>
        <v>7.2537274545997679E-4</v>
      </c>
      <c r="AA27" s="509" t="s">
        <v>173</v>
      </c>
      <c r="AB27" s="198"/>
      <c r="AC27" s="198"/>
      <c r="AD27" s="198"/>
      <c r="AE27" s="510">
        <f>AB5*H7</f>
        <v>0.22973705453124302</v>
      </c>
      <c r="AK27" s="762"/>
    </row>
    <row r="28" spans="1:62" x14ac:dyDescent="0.25">
      <c r="Q28" s="198"/>
      <c r="R28" s="198"/>
      <c r="S28" s="198"/>
      <c r="T28" s="198"/>
      <c r="U28" s="198"/>
      <c r="V28" s="244" t="s">
        <v>35</v>
      </c>
      <c r="W28" s="470">
        <f>AB17/(AB19-AB18)</f>
        <v>8.0446728359869822E-5</v>
      </c>
      <c r="X28" s="305" t="s">
        <v>73</v>
      </c>
      <c r="Y28" s="409">
        <f>AS47/(AV47-AE23)</f>
        <v>3.6991080289335937E-4</v>
      </c>
      <c r="AA28" s="511" t="s">
        <v>174</v>
      </c>
      <c r="AB28" s="512"/>
      <c r="AC28" s="512"/>
      <c r="AD28" s="512"/>
      <c r="AE28" s="513">
        <f>AD5-AE27</f>
        <v>1.2044868217322813E-2</v>
      </c>
      <c r="AK28" s="762"/>
    </row>
    <row r="29" spans="1:62" x14ac:dyDescent="0.25">
      <c r="E29" s="208"/>
      <c r="I29" s="192"/>
      <c r="J29" s="199"/>
      <c r="Q29" s="18"/>
      <c r="R29" s="18"/>
      <c r="S29" s="18"/>
      <c r="T29" s="18"/>
      <c r="U29" s="18"/>
      <c r="V29" s="257" t="s">
        <v>152</v>
      </c>
      <c r="W29" s="413">
        <f>SUM(W16:W28)</f>
        <v>1</v>
      </c>
      <c r="X29" s="258" t="s">
        <v>152</v>
      </c>
      <c r="Y29" s="455">
        <f>SUM(Y16:Y28)</f>
        <v>0.99999999999999978</v>
      </c>
      <c r="AK29" s="762"/>
    </row>
    <row r="30" spans="1:62" x14ac:dyDescent="0.25">
      <c r="I30" s="454"/>
      <c r="N30" s="301"/>
      <c r="O30" s="375"/>
      <c r="AK30" s="762"/>
    </row>
    <row r="31" spans="1:62" x14ac:dyDescent="0.25">
      <c r="A31" s="190"/>
      <c r="B31" s="358" t="s">
        <v>175</v>
      </c>
      <c r="C31" s="218"/>
      <c r="D31" s="763"/>
      <c r="E31" s="763"/>
      <c r="F31" s="763"/>
      <c r="G31" s="763"/>
      <c r="H31" s="763" t="s">
        <v>176</v>
      </c>
      <c r="I31" s="763"/>
      <c r="J31" s="764"/>
      <c r="K31" s="765"/>
      <c r="L31" s="765"/>
      <c r="M31" s="765"/>
      <c r="N31" s="765"/>
      <c r="O31" s="765"/>
      <c r="P31" s="764"/>
      <c r="Q31" s="380"/>
      <c r="R31" s="793" t="s">
        <v>156</v>
      </c>
      <c r="S31" s="793"/>
      <c r="T31" s="793"/>
      <c r="U31" s="793"/>
      <c r="V31" s="793"/>
      <c r="W31" s="793"/>
      <c r="X31" s="793"/>
      <c r="Y31" s="793"/>
      <c r="Z31" s="793"/>
      <c r="AA31" s="793"/>
      <c r="AB31" s="793"/>
      <c r="AC31" s="793"/>
      <c r="AD31" s="794"/>
      <c r="AE31" s="796" t="s">
        <v>177</v>
      </c>
      <c r="AG31" s="358" t="s">
        <v>178</v>
      </c>
      <c r="AH31" s="218"/>
      <c r="AI31" s="763"/>
      <c r="AJ31" s="763"/>
      <c r="AK31" s="763"/>
      <c r="AL31" s="763"/>
      <c r="AM31" s="763" t="s">
        <v>176</v>
      </c>
      <c r="AN31" s="763"/>
      <c r="AO31" s="764"/>
      <c r="AP31" s="765"/>
      <c r="AQ31" s="765"/>
      <c r="AR31" s="765"/>
      <c r="AS31" s="765"/>
      <c r="AT31" s="765"/>
      <c r="AU31" s="764"/>
      <c r="AV31" s="380"/>
      <c r="AW31" s="793" t="s">
        <v>156</v>
      </c>
      <c r="AX31" s="793"/>
      <c r="AY31" s="793"/>
      <c r="AZ31" s="793"/>
      <c r="BA31" s="793"/>
      <c r="BB31" s="793"/>
      <c r="BC31" s="793"/>
      <c r="BD31" s="793"/>
      <c r="BE31" s="793"/>
      <c r="BF31" s="793"/>
      <c r="BG31" s="793"/>
      <c r="BH31" s="793"/>
      <c r="BI31" s="794"/>
      <c r="BJ31" s="796" t="s">
        <v>177</v>
      </c>
    </row>
    <row r="32" spans="1:62" x14ac:dyDescent="0.25">
      <c r="A32" s="190"/>
      <c r="B32" s="358" t="s">
        <v>179</v>
      </c>
      <c r="C32" s="218"/>
      <c r="D32" s="219" t="s">
        <v>45</v>
      </c>
      <c r="E32" s="219" t="s">
        <v>46</v>
      </c>
      <c r="F32" s="219" t="s">
        <v>47</v>
      </c>
      <c r="G32" s="219" t="s">
        <v>66</v>
      </c>
      <c r="H32" s="219" t="s">
        <v>67</v>
      </c>
      <c r="I32" s="219" t="s">
        <v>69</v>
      </c>
      <c r="J32" s="219" t="s">
        <v>68</v>
      </c>
      <c r="K32" s="219" t="s">
        <v>70</v>
      </c>
      <c r="L32" s="219" t="s">
        <v>71</v>
      </c>
      <c r="M32" s="219" t="s">
        <v>72</v>
      </c>
      <c r="N32" s="219" t="s">
        <v>73</v>
      </c>
      <c r="O32" s="219" t="s">
        <v>74</v>
      </c>
      <c r="P32" s="219" t="s">
        <v>75</v>
      </c>
      <c r="Q32" s="379" t="s">
        <v>177</v>
      </c>
      <c r="R32" s="220" t="s">
        <v>45</v>
      </c>
      <c r="S32" s="219" t="s">
        <v>46</v>
      </c>
      <c r="T32" s="219" t="s">
        <v>47</v>
      </c>
      <c r="U32" s="219" t="s">
        <v>66</v>
      </c>
      <c r="V32" s="219" t="s">
        <v>67</v>
      </c>
      <c r="W32" s="219" t="s">
        <v>69</v>
      </c>
      <c r="X32" s="219" t="s">
        <v>68</v>
      </c>
      <c r="Y32" s="219" t="s">
        <v>70</v>
      </c>
      <c r="Z32" s="219" t="s">
        <v>71</v>
      </c>
      <c r="AA32" s="219" t="s">
        <v>72</v>
      </c>
      <c r="AB32" s="219" t="s">
        <v>73</v>
      </c>
      <c r="AC32" s="219" t="s">
        <v>74</v>
      </c>
      <c r="AD32" s="219" t="s">
        <v>75</v>
      </c>
      <c r="AE32" s="797"/>
      <c r="AG32" s="358" t="s">
        <v>179</v>
      </c>
      <c r="AH32" s="218"/>
      <c r="AI32" s="219" t="s">
        <v>45</v>
      </c>
      <c r="AJ32" s="219" t="s">
        <v>46</v>
      </c>
      <c r="AK32" s="219" t="s">
        <v>47</v>
      </c>
      <c r="AL32" s="219" t="s">
        <v>66</v>
      </c>
      <c r="AM32" s="219" t="s">
        <v>67</v>
      </c>
      <c r="AN32" s="219" t="s">
        <v>69</v>
      </c>
      <c r="AO32" s="219" t="s">
        <v>68</v>
      </c>
      <c r="AP32" s="219" t="s">
        <v>70</v>
      </c>
      <c r="AQ32" s="219" t="s">
        <v>71</v>
      </c>
      <c r="AR32" s="219" t="s">
        <v>72</v>
      </c>
      <c r="AS32" s="219" t="s">
        <v>73</v>
      </c>
      <c r="AT32" s="219" t="s">
        <v>74</v>
      </c>
      <c r="AU32" s="219" t="s">
        <v>75</v>
      </c>
      <c r="AV32" s="379" t="s">
        <v>177</v>
      </c>
      <c r="AW32" s="220" t="s">
        <v>45</v>
      </c>
      <c r="AX32" s="219" t="s">
        <v>46</v>
      </c>
      <c r="AY32" s="219" t="s">
        <v>47</v>
      </c>
      <c r="AZ32" s="219" t="s">
        <v>66</v>
      </c>
      <c r="BA32" s="219" t="s">
        <v>67</v>
      </c>
      <c r="BB32" s="219" t="s">
        <v>69</v>
      </c>
      <c r="BC32" s="219" t="s">
        <v>68</v>
      </c>
      <c r="BD32" s="219" t="s">
        <v>70</v>
      </c>
      <c r="BE32" s="219" t="s">
        <v>71</v>
      </c>
      <c r="BF32" s="219" t="s">
        <v>72</v>
      </c>
      <c r="BG32" s="219" t="s">
        <v>73</v>
      </c>
      <c r="BH32" s="219" t="s">
        <v>74</v>
      </c>
      <c r="BI32" s="219" t="s">
        <v>75</v>
      </c>
      <c r="BJ32" s="797"/>
    </row>
    <row r="33" spans="1:62" x14ac:dyDescent="0.25">
      <c r="A33" s="354"/>
      <c r="B33" s="218" t="s">
        <v>180</v>
      </c>
      <c r="C33" s="218"/>
      <c r="D33" s="280">
        <f t="shared" ref="D33:Q33" si="1">AI33</f>
        <v>1.0050295883689819</v>
      </c>
      <c r="E33" s="280">
        <f t="shared" si="1"/>
        <v>1.1402190691813473E-3</v>
      </c>
      <c r="F33" s="280">
        <f t="shared" si="1"/>
        <v>6.6909494501410998E-6</v>
      </c>
      <c r="G33" s="280">
        <f t="shared" si="1"/>
        <v>1.1468526442012372</v>
      </c>
      <c r="H33" s="543">
        <f t="shared" si="1"/>
        <v>0</v>
      </c>
      <c r="I33" s="280">
        <f t="shared" si="1"/>
        <v>4.6191979993437962E-4</v>
      </c>
      <c r="J33" s="543">
        <f t="shared" si="1"/>
        <v>0</v>
      </c>
      <c r="K33" s="543">
        <f t="shared" si="1"/>
        <v>0</v>
      </c>
      <c r="L33" s="280">
        <f t="shared" si="1"/>
        <v>4.5205353784595604E-4</v>
      </c>
      <c r="M33" s="280">
        <f t="shared" si="1"/>
        <v>4.7848292614565458E-5</v>
      </c>
      <c r="N33" s="280">
        <f t="shared" si="1"/>
        <v>9.5895568703761874E-5</v>
      </c>
      <c r="O33" s="280">
        <f t="shared" si="1"/>
        <v>1.2912267529110408E-4</v>
      </c>
      <c r="P33" s="280">
        <f t="shared" si="1"/>
        <v>1.8804541906862574E-4</v>
      </c>
      <c r="Q33" s="378">
        <f t="shared" si="1"/>
        <v>2.1544040278823093</v>
      </c>
      <c r="R33" s="265">
        <f>D33/Q33</f>
        <v>0.46650005076201267</v>
      </c>
      <c r="S33" s="265">
        <f>E33/Q33</f>
        <v>5.2925034228706663E-4</v>
      </c>
      <c r="T33" s="265">
        <f>F33/Q33</f>
        <v>3.1057078261768884E-6</v>
      </c>
      <c r="U33" s="265">
        <f>G33/Q33</f>
        <v>0.5323294188827461</v>
      </c>
      <c r="V33" s="288">
        <v>0</v>
      </c>
      <c r="W33" s="265">
        <f>I33/Q33</f>
        <v>2.1440723000709752E-4</v>
      </c>
      <c r="X33" s="234"/>
      <c r="Y33" s="234"/>
      <c r="Z33" s="265">
        <f>L33/Q33</f>
        <v>2.0982765163612608E-4</v>
      </c>
      <c r="AA33" s="265">
        <f>M33/Q33</f>
        <v>2.2209526159119916E-5</v>
      </c>
      <c r="AB33" s="265">
        <f>N33/Q33</f>
        <v>4.4511413580127435E-5</v>
      </c>
      <c r="AC33" s="265">
        <f>O33/Q33</f>
        <v>5.9934289771091066E-5</v>
      </c>
      <c r="AD33" s="265">
        <f>P33/Q33</f>
        <v>8.7284193974268912E-5</v>
      </c>
      <c r="AE33" s="344">
        <f t="shared" ref="AE33:AE38" si="2">SUM(R33:AD33)</f>
        <v>0.99999999999999989</v>
      </c>
      <c r="AG33" s="218" t="s">
        <v>180</v>
      </c>
      <c r="AH33" s="218"/>
      <c r="AI33" s="280">
        <f>AV33*O5</f>
        <v>1.0050295883689819</v>
      </c>
      <c r="AJ33" s="275">
        <f>O6*AV33</f>
        <v>1.1402190691813473E-3</v>
      </c>
      <c r="AK33" s="238">
        <f>AV33*O13</f>
        <v>6.6909494501410998E-6</v>
      </c>
      <c r="AL33" s="245">
        <f>O7*AV33</f>
        <v>1.1468526442012372</v>
      </c>
      <c r="AM33" s="276">
        <v>0</v>
      </c>
      <c r="AN33" s="273">
        <f>O9*AV33</f>
        <v>4.6191979993437962E-4</v>
      </c>
      <c r="AO33" s="295">
        <v>0</v>
      </c>
      <c r="AP33" s="340">
        <v>0</v>
      </c>
      <c r="AQ33" s="431">
        <f>AV33*O8</f>
        <v>4.5205353784595604E-4</v>
      </c>
      <c r="AR33" s="432">
        <f>AV33*O12</f>
        <v>4.7848292614565458E-5</v>
      </c>
      <c r="AS33" s="431">
        <f>AV33*O11</f>
        <v>9.5895568703761874E-5</v>
      </c>
      <c r="AT33" s="432">
        <f>AV33*O14</f>
        <v>1.2912267529110408E-4</v>
      </c>
      <c r="AU33" s="432">
        <f>AV33*O10</f>
        <v>1.8804541906862574E-4</v>
      </c>
      <c r="AV33" s="378">
        <f>ABS(AV38*K84)</f>
        <v>2.1544040278823093</v>
      </c>
      <c r="AW33" s="265">
        <f>AI33/AV33</f>
        <v>0.46650005076201267</v>
      </c>
      <c r="AX33" s="265">
        <f>AJ33/AV33</f>
        <v>5.2925034228706663E-4</v>
      </c>
      <c r="AY33" s="265">
        <f>AK33/AV33</f>
        <v>3.1057078261768884E-6</v>
      </c>
      <c r="AZ33" s="265">
        <f>AL33/AV33</f>
        <v>0.5323294188827461</v>
      </c>
      <c r="BA33" s="288">
        <v>0</v>
      </c>
      <c r="BB33" s="265">
        <f>AN33/AV33</f>
        <v>2.1440723000709752E-4</v>
      </c>
      <c r="BC33" s="234"/>
      <c r="BD33" s="234"/>
      <c r="BE33" s="265">
        <f>AQ33/AV33</f>
        <v>2.0982765163612608E-4</v>
      </c>
      <c r="BF33" s="265">
        <f>AR33/AV33</f>
        <v>2.2209526159119916E-5</v>
      </c>
      <c r="BG33" s="265">
        <f>AS33/AV33</f>
        <v>4.4511413580127435E-5</v>
      </c>
      <c r="BH33" s="265">
        <f>AT33/AV33</f>
        <v>5.9934289771091066E-5</v>
      </c>
      <c r="BI33" s="265">
        <f>AU33/AV33</f>
        <v>8.7284193974268912E-5</v>
      </c>
      <c r="BJ33" s="344">
        <f t="shared" ref="BJ33:BJ38" si="3">SUM(AW33:BI33)</f>
        <v>0.99999999999999989</v>
      </c>
    </row>
    <row r="34" spans="1:62" x14ac:dyDescent="0.25">
      <c r="A34" s="354"/>
      <c r="B34" s="343" t="s">
        <v>181</v>
      </c>
      <c r="C34" s="218"/>
      <c r="D34" s="264">
        <v>0</v>
      </c>
      <c r="E34" s="285">
        <v>0</v>
      </c>
      <c r="F34" s="286">
        <v>0</v>
      </c>
      <c r="G34" s="280">
        <f>AL34</f>
        <v>1.0797953173508562E-3</v>
      </c>
      <c r="H34" s="390">
        <f>AM34</f>
        <v>4.5903507596233122E-2</v>
      </c>
      <c r="I34" s="390">
        <f>AN34</f>
        <v>6.3106114202018074E-2</v>
      </c>
      <c r="J34" s="390">
        <f>AO34</f>
        <v>0.13100159141176826</v>
      </c>
      <c r="K34" s="390">
        <f>AP34</f>
        <v>3.0798975961695129E-3</v>
      </c>
      <c r="L34" s="277">
        <v>0</v>
      </c>
      <c r="M34" s="277">
        <v>0</v>
      </c>
      <c r="N34" s="277">
        <v>0</v>
      </c>
      <c r="O34" s="277">
        <v>0</v>
      </c>
      <c r="P34" s="277">
        <v>0</v>
      </c>
      <c r="Q34" s="378">
        <f>AV34</f>
        <v>0.24417090612353978</v>
      </c>
      <c r="R34" s="288"/>
      <c r="S34" s="306"/>
      <c r="T34" s="307"/>
      <c r="U34" s="251">
        <f>G34/Q34</f>
        <v>4.4222931162999704E-3</v>
      </c>
      <c r="V34" s="251">
        <f>H34/Q34</f>
        <v>0.18799744951189212</v>
      </c>
      <c r="W34" s="231">
        <f>I34/Q34</f>
        <v>0.25845058776203722</v>
      </c>
      <c r="X34" s="231">
        <f>J34/Q34</f>
        <v>0.53651597355127634</v>
      </c>
      <c r="Y34" s="231">
        <f>K34/Q34</f>
        <v>1.2613696058494453E-2</v>
      </c>
      <c r="Z34" s="295"/>
      <c r="AA34" s="285"/>
      <c r="AB34" s="285"/>
      <c r="AC34" s="285"/>
      <c r="AD34" s="308"/>
      <c r="AE34" s="344">
        <f t="shared" si="2"/>
        <v>1</v>
      </c>
      <c r="AG34" s="343" t="s">
        <v>181</v>
      </c>
      <c r="AH34" s="218"/>
      <c r="AI34" s="264">
        <v>0</v>
      </c>
      <c r="AJ34" s="285">
        <v>0</v>
      </c>
      <c r="AK34" s="286">
        <v>0</v>
      </c>
      <c r="AL34" s="390">
        <f>T11*AV34</f>
        <v>1.0797953173508562E-3</v>
      </c>
      <c r="AM34" s="273">
        <f>AV34*T8</f>
        <v>4.5903507596233122E-2</v>
      </c>
      <c r="AN34" s="287">
        <f>AV34*T9</f>
        <v>6.3106114202018074E-2</v>
      </c>
      <c r="AO34" s="273">
        <f>AV34*T10</f>
        <v>0.13100159141176826</v>
      </c>
      <c r="AP34" s="274">
        <f>AV34*T12</f>
        <v>3.0798975961695129E-3</v>
      </c>
      <c r="AQ34" s="277">
        <v>0</v>
      </c>
      <c r="AR34" s="277">
        <v>0</v>
      </c>
      <c r="AS34" s="277">
        <v>0</v>
      </c>
      <c r="AT34" s="277">
        <v>0</v>
      </c>
      <c r="AU34" s="277">
        <v>0</v>
      </c>
      <c r="AV34" s="437">
        <f>ABS(AV38*K85)</f>
        <v>0.24417090612353978</v>
      </c>
      <c r="AW34" s="288"/>
      <c r="AX34" s="306"/>
      <c r="AY34" s="307"/>
      <c r="AZ34" s="251">
        <f>AL34/AV34</f>
        <v>4.4222931162999704E-3</v>
      </c>
      <c r="BA34" s="251">
        <f>AM34/AV34</f>
        <v>0.18799744951189212</v>
      </c>
      <c r="BB34" s="231">
        <f>AN34/AV34</f>
        <v>0.25845058776203722</v>
      </c>
      <c r="BC34" s="231">
        <f>AO34/AV34</f>
        <v>0.53651597355127634</v>
      </c>
      <c r="BD34" s="231">
        <f>AP34/AV34</f>
        <v>1.2613696058494453E-2</v>
      </c>
      <c r="BE34" s="295"/>
      <c r="BF34" s="285"/>
      <c r="BG34" s="285"/>
      <c r="BH34" s="285"/>
      <c r="BI34" s="308"/>
      <c r="BJ34" s="344">
        <f t="shared" si="3"/>
        <v>1</v>
      </c>
    </row>
    <row r="35" spans="1:62" x14ac:dyDescent="0.25">
      <c r="A35" s="190"/>
      <c r="B35" s="218" t="s">
        <v>182</v>
      </c>
      <c r="C35" s="218"/>
      <c r="D35" s="242">
        <v>0</v>
      </c>
      <c r="E35" s="278">
        <v>0</v>
      </c>
      <c r="F35" s="279">
        <v>0</v>
      </c>
      <c r="G35" s="369">
        <f>Q35</f>
        <v>1.1393352255310267</v>
      </c>
      <c r="H35" s="279">
        <v>0</v>
      </c>
      <c r="I35" s="279">
        <v>0</v>
      </c>
      <c r="J35" s="279">
        <v>0</v>
      </c>
      <c r="K35" s="279">
        <v>0</v>
      </c>
      <c r="L35" s="279">
        <v>0</v>
      </c>
      <c r="M35" s="279">
        <v>0</v>
      </c>
      <c r="N35" s="279">
        <v>0</v>
      </c>
      <c r="O35" s="279">
        <v>0</v>
      </c>
      <c r="P35" s="279">
        <v>0</v>
      </c>
      <c r="Q35" s="378">
        <f>R21</f>
        <v>1.1393352255310267</v>
      </c>
      <c r="R35" s="242">
        <v>0</v>
      </c>
      <c r="S35" s="235">
        <v>0</v>
      </c>
      <c r="T35" s="235">
        <v>0</v>
      </c>
      <c r="U35" s="227">
        <f>G35/Q35</f>
        <v>1</v>
      </c>
      <c r="V35" s="235">
        <v>0</v>
      </c>
      <c r="W35" s="235">
        <v>0</v>
      </c>
      <c r="X35" s="235">
        <v>0</v>
      </c>
      <c r="Y35" s="235">
        <v>0</v>
      </c>
      <c r="Z35" s="234"/>
      <c r="AA35" s="234"/>
      <c r="AB35" s="234"/>
      <c r="AC35" s="234"/>
      <c r="AD35" s="263"/>
      <c r="AE35" s="344">
        <f t="shared" si="2"/>
        <v>1</v>
      </c>
      <c r="AG35" s="218" t="s">
        <v>182</v>
      </c>
      <c r="AH35" s="218"/>
      <c r="AI35" s="242">
        <v>0</v>
      </c>
      <c r="AJ35" s="278">
        <v>0</v>
      </c>
      <c r="AK35" s="279">
        <v>0</v>
      </c>
      <c r="AL35" s="374">
        <f>AV35</f>
        <v>1.1356601830628754</v>
      </c>
      <c r="AM35" s="279">
        <v>0</v>
      </c>
      <c r="AN35" s="279">
        <v>0</v>
      </c>
      <c r="AO35" s="279">
        <v>0</v>
      </c>
      <c r="AP35" s="279">
        <v>0</v>
      </c>
      <c r="AQ35" s="279">
        <v>0</v>
      </c>
      <c r="AR35" s="279">
        <v>0</v>
      </c>
      <c r="AS35" s="279">
        <v>0</v>
      </c>
      <c r="AT35" s="279">
        <v>0</v>
      </c>
      <c r="AU35" s="279">
        <v>0</v>
      </c>
      <c r="AV35" s="271">
        <f>ABS(AV38*K86)</f>
        <v>1.1356601830628754</v>
      </c>
      <c r="AW35" s="242">
        <v>0</v>
      </c>
      <c r="AX35" s="235">
        <v>0</v>
      </c>
      <c r="AY35" s="235">
        <v>0</v>
      </c>
      <c r="AZ35" s="227">
        <f>AL35/AV35</f>
        <v>1</v>
      </c>
      <c r="BA35" s="235">
        <v>0</v>
      </c>
      <c r="BB35" s="235">
        <v>0</v>
      </c>
      <c r="BC35" s="235">
        <v>0</v>
      </c>
      <c r="BD35" s="235">
        <v>0</v>
      </c>
      <c r="BE35" s="234"/>
      <c r="BF35" s="234"/>
      <c r="BG35" s="234"/>
      <c r="BH35" s="234"/>
      <c r="BI35" s="263"/>
      <c r="BJ35" s="344">
        <f t="shared" si="3"/>
        <v>1</v>
      </c>
    </row>
    <row r="36" spans="1:62" x14ac:dyDescent="0.25">
      <c r="A36" s="373"/>
      <c r="B36" s="430" t="s">
        <v>183</v>
      </c>
      <c r="C36" s="236"/>
      <c r="D36" s="408">
        <f t="shared" ref="D36:F38" si="4">AI36</f>
        <v>5.0308023689819509E-3</v>
      </c>
      <c r="E36" s="408">
        <f t="shared" si="4"/>
        <v>1.1392190691813472E-3</v>
      </c>
      <c r="F36" s="408">
        <f t="shared" si="4"/>
        <v>0</v>
      </c>
      <c r="G36" s="280">
        <f>AL36-AE23</f>
        <v>8.5972139875614036E-3</v>
      </c>
      <c r="H36" s="408">
        <f t="shared" ref="H36:P37" si="5">AM36</f>
        <v>2.9390648838021987E-2</v>
      </c>
      <c r="I36" s="408">
        <f t="shared" si="5"/>
        <v>6.3568034001952448E-2</v>
      </c>
      <c r="J36" s="408">
        <f t="shared" si="5"/>
        <v>9.6451379163560308E-2</v>
      </c>
      <c r="K36" s="408">
        <f t="shared" si="5"/>
        <v>5.2466018275618411E-3</v>
      </c>
      <c r="L36" s="408">
        <f t="shared" si="5"/>
        <v>0</v>
      </c>
      <c r="M36" s="408">
        <f t="shared" si="5"/>
        <v>0</v>
      </c>
      <c r="N36" s="408">
        <f t="shared" si="5"/>
        <v>0</v>
      </c>
      <c r="O36" s="408">
        <f t="shared" si="5"/>
        <v>0</v>
      </c>
      <c r="P36" s="408">
        <f t="shared" si="5"/>
        <v>0</v>
      </c>
      <c r="Q36" s="378">
        <f>SUM(D36:P36)</f>
        <v>0.20942389925682128</v>
      </c>
      <c r="R36" s="226">
        <f>D36/Q36</f>
        <v>2.4022102476530454E-2</v>
      </c>
      <c r="S36" s="226">
        <f>E36/Q36</f>
        <v>5.439775848048254E-3</v>
      </c>
      <c r="T36" s="226">
        <f>F36/Q36</f>
        <v>0</v>
      </c>
      <c r="U36" s="226">
        <f>G36/Q36</f>
        <v>4.105173295918077E-2</v>
      </c>
      <c r="V36" s="226">
        <f>H36/Q36</f>
        <v>0.14034047184834222</v>
      </c>
      <c r="W36" s="226">
        <f>I36/Q36</f>
        <v>0.3035376297907505</v>
      </c>
      <c r="X36" s="226">
        <f>J36/Q36</f>
        <v>0.46055574127802762</v>
      </c>
      <c r="Y36" s="226">
        <f>K36/Q36</f>
        <v>2.5052545799120158E-2</v>
      </c>
      <c r="Z36" s="226">
        <f>L36/Q36</f>
        <v>0</v>
      </c>
      <c r="AA36" s="226">
        <f>M36/Q36</f>
        <v>0</v>
      </c>
      <c r="AB36" s="226">
        <f>N36/Q36</f>
        <v>0</v>
      </c>
      <c r="AC36" s="226">
        <f>O36/Q36</f>
        <v>0</v>
      </c>
      <c r="AD36" s="226">
        <f>P36/Q36</f>
        <v>0</v>
      </c>
      <c r="AE36" s="344">
        <f t="shared" si="2"/>
        <v>1</v>
      </c>
      <c r="AG36" s="430" t="s">
        <v>183</v>
      </c>
      <c r="AH36" s="236"/>
      <c r="AI36" s="408">
        <f>AV36*Y10</f>
        <v>5.0308023689819509E-3</v>
      </c>
      <c r="AJ36" s="245">
        <f>AV36*Y11</f>
        <v>1.1392190691813472E-3</v>
      </c>
      <c r="AK36" s="275">
        <v>0</v>
      </c>
      <c r="AL36" s="273">
        <f>AV36*Y8</f>
        <v>1.2272256455712791E-2</v>
      </c>
      <c r="AM36" s="284">
        <f>AV36*Y7</f>
        <v>2.9390648838021987E-2</v>
      </c>
      <c r="AN36" s="273">
        <f>AV36*Y5</f>
        <v>6.3568034001952448E-2</v>
      </c>
      <c r="AO36" s="273">
        <f>AV36*Y6</f>
        <v>9.6451379163560308E-2</v>
      </c>
      <c r="AP36" s="273">
        <f>AV36*Y9</f>
        <v>5.2466018275618411E-3</v>
      </c>
      <c r="AQ36" s="547">
        <v>0</v>
      </c>
      <c r="AR36" s="547">
        <v>0</v>
      </c>
      <c r="AS36" s="547">
        <v>0</v>
      </c>
      <c r="AT36" s="547">
        <v>0</v>
      </c>
      <c r="AU36" s="547">
        <v>0</v>
      </c>
      <c r="AV36" s="272">
        <f>ABS(AV38*K87)</f>
        <v>0.21309894172497268</v>
      </c>
      <c r="AW36" s="226">
        <f>AI36/AV36</f>
        <v>2.3607824272889856E-2</v>
      </c>
      <c r="AX36" s="226">
        <f>AJ36/AV36</f>
        <v>5.3459630534047091E-3</v>
      </c>
      <c r="AY36" s="226">
        <f>AK36/AV36</f>
        <v>0</v>
      </c>
      <c r="AZ36" s="226">
        <f>AL36/AV36</f>
        <v>5.7589476307918365E-2</v>
      </c>
      <c r="BA36" s="226">
        <f>AM36/AV36</f>
        <v>0.13792020082368034</v>
      </c>
      <c r="BB36" s="226">
        <f>AN36/AV36</f>
        <v>0.29830290797029813</v>
      </c>
      <c r="BC36" s="226">
        <f>AO36/AV36</f>
        <v>0.45261313070264464</v>
      </c>
      <c r="BD36" s="226">
        <f>AP36/AV36</f>
        <v>2.4620496869163951E-2</v>
      </c>
      <c r="BE36" s="226">
        <f>AQ36/AV36</f>
        <v>0</v>
      </c>
      <c r="BF36" s="226">
        <f>AR36/AV36</f>
        <v>0</v>
      </c>
      <c r="BG36" s="226">
        <f>AS36/AV36</f>
        <v>0</v>
      </c>
      <c r="BH36" s="226">
        <f>AT36/AV36</f>
        <v>0</v>
      </c>
      <c r="BI36" s="226">
        <f>AU36/AV36</f>
        <v>0</v>
      </c>
      <c r="BJ36" s="344">
        <f t="shared" si="3"/>
        <v>1</v>
      </c>
    </row>
    <row r="37" spans="1:62" x14ac:dyDescent="0.25">
      <c r="A37" s="373"/>
      <c r="B37" s="430" t="s">
        <v>184</v>
      </c>
      <c r="C37" s="56"/>
      <c r="D37" s="429">
        <f t="shared" si="4"/>
        <v>0</v>
      </c>
      <c r="E37" s="429">
        <f t="shared" si="4"/>
        <v>0</v>
      </c>
      <c r="F37" s="429">
        <f t="shared" si="4"/>
        <v>6.4769494501410998E-6</v>
      </c>
      <c r="G37" s="544">
        <f>AL37</f>
        <v>-6.4184768611141862E-17</v>
      </c>
      <c r="H37" s="429">
        <f t="shared" si="5"/>
        <v>1.6512858758211135E-2</v>
      </c>
      <c r="I37" s="429">
        <f t="shared" si="5"/>
        <v>0</v>
      </c>
      <c r="J37" s="429">
        <f t="shared" si="5"/>
        <v>3.4550212248207951E-2</v>
      </c>
      <c r="K37" s="429">
        <f t="shared" si="5"/>
        <v>-2.1667042313923282E-3</v>
      </c>
      <c r="L37" s="429">
        <f t="shared" si="5"/>
        <v>4.5205353784595604E-4</v>
      </c>
      <c r="M37" s="429">
        <f t="shared" si="5"/>
        <v>4.7848292614565458E-5</v>
      </c>
      <c r="N37" s="429">
        <f t="shared" si="5"/>
        <v>9.5895568703761874E-5</v>
      </c>
      <c r="O37" s="429">
        <f t="shared" si="5"/>
        <v>1.2912267529110408E-4</v>
      </c>
      <c r="P37" s="429">
        <f t="shared" si="5"/>
        <v>1.8804541906862574E-4</v>
      </c>
      <c r="Q37" s="378">
        <f>SUM(D37:P37)</f>
        <v>4.9815809218000849E-2</v>
      </c>
      <c r="R37" s="475">
        <f>D37/Q37</f>
        <v>0</v>
      </c>
      <c r="S37" s="475">
        <f>E37/Q37</f>
        <v>0</v>
      </c>
      <c r="T37" s="475">
        <f>F37/Q37</f>
        <v>1.3001795116480145E-4</v>
      </c>
      <c r="U37" s="475">
        <f>G37/Q37</f>
        <v>-1.2884417541078269E-15</v>
      </c>
      <c r="V37" s="475">
        <f>H37/Q37</f>
        <v>0.33147828003653595</v>
      </c>
      <c r="W37" s="475">
        <f>I37/Q37</f>
        <v>0</v>
      </c>
      <c r="X37" s="475">
        <f>J37/Q37</f>
        <v>0.69355918915241266</v>
      </c>
      <c r="Y37" s="475">
        <f>K37/Q37</f>
        <v>-4.3494309645970654E-2</v>
      </c>
      <c r="Z37" s="475">
        <f>L37/Q37</f>
        <v>9.0744995402505142E-3</v>
      </c>
      <c r="AA37" s="475">
        <f>M37/Q37</f>
        <v>9.6050417258454501E-4</v>
      </c>
      <c r="AB37" s="475">
        <f>N37/Q37</f>
        <v>1.9250027292362078E-3</v>
      </c>
      <c r="AC37" s="475">
        <f>O37/Q37</f>
        <v>2.5920019631929586E-3</v>
      </c>
      <c r="AD37" s="475">
        <f>P37/Q37</f>
        <v>3.7748141005943124E-3</v>
      </c>
      <c r="AE37" s="344">
        <f t="shared" si="2"/>
        <v>1</v>
      </c>
      <c r="AG37" s="430" t="s">
        <v>184</v>
      </c>
      <c r="AH37" s="8"/>
      <c r="AI37" s="429">
        <v>0</v>
      </c>
      <c r="AJ37" s="245">
        <v>0</v>
      </c>
      <c r="AK37" s="275">
        <f>AK33-AK38</f>
        <v>6.4769494501410998E-6</v>
      </c>
      <c r="AL37" s="408">
        <f>AL33+AL34-AL35-AL36</f>
        <v>-6.4184768611141862E-17</v>
      </c>
      <c r="AM37" s="275">
        <f>AM34-AM36</f>
        <v>1.6512858758211135E-2</v>
      </c>
      <c r="AN37" s="452">
        <f>AN33+AN34-AN36</f>
        <v>0</v>
      </c>
      <c r="AO37" s="273">
        <f>AO34-AO36</f>
        <v>3.4550212248207951E-2</v>
      </c>
      <c r="AP37" s="273">
        <f>AP34-AP36</f>
        <v>-2.1667042313923282E-3</v>
      </c>
      <c r="AQ37" s="431">
        <f>AQ33</f>
        <v>4.5205353784595604E-4</v>
      </c>
      <c r="AR37" s="432">
        <f>AR33</f>
        <v>4.7848292614565458E-5</v>
      </c>
      <c r="AS37" s="431">
        <f>AS33</f>
        <v>9.5895568703761874E-5</v>
      </c>
      <c r="AT37" s="432">
        <f>AT33</f>
        <v>1.2912267529110408E-4</v>
      </c>
      <c r="AU37" s="432">
        <f>AU33</f>
        <v>1.8804541906862574E-4</v>
      </c>
      <c r="AV37" s="272">
        <f>SUM(AI37:AU37)</f>
        <v>4.9815809218000849E-2</v>
      </c>
      <c r="AW37" s="226">
        <f>AI37/AV37</f>
        <v>0</v>
      </c>
      <c r="AX37" s="226">
        <f>AJ37/AV37</f>
        <v>0</v>
      </c>
      <c r="AY37" s="226">
        <f>AK37/AV37</f>
        <v>1.3001795116480145E-4</v>
      </c>
      <c r="AZ37" s="226">
        <f>AL37/AV37</f>
        <v>-1.2884417541078269E-15</v>
      </c>
      <c r="BA37" s="226">
        <f>AM37/AV37</f>
        <v>0.33147828003653595</v>
      </c>
      <c r="BB37" s="226">
        <f>AN37/AV37</f>
        <v>0</v>
      </c>
      <c r="BC37" s="226">
        <f>AO37/AV37</f>
        <v>0.69355918915241266</v>
      </c>
      <c r="BD37" s="226">
        <f>AP37/AV37</f>
        <v>-4.3494309645970654E-2</v>
      </c>
      <c r="BE37" s="226">
        <f>AQ37/AV37</f>
        <v>9.0744995402505142E-3</v>
      </c>
      <c r="BF37" s="226">
        <f>AR37/AV37</f>
        <v>9.6050417258454501E-4</v>
      </c>
      <c r="BG37" s="226">
        <f>AS37/AV37</f>
        <v>1.9250027292362078E-3</v>
      </c>
      <c r="BH37" s="226">
        <f>AT37/AV37</f>
        <v>2.5920019631929586E-3</v>
      </c>
      <c r="BI37" s="226">
        <f>AU37/AV37</f>
        <v>3.7748141005943124E-3</v>
      </c>
      <c r="BJ37" s="344">
        <f t="shared" si="3"/>
        <v>1</v>
      </c>
    </row>
    <row r="38" spans="1:62" x14ac:dyDescent="0.25">
      <c r="A38" s="372"/>
      <c r="B38" s="222" t="s">
        <v>185</v>
      </c>
      <c r="C38" s="222"/>
      <c r="D38" s="280">
        <f t="shared" si="4"/>
        <v>0.99999878599999992</v>
      </c>
      <c r="E38" s="280">
        <f t="shared" si="4"/>
        <v>9.9999999999999995E-7</v>
      </c>
      <c r="F38" s="280">
        <f t="shared" si="4"/>
        <v>2.1400000000000001E-7</v>
      </c>
      <c r="G38" s="276">
        <v>0</v>
      </c>
      <c r="H38" s="234">
        <v>0</v>
      </c>
      <c r="I38" s="276">
        <v>0</v>
      </c>
      <c r="J38" s="276">
        <v>0</v>
      </c>
      <c r="K38" s="276">
        <v>0</v>
      </c>
      <c r="L38" s="276">
        <v>0</v>
      </c>
      <c r="M38" s="276">
        <v>0</v>
      </c>
      <c r="N38" s="276">
        <v>0</v>
      </c>
      <c r="O38" s="276">
        <v>0</v>
      </c>
      <c r="P38" s="276">
        <v>0</v>
      </c>
      <c r="Q38" s="378">
        <f>AV38</f>
        <v>1</v>
      </c>
      <c r="R38" s="226">
        <f>D38/Q38</f>
        <v>0.99999878599999992</v>
      </c>
      <c r="S38" s="226">
        <f>E38/Q38</f>
        <v>9.9999999999999995E-7</v>
      </c>
      <c r="T38" s="226">
        <f>F38/Q38</f>
        <v>2.1400000000000001E-7</v>
      </c>
      <c r="U38" s="234">
        <v>0</v>
      </c>
      <c r="V38" s="234">
        <v>0</v>
      </c>
      <c r="W38" s="234">
        <v>0</v>
      </c>
      <c r="X38" s="234">
        <v>0</v>
      </c>
      <c r="Y38" s="234">
        <v>0</v>
      </c>
      <c r="Z38" s="234"/>
      <c r="AA38" s="234"/>
      <c r="AB38" s="234"/>
      <c r="AC38" s="234"/>
      <c r="AD38" s="263"/>
      <c r="AE38" s="344">
        <f t="shared" si="2"/>
        <v>1</v>
      </c>
      <c r="AG38" s="222" t="s">
        <v>185</v>
      </c>
      <c r="AH38" s="222"/>
      <c r="AI38" s="280">
        <f>AV38-AK38-AJ38</f>
        <v>0.99999878599999992</v>
      </c>
      <c r="AJ38" s="245">
        <f>M22*AV38</f>
        <v>9.9999999999999995E-7</v>
      </c>
      <c r="AK38" s="238">
        <f>M23*AV38</f>
        <v>2.1400000000000001E-7</v>
      </c>
      <c r="AL38" s="276">
        <v>0</v>
      </c>
      <c r="AM38" s="234">
        <v>0</v>
      </c>
      <c r="AN38" s="276">
        <v>0</v>
      </c>
      <c r="AO38" s="276">
        <v>0</v>
      </c>
      <c r="AP38" s="276">
        <v>0</v>
      </c>
      <c r="AQ38" s="276">
        <v>0</v>
      </c>
      <c r="AR38" s="276">
        <v>0</v>
      </c>
      <c r="AS38" s="276">
        <v>0</v>
      </c>
      <c r="AT38" s="276">
        <v>0</v>
      </c>
      <c r="AU38" s="276">
        <v>0</v>
      </c>
      <c r="AV38" s="293">
        <f>ABS(N84)</f>
        <v>1</v>
      </c>
      <c r="AW38" s="226">
        <f>AI38/AV38</f>
        <v>0.99999878599999992</v>
      </c>
      <c r="AX38" s="226">
        <f>AJ38/AV38</f>
        <v>9.9999999999999995E-7</v>
      </c>
      <c r="AY38" s="226">
        <f>AK38/AV38</f>
        <v>2.1400000000000001E-7</v>
      </c>
      <c r="AZ38" s="234">
        <v>0</v>
      </c>
      <c r="BA38" s="234">
        <v>0</v>
      </c>
      <c r="BB38" s="234">
        <v>0</v>
      </c>
      <c r="BC38" s="234">
        <v>0</v>
      </c>
      <c r="BD38" s="234">
        <v>0</v>
      </c>
      <c r="BE38" s="234"/>
      <c r="BF38" s="234"/>
      <c r="BG38" s="234"/>
      <c r="BH38" s="234"/>
      <c r="BI38" s="263"/>
      <c r="BJ38" s="344">
        <f t="shared" si="3"/>
        <v>1</v>
      </c>
    </row>
    <row r="39" spans="1:62" x14ac:dyDescent="0.25">
      <c r="A39" s="190"/>
      <c r="C39" s="350" t="s">
        <v>186</v>
      </c>
      <c r="D39" s="355">
        <f>D33-SUM(D36:D38)</f>
        <v>0</v>
      </c>
      <c r="E39" s="355">
        <f>E33-SUM(E36:E38)</f>
        <v>0</v>
      </c>
      <c r="F39" s="351">
        <f>F33-SUM(F36:F38)</f>
        <v>0</v>
      </c>
      <c r="G39" s="356">
        <f>SUM(G33:G34)-SUM(G35:G37)</f>
        <v>0</v>
      </c>
      <c r="H39" s="356">
        <f>H34-H36-H37</f>
        <v>0</v>
      </c>
      <c r="I39" s="356">
        <f>I33+I34-I36-I37</f>
        <v>0</v>
      </c>
      <c r="J39" s="351">
        <f>J34-J36-J37</f>
        <v>0</v>
      </c>
      <c r="K39" s="357">
        <f>K34-K36-K37</f>
        <v>0</v>
      </c>
      <c r="L39" s="356">
        <f>L33-(L36+L37)</f>
        <v>0</v>
      </c>
      <c r="M39" s="351">
        <f>M33-(M36+M37)</f>
        <v>0</v>
      </c>
      <c r="N39" s="351">
        <f>N33-(N36+N37)</f>
        <v>0</v>
      </c>
      <c r="O39" s="355">
        <f>O33-(O36+O37)</f>
        <v>0</v>
      </c>
      <c r="P39" s="351">
        <f>P33-(P36+P37)</f>
        <v>0</v>
      </c>
      <c r="Q39" s="772">
        <f>Q33+Q34-Q35-Q36-Q37-Q38</f>
        <v>0</v>
      </c>
      <c r="AH39" s="350" t="s">
        <v>186</v>
      </c>
      <c r="AI39" s="355">
        <f>AI33-SUM(AI36:AI38)</f>
        <v>0</v>
      </c>
      <c r="AJ39" s="351">
        <f>AJ33-SUM(AJ36:AJ38)</f>
        <v>0</v>
      </c>
      <c r="AK39" s="351">
        <f>AK33-SUM(AK36:AK38)</f>
        <v>0</v>
      </c>
      <c r="AL39" s="356">
        <f>SUM(AL33:AL34)-SUM(AL35:AL37)</f>
        <v>0</v>
      </c>
      <c r="AM39" s="356">
        <f>AM34-AM36-AM37</f>
        <v>0</v>
      </c>
      <c r="AN39" s="356">
        <f>AN33+AN34-AN36-AN37</f>
        <v>0</v>
      </c>
      <c r="AO39" s="356">
        <f>AO34-AO36-AO37</f>
        <v>0</v>
      </c>
      <c r="AP39" s="357">
        <f>AP34-AP36-AP37</f>
        <v>0</v>
      </c>
      <c r="AQ39" s="356">
        <f>AQ33-(AQ36+AQ37)</f>
        <v>0</v>
      </c>
      <c r="AR39" s="351">
        <f>AR33-(AR36+AR37)</f>
        <v>0</v>
      </c>
      <c r="AS39" s="351">
        <f>AS33-(AS36+AS37)</f>
        <v>0</v>
      </c>
      <c r="AT39" s="351">
        <f>AT33-(AT36+AT37)</f>
        <v>0</v>
      </c>
      <c r="AU39" s="351">
        <f>AU33-(AU36+AU37)</f>
        <v>0</v>
      </c>
      <c r="AV39" s="351">
        <f>AV33+AV34-AV35-AV36-AV37-AV38</f>
        <v>0</v>
      </c>
    </row>
    <row r="40" spans="1:62" x14ac:dyDescent="0.25">
      <c r="A40" s="190"/>
      <c r="D40" s="208"/>
      <c r="R40" s="205"/>
      <c r="S40" s="237"/>
      <c r="T40" s="237"/>
      <c r="U40" s="206"/>
      <c r="V40" s="206"/>
      <c r="W40" s="237"/>
      <c r="X40" s="237"/>
      <c r="Y40" s="208"/>
      <c r="Z40" s="206"/>
      <c r="AA40" s="237"/>
      <c r="AB40" s="237"/>
      <c r="AC40" s="237"/>
      <c r="AD40" s="237"/>
      <c r="AI40" s="208"/>
      <c r="AW40" s="205"/>
      <c r="AX40" s="237"/>
      <c r="AY40" s="237"/>
      <c r="AZ40" s="206"/>
      <c r="BA40" s="206"/>
      <c r="BB40" s="237"/>
      <c r="BC40" s="237"/>
      <c r="BD40" s="208"/>
      <c r="BE40" s="206"/>
      <c r="BF40" s="237"/>
      <c r="BG40" s="237"/>
      <c r="BH40" s="237"/>
      <c r="BI40" s="237"/>
    </row>
    <row r="41" spans="1:62" x14ac:dyDescent="0.25">
      <c r="B41" s="190"/>
      <c r="C41" s="190"/>
      <c r="D41" s="199"/>
      <c r="E41" s="199"/>
      <c r="F41" s="199"/>
      <c r="G41" s="199"/>
      <c r="H41" s="199"/>
      <c r="I41" s="199"/>
      <c r="J41" s="199"/>
      <c r="K41" s="199"/>
      <c r="L41" s="199"/>
      <c r="M41" s="199"/>
      <c r="N41" s="199"/>
      <c r="O41" s="199"/>
      <c r="AF41" s="205"/>
      <c r="AG41" s="190"/>
      <c r="AH41" s="190"/>
      <c r="AI41" s="199"/>
      <c r="AJ41" s="199"/>
      <c r="AK41" s="199"/>
      <c r="AL41" s="199"/>
      <c r="AM41" s="199"/>
      <c r="AN41" s="199"/>
      <c r="AO41" s="199"/>
      <c r="AP41" s="199"/>
      <c r="AQ41" s="199"/>
      <c r="AR41" s="199"/>
      <c r="AS41" s="199"/>
      <c r="AT41" s="199"/>
    </row>
    <row r="42" spans="1:62" x14ac:dyDescent="0.25">
      <c r="B42" s="359" t="s">
        <v>175</v>
      </c>
      <c r="C42" s="236"/>
      <c r="D42" s="617"/>
      <c r="E42" s="617"/>
      <c r="F42" s="617"/>
      <c r="G42" s="617"/>
      <c r="H42" s="617" t="s">
        <v>176</v>
      </c>
      <c r="I42" s="617"/>
      <c r="J42" s="617"/>
      <c r="K42" s="617"/>
      <c r="L42" s="617"/>
      <c r="M42" s="617"/>
      <c r="N42" s="617"/>
      <c r="O42" s="617"/>
      <c r="P42" s="617"/>
      <c r="Q42" s="380"/>
      <c r="R42" s="798" t="s">
        <v>156</v>
      </c>
      <c r="S42" s="798"/>
      <c r="T42" s="798"/>
      <c r="U42" s="798"/>
      <c r="V42" s="798"/>
      <c r="W42" s="798"/>
      <c r="X42" s="798"/>
      <c r="Y42" s="798"/>
      <c r="Z42" s="798"/>
      <c r="AA42" s="798"/>
      <c r="AB42" s="798"/>
      <c r="AC42" s="798"/>
      <c r="AD42" s="799"/>
      <c r="AE42" s="795" t="s">
        <v>177</v>
      </c>
      <c r="AG42" s="359" t="s">
        <v>178</v>
      </c>
      <c r="AH42" s="236"/>
      <c r="AI42" s="617"/>
      <c r="AJ42" s="617"/>
      <c r="AK42" s="617"/>
      <c r="AL42" s="617"/>
      <c r="AM42" s="617" t="s">
        <v>176</v>
      </c>
      <c r="AN42" s="617"/>
      <c r="AO42" s="617"/>
      <c r="AP42" s="617"/>
      <c r="AQ42" s="617"/>
      <c r="AR42" s="617"/>
      <c r="AS42" s="617"/>
      <c r="AT42" s="617"/>
      <c r="AU42" s="617"/>
      <c r="AV42" s="380"/>
      <c r="AW42" s="798" t="s">
        <v>156</v>
      </c>
      <c r="AX42" s="798"/>
      <c r="AY42" s="798"/>
      <c r="AZ42" s="798"/>
      <c r="BA42" s="798"/>
      <c r="BB42" s="798"/>
      <c r="BC42" s="798"/>
      <c r="BD42" s="798"/>
      <c r="BE42" s="798"/>
      <c r="BF42" s="798"/>
      <c r="BG42" s="798"/>
      <c r="BH42" s="798"/>
      <c r="BI42" s="799"/>
      <c r="BJ42" s="795" t="s">
        <v>177</v>
      </c>
    </row>
    <row r="43" spans="1:62" x14ac:dyDescent="0.25">
      <c r="B43" s="359" t="s">
        <v>187</v>
      </c>
      <c r="C43" s="236"/>
      <c r="D43" s="345" t="s">
        <v>45</v>
      </c>
      <c r="E43" s="345" t="s">
        <v>46</v>
      </c>
      <c r="F43" s="345" t="s">
        <v>47</v>
      </c>
      <c r="G43" s="345" t="s">
        <v>66</v>
      </c>
      <c r="H43" s="345" t="s">
        <v>67</v>
      </c>
      <c r="I43" s="345" t="s">
        <v>69</v>
      </c>
      <c r="J43" s="345" t="s">
        <v>68</v>
      </c>
      <c r="K43" s="345" t="s">
        <v>70</v>
      </c>
      <c r="L43" s="345" t="s">
        <v>71</v>
      </c>
      <c r="M43" s="345" t="s">
        <v>72</v>
      </c>
      <c r="N43" s="345" t="s">
        <v>73</v>
      </c>
      <c r="O43" s="345" t="s">
        <v>74</v>
      </c>
      <c r="P43" s="345" t="s">
        <v>75</v>
      </c>
      <c r="Q43" s="379" t="s">
        <v>177</v>
      </c>
      <c r="R43" s="381" t="s">
        <v>45</v>
      </c>
      <c r="S43" s="282" t="s">
        <v>46</v>
      </c>
      <c r="T43" s="282" t="s">
        <v>47</v>
      </c>
      <c r="U43" s="282" t="s">
        <v>66</v>
      </c>
      <c r="V43" s="282" t="s">
        <v>67</v>
      </c>
      <c r="W43" s="282" t="s">
        <v>69</v>
      </c>
      <c r="X43" s="282" t="s">
        <v>68</v>
      </c>
      <c r="Y43" s="282" t="s">
        <v>70</v>
      </c>
      <c r="Z43" s="282" t="s">
        <v>71</v>
      </c>
      <c r="AA43" s="282" t="s">
        <v>72</v>
      </c>
      <c r="AB43" s="282" t="s">
        <v>73</v>
      </c>
      <c r="AC43" s="282" t="s">
        <v>74</v>
      </c>
      <c r="AD43" s="282" t="s">
        <v>75</v>
      </c>
      <c r="AE43" s="795"/>
      <c r="AG43" s="359" t="s">
        <v>187</v>
      </c>
      <c r="AH43" s="236"/>
      <c r="AI43" s="345" t="s">
        <v>45</v>
      </c>
      <c r="AJ43" s="345" t="s">
        <v>46</v>
      </c>
      <c r="AK43" s="345" t="s">
        <v>47</v>
      </c>
      <c r="AL43" s="345" t="s">
        <v>66</v>
      </c>
      <c r="AM43" s="345" t="s">
        <v>67</v>
      </c>
      <c r="AN43" s="345" t="s">
        <v>69</v>
      </c>
      <c r="AO43" s="345" t="s">
        <v>68</v>
      </c>
      <c r="AP43" s="345" t="s">
        <v>70</v>
      </c>
      <c r="AQ43" s="345" t="s">
        <v>71</v>
      </c>
      <c r="AR43" s="345" t="s">
        <v>72</v>
      </c>
      <c r="AS43" s="345" t="s">
        <v>73</v>
      </c>
      <c r="AT43" s="345" t="s">
        <v>74</v>
      </c>
      <c r="AU43" s="345" t="s">
        <v>75</v>
      </c>
      <c r="AV43" s="379" t="s">
        <v>177</v>
      </c>
      <c r="AW43" s="381" t="s">
        <v>45</v>
      </c>
      <c r="AX43" s="282" t="s">
        <v>46</v>
      </c>
      <c r="AY43" s="282" t="s">
        <v>47</v>
      </c>
      <c r="AZ43" s="282" t="s">
        <v>66</v>
      </c>
      <c r="BA43" s="282" t="s">
        <v>67</v>
      </c>
      <c r="BB43" s="282" t="s">
        <v>69</v>
      </c>
      <c r="BC43" s="282" t="s">
        <v>68</v>
      </c>
      <c r="BD43" s="282" t="s">
        <v>70</v>
      </c>
      <c r="BE43" s="282" t="s">
        <v>71</v>
      </c>
      <c r="BF43" s="282" t="s">
        <v>72</v>
      </c>
      <c r="BG43" s="282" t="s">
        <v>73</v>
      </c>
      <c r="BH43" s="282" t="s">
        <v>74</v>
      </c>
      <c r="BI43" s="282" t="s">
        <v>75</v>
      </c>
      <c r="BJ43" s="795"/>
    </row>
    <row r="44" spans="1:62" x14ac:dyDescent="0.25">
      <c r="A44" s="164"/>
      <c r="B44" s="236" t="s">
        <v>188</v>
      </c>
      <c r="C44" s="346"/>
      <c r="D44" s="245">
        <f t="shared" ref="D44:P45" si="6">AI44</f>
        <v>1.0050295883689819</v>
      </c>
      <c r="E44" s="245">
        <f t="shared" si="6"/>
        <v>1.1402190691813473E-3</v>
      </c>
      <c r="F44" s="245">
        <f t="shared" si="6"/>
        <v>6.6909494501410998E-6</v>
      </c>
      <c r="G44" s="245">
        <f t="shared" si="6"/>
        <v>1.1468526442012372</v>
      </c>
      <c r="H44" s="233">
        <f t="shared" si="6"/>
        <v>0</v>
      </c>
      <c r="I44" s="245">
        <f t="shared" si="6"/>
        <v>4.6191979993437962E-4</v>
      </c>
      <c r="J44" s="233">
        <f t="shared" si="6"/>
        <v>0</v>
      </c>
      <c r="K44" s="233">
        <f t="shared" si="6"/>
        <v>0</v>
      </c>
      <c r="L44" s="245">
        <f t="shared" si="6"/>
        <v>4.5205353784595604E-4</v>
      </c>
      <c r="M44" s="245">
        <f t="shared" si="6"/>
        <v>4.7848292614565458E-5</v>
      </c>
      <c r="N44" s="245">
        <f t="shared" si="6"/>
        <v>9.5895568703761874E-5</v>
      </c>
      <c r="O44" s="245">
        <f t="shared" si="6"/>
        <v>1.2912267529110408E-4</v>
      </c>
      <c r="P44" s="245">
        <f t="shared" si="6"/>
        <v>1.8804541906862574E-4</v>
      </c>
      <c r="Q44" s="272">
        <f>Q33</f>
        <v>2.1544040278823093</v>
      </c>
      <c r="R44" s="226">
        <f>D44/$AV44</f>
        <v>0.46650005076201267</v>
      </c>
      <c r="S44" s="226">
        <f>E44/$AV44</f>
        <v>5.2925034228706663E-4</v>
      </c>
      <c r="T44" s="226">
        <f>F44/$AV44</f>
        <v>3.1057078261768884E-6</v>
      </c>
      <c r="U44" s="226">
        <f>G44/$AV44</f>
        <v>0.5323294188827461</v>
      </c>
      <c r="V44" s="346"/>
      <c r="W44" s="226">
        <f>I44/$AV44</f>
        <v>2.1440723000709752E-4</v>
      </c>
      <c r="X44" s="346"/>
      <c r="Y44" s="346"/>
      <c r="Z44" s="226">
        <f>L44/$AV44</f>
        <v>2.0982765163612608E-4</v>
      </c>
      <c r="AA44" s="226">
        <f>M44/$AV44</f>
        <v>2.2209526159119916E-5</v>
      </c>
      <c r="AB44" s="226">
        <f>N44/$AV44</f>
        <v>4.4511413580127435E-5</v>
      </c>
      <c r="AC44" s="226">
        <f>O44/$AV44</f>
        <v>5.9934289771091066E-5</v>
      </c>
      <c r="AD44" s="226">
        <f>P44/$AV44</f>
        <v>8.7284193974268912E-5</v>
      </c>
      <c r="AE44" s="344">
        <f>SUM(R44:AD44)</f>
        <v>0.99999999999999989</v>
      </c>
      <c r="AF44" s="164"/>
      <c r="AG44" s="236" t="s">
        <v>188</v>
      </c>
      <c r="AH44" s="346"/>
      <c r="AI44" s="245">
        <f>AI33</f>
        <v>1.0050295883689819</v>
      </c>
      <c r="AJ44" s="275">
        <f>AJ33</f>
        <v>1.1402190691813473E-3</v>
      </c>
      <c r="AK44" s="238">
        <f>AK33</f>
        <v>6.6909494501410998E-6</v>
      </c>
      <c r="AL44" s="245">
        <f>AL33</f>
        <v>1.1468526442012372</v>
      </c>
      <c r="AM44" s="346"/>
      <c r="AN44" s="273">
        <f>AN33</f>
        <v>4.6191979993437962E-4</v>
      </c>
      <c r="AO44" s="346"/>
      <c r="AP44" s="346"/>
      <c r="AQ44" s="273">
        <f t="shared" ref="AQ44:AV44" si="7">AQ33</f>
        <v>4.5205353784595604E-4</v>
      </c>
      <c r="AR44" s="284">
        <f t="shared" si="7"/>
        <v>4.7848292614565458E-5</v>
      </c>
      <c r="AS44" s="284">
        <f t="shared" si="7"/>
        <v>9.5895568703761874E-5</v>
      </c>
      <c r="AT44" s="284">
        <f t="shared" si="7"/>
        <v>1.2912267529110408E-4</v>
      </c>
      <c r="AU44" s="284">
        <f t="shared" si="7"/>
        <v>1.8804541906862574E-4</v>
      </c>
      <c r="AV44" s="272">
        <f t="shared" si="7"/>
        <v>2.1544040278823093</v>
      </c>
      <c r="AW44" s="226">
        <f>AI44/$AV44</f>
        <v>0.46650005076201267</v>
      </c>
      <c r="AX44" s="226">
        <f>AJ44/$AV44</f>
        <v>5.2925034228706663E-4</v>
      </c>
      <c r="AY44" s="226">
        <f>AK44/$AV44</f>
        <v>3.1057078261768884E-6</v>
      </c>
      <c r="AZ44" s="226">
        <f>AL44/$AV44</f>
        <v>0.5323294188827461</v>
      </c>
      <c r="BA44" s="346"/>
      <c r="BB44" s="226">
        <f>AN44/$AV44</f>
        <v>2.1440723000709752E-4</v>
      </c>
      <c r="BC44" s="346"/>
      <c r="BD44" s="346"/>
      <c r="BE44" s="226">
        <f>AQ44/$AV44</f>
        <v>2.0982765163612608E-4</v>
      </c>
      <c r="BF44" s="226">
        <f>AR44/$AV44</f>
        <v>2.2209526159119916E-5</v>
      </c>
      <c r="BG44" s="226">
        <f>AS44/$AV44</f>
        <v>4.4511413580127435E-5</v>
      </c>
      <c r="BH44" s="226">
        <f>AT44/$AV44</f>
        <v>5.9934289771091066E-5</v>
      </c>
      <c r="BI44" s="226">
        <f>AU44/$AV44</f>
        <v>8.7284193974268912E-5</v>
      </c>
      <c r="BJ44" s="344">
        <f>SUM(AW44:BI44)</f>
        <v>0.99999999999999989</v>
      </c>
    </row>
    <row r="45" spans="1:62" x14ac:dyDescent="0.25">
      <c r="B45" s="347" t="s">
        <v>189</v>
      </c>
      <c r="C45" s="236"/>
      <c r="D45" s="233">
        <f t="shared" si="6"/>
        <v>0</v>
      </c>
      <c r="E45" s="233">
        <f t="shared" si="6"/>
        <v>0</v>
      </c>
      <c r="F45" s="233">
        <f t="shared" si="6"/>
        <v>0</v>
      </c>
      <c r="G45" s="245">
        <f t="shared" si="6"/>
        <v>1.0797953173508562E-3</v>
      </c>
      <c r="H45" s="245">
        <f t="shared" si="6"/>
        <v>4.5903507596233122E-2</v>
      </c>
      <c r="I45" s="245">
        <f t="shared" si="6"/>
        <v>6.3106114202018074E-2</v>
      </c>
      <c r="J45" s="245">
        <f t="shared" si="6"/>
        <v>0.13100159141176826</v>
      </c>
      <c r="K45" s="245">
        <f t="shared" si="6"/>
        <v>3.0798975961695129E-3</v>
      </c>
      <c r="L45" s="233">
        <f t="shared" si="6"/>
        <v>0</v>
      </c>
      <c r="M45" s="233">
        <f t="shared" si="6"/>
        <v>0</v>
      </c>
      <c r="N45" s="233">
        <f t="shared" si="6"/>
        <v>0</v>
      </c>
      <c r="O45" s="233">
        <f t="shared" si="6"/>
        <v>0</v>
      </c>
      <c r="P45" s="233">
        <f t="shared" si="6"/>
        <v>0</v>
      </c>
      <c r="Q45" s="272">
        <f>Q34</f>
        <v>0.24417090612353978</v>
      </c>
      <c r="R45" s="382"/>
      <c r="S45" s="383"/>
      <c r="T45" s="383"/>
      <c r="U45" s="223">
        <f>G45/Q45</f>
        <v>4.4222931162999704E-3</v>
      </c>
      <c r="V45" s="223">
        <f>H45/Q45</f>
        <v>0.18799744951189212</v>
      </c>
      <c r="W45" s="223">
        <f>I45/Q45</f>
        <v>0.25845058776203722</v>
      </c>
      <c r="X45" s="223">
        <f>J45/Q45</f>
        <v>0.53651597355127634</v>
      </c>
      <c r="Y45" s="223">
        <f>K45/Q45</f>
        <v>1.2613696058494453E-2</v>
      </c>
      <c r="Z45" s="383"/>
      <c r="AA45" s="383"/>
      <c r="AB45" s="383"/>
      <c r="AC45" s="383"/>
      <c r="AD45" s="383"/>
      <c r="AE45" s="344">
        <f>SUM(R45:AD45)</f>
        <v>1</v>
      </c>
      <c r="AG45" s="347" t="s">
        <v>189</v>
      </c>
      <c r="AH45" s="236"/>
      <c r="AI45" s="236"/>
      <c r="AJ45" s="236"/>
      <c r="AK45" s="236"/>
      <c r="AL45" s="390">
        <f>AL34</f>
        <v>1.0797953173508562E-3</v>
      </c>
      <c r="AM45" s="309">
        <f>AM34</f>
        <v>4.5903507596233122E-2</v>
      </c>
      <c r="AN45" s="287">
        <f>AN34</f>
        <v>6.3106114202018074E-2</v>
      </c>
      <c r="AO45" s="287">
        <f>AO34</f>
        <v>0.13100159141176826</v>
      </c>
      <c r="AP45" s="393">
        <f>AP34</f>
        <v>3.0798975961695129E-3</v>
      </c>
      <c r="AQ45" s="346"/>
      <c r="AR45" s="234"/>
      <c r="AS45" s="234"/>
      <c r="AT45" s="234"/>
      <c r="AU45" s="234"/>
      <c r="AV45" s="272">
        <f>AV34</f>
        <v>0.24417090612353978</v>
      </c>
      <c r="AW45" s="382"/>
      <c r="AX45" s="383"/>
      <c r="AY45" s="383"/>
      <c r="AZ45" s="223">
        <f>AL45/AV45</f>
        <v>4.4222931162999704E-3</v>
      </c>
      <c r="BA45" s="223">
        <f>AM45/AV45</f>
        <v>0.18799744951189212</v>
      </c>
      <c r="BB45" s="223">
        <f>AN45/AV45</f>
        <v>0.25845058776203722</v>
      </c>
      <c r="BC45" s="223">
        <f>AO45/AV45</f>
        <v>0.53651597355127634</v>
      </c>
      <c r="BD45" s="223">
        <f>AP45/AV45</f>
        <v>1.2613696058494453E-2</v>
      </c>
      <c r="BE45" s="383"/>
      <c r="BF45" s="383"/>
      <c r="BG45" s="383"/>
      <c r="BH45" s="383"/>
      <c r="BI45" s="383"/>
      <c r="BJ45" s="344">
        <f>SUM(AW45:BI45)</f>
        <v>1</v>
      </c>
    </row>
    <row r="46" spans="1:62" ht="14.25" customHeight="1" x14ac:dyDescent="0.25">
      <c r="B46" s="236" t="s">
        <v>190</v>
      </c>
      <c r="C46" s="236"/>
      <c r="D46" s="233">
        <f t="shared" ref="D46:F48" si="8">AI46</f>
        <v>0</v>
      </c>
      <c r="E46" s="233">
        <f t="shared" si="8"/>
        <v>0</v>
      </c>
      <c r="F46" s="233">
        <f t="shared" si="8"/>
        <v>0</v>
      </c>
      <c r="G46" s="284">
        <f>G35</f>
        <v>1.1393352255310267</v>
      </c>
      <c r="H46" s="233">
        <f t="shared" ref="H46:P48" si="9">AM46</f>
        <v>0</v>
      </c>
      <c r="I46" s="233">
        <f t="shared" si="9"/>
        <v>0</v>
      </c>
      <c r="J46" s="233">
        <f t="shared" si="9"/>
        <v>0</v>
      </c>
      <c r="K46" s="233">
        <f t="shared" si="9"/>
        <v>0</v>
      </c>
      <c r="L46" s="233">
        <f t="shared" si="9"/>
        <v>0</v>
      </c>
      <c r="M46" s="233">
        <f t="shared" si="9"/>
        <v>0</v>
      </c>
      <c r="N46" s="233">
        <f t="shared" si="9"/>
        <v>0</v>
      </c>
      <c r="O46" s="233">
        <f t="shared" si="9"/>
        <v>0</v>
      </c>
      <c r="P46" s="233">
        <f t="shared" si="9"/>
        <v>0</v>
      </c>
      <c r="Q46" s="272">
        <f>Q35</f>
        <v>1.1393352255310267</v>
      </c>
      <c r="R46" s="384"/>
      <c r="S46" s="383"/>
      <c r="T46" s="383"/>
      <c r="U46" s="223">
        <f>G46/Q46</f>
        <v>1</v>
      </c>
      <c r="V46" s="383"/>
      <c r="W46" s="383"/>
      <c r="X46" s="383"/>
      <c r="Y46" s="383"/>
      <c r="Z46" s="383"/>
      <c r="AA46" s="383"/>
      <c r="AB46" s="383"/>
      <c r="AC46" s="383"/>
      <c r="AD46" s="383"/>
      <c r="AE46" s="344">
        <f>SUM(R46:AD46)</f>
        <v>1</v>
      </c>
      <c r="AG46" s="236" t="s">
        <v>190</v>
      </c>
      <c r="AH46" s="236"/>
      <c r="AI46" s="236"/>
      <c r="AJ46" s="236"/>
      <c r="AK46" s="236"/>
      <c r="AL46" s="245">
        <f>AL35</f>
        <v>1.1356601830628754</v>
      </c>
      <c r="AM46" s="233"/>
      <c r="AN46" s="346"/>
      <c r="AO46" s="346"/>
      <c r="AP46" s="346"/>
      <c r="AQ46" s="346"/>
      <c r="AR46" s="234"/>
      <c r="AS46" s="234"/>
      <c r="AT46" s="234"/>
      <c r="AU46" s="234"/>
      <c r="AV46" s="272">
        <f>AV35</f>
        <v>1.1356601830628754</v>
      </c>
      <c r="AW46" s="384"/>
      <c r="AX46" s="383"/>
      <c r="AY46" s="383"/>
      <c r="AZ46" s="223">
        <f>AL46/AV46</f>
        <v>1</v>
      </c>
      <c r="BA46" s="383"/>
      <c r="BB46" s="383"/>
      <c r="BC46" s="383"/>
      <c r="BD46" s="383"/>
      <c r="BE46" s="383"/>
      <c r="BF46" s="383"/>
      <c r="BG46" s="383"/>
      <c r="BH46" s="383"/>
      <c r="BI46" s="383"/>
      <c r="BJ46" s="344">
        <f>SUM(AW46:BI46)</f>
        <v>1</v>
      </c>
    </row>
    <row r="47" spans="1:62" x14ac:dyDescent="0.25">
      <c r="B47" s="348" t="s">
        <v>191</v>
      </c>
      <c r="C47" s="236"/>
      <c r="D47" s="245">
        <f t="shared" si="8"/>
        <v>5.0308023689819509E-3</v>
      </c>
      <c r="E47" s="245">
        <f t="shared" si="8"/>
        <v>1.1392190691813472E-3</v>
      </c>
      <c r="F47" s="245">
        <f t="shared" si="8"/>
        <v>6.4769494501410998E-6</v>
      </c>
      <c r="G47" s="245">
        <f>G36+G37</f>
        <v>8.5972139875613394E-3</v>
      </c>
      <c r="H47" s="245">
        <f t="shared" si="9"/>
        <v>4.5903507596233122E-2</v>
      </c>
      <c r="I47" s="245">
        <f t="shared" si="9"/>
        <v>6.3568034001952448E-2</v>
      </c>
      <c r="J47" s="245">
        <f t="shared" si="9"/>
        <v>0.13100159141176826</v>
      </c>
      <c r="K47" s="245">
        <f t="shared" si="9"/>
        <v>3.0798975961695129E-3</v>
      </c>
      <c r="L47" s="245">
        <f t="shared" si="9"/>
        <v>4.5205353784595604E-4</v>
      </c>
      <c r="M47" s="245">
        <f t="shared" si="9"/>
        <v>4.7848292614565458E-5</v>
      </c>
      <c r="N47" s="245">
        <f t="shared" si="9"/>
        <v>9.5895568703761874E-5</v>
      </c>
      <c r="O47" s="245">
        <f t="shared" si="9"/>
        <v>1.2912267529110408E-4</v>
      </c>
      <c r="P47" s="245">
        <f t="shared" si="9"/>
        <v>1.8804541906862574E-4</v>
      </c>
      <c r="Q47" s="272">
        <f>Q36+Q37</f>
        <v>0.25923970847482214</v>
      </c>
      <c r="R47" s="385">
        <f t="shared" ref="R47:AD47" si="10">D47/$AV47</f>
        <v>1.913472846593205E-2</v>
      </c>
      <c r="S47" s="385">
        <f t="shared" si="10"/>
        <v>4.3330359559340401E-3</v>
      </c>
      <c r="T47" s="385">
        <f t="shared" si="10"/>
        <v>2.4635169487108607E-5</v>
      </c>
      <c r="U47" s="385">
        <f t="shared" si="10"/>
        <v>3.2699625854869151E-2</v>
      </c>
      <c r="V47" s="385">
        <f t="shared" si="10"/>
        <v>0.17459464496227389</v>
      </c>
      <c r="W47" s="385">
        <f t="shared" si="10"/>
        <v>0.24178192274856583</v>
      </c>
      <c r="X47" s="371">
        <f t="shared" si="10"/>
        <v>0.4982664188369661</v>
      </c>
      <c r="Y47" s="371">
        <f t="shared" si="10"/>
        <v>1.1714434375108706E-2</v>
      </c>
      <c r="Z47" s="371">
        <f t="shared" si="10"/>
        <v>1.7193920699565728E-3</v>
      </c>
      <c r="AA47" s="371">
        <f t="shared" si="10"/>
        <v>1.8199166247976633E-4</v>
      </c>
      <c r="AB47" s="371">
        <f t="shared" si="10"/>
        <v>3.6474016143948397E-4</v>
      </c>
      <c r="AC47" s="371">
        <f t="shared" si="10"/>
        <v>4.9111993460994861E-4</v>
      </c>
      <c r="AD47" s="385">
        <f t="shared" si="10"/>
        <v>7.1523342982536954E-4</v>
      </c>
      <c r="AE47" s="344">
        <f>SUM(R47:AD47)</f>
        <v>0.98602192362744789</v>
      </c>
      <c r="AG47" s="348" t="s">
        <v>191</v>
      </c>
      <c r="AH47" s="236"/>
      <c r="AI47" s="251">
        <f t="shared" ref="AI47:AV47" si="11">AI36+AI37</f>
        <v>5.0308023689819509E-3</v>
      </c>
      <c r="AJ47" s="273">
        <f t="shared" si="11"/>
        <v>1.1392190691813472E-3</v>
      </c>
      <c r="AK47" s="275">
        <f t="shared" si="11"/>
        <v>6.4769494501410998E-6</v>
      </c>
      <c r="AL47" s="251">
        <f t="shared" si="11"/>
        <v>1.2272256455712727E-2</v>
      </c>
      <c r="AM47" s="284">
        <f t="shared" si="11"/>
        <v>4.5903507596233122E-2</v>
      </c>
      <c r="AN47" s="273">
        <f t="shared" si="11"/>
        <v>6.3568034001952448E-2</v>
      </c>
      <c r="AO47" s="275">
        <f t="shared" si="11"/>
        <v>0.13100159141176826</v>
      </c>
      <c r="AP47" s="251">
        <f t="shared" si="11"/>
        <v>3.0798975961695129E-3</v>
      </c>
      <c r="AQ47" s="273">
        <f t="shared" si="11"/>
        <v>4.5205353784595604E-4</v>
      </c>
      <c r="AR47" s="284">
        <f t="shared" si="11"/>
        <v>4.7848292614565458E-5</v>
      </c>
      <c r="AS47" s="284">
        <f t="shared" si="11"/>
        <v>9.5895568703761874E-5</v>
      </c>
      <c r="AT47" s="284">
        <f t="shared" si="11"/>
        <v>1.2912267529110408E-4</v>
      </c>
      <c r="AU47" s="284">
        <f t="shared" si="11"/>
        <v>1.8804541906862574E-4</v>
      </c>
      <c r="AV47" s="272">
        <f t="shared" si="11"/>
        <v>0.26291475094297351</v>
      </c>
      <c r="AW47" s="546">
        <f t="shared" ref="AW47:BI47" si="12">AI47/$AV47</f>
        <v>1.913472846593205E-2</v>
      </c>
      <c r="AX47" s="545">
        <f t="shared" si="12"/>
        <v>4.3330359559340401E-3</v>
      </c>
      <c r="AY47" s="542">
        <f t="shared" si="12"/>
        <v>2.4635169487108607E-5</v>
      </c>
      <c r="AZ47" s="542">
        <f t="shared" si="12"/>
        <v>4.6677702227421208E-2</v>
      </c>
      <c r="BA47" s="385">
        <f t="shared" si="12"/>
        <v>0.17459464496227389</v>
      </c>
      <c r="BB47" s="385">
        <f t="shared" si="12"/>
        <v>0.24178192274856583</v>
      </c>
      <c r="BC47" s="371">
        <f t="shared" si="12"/>
        <v>0.4982664188369661</v>
      </c>
      <c r="BD47" s="371">
        <f t="shared" si="12"/>
        <v>1.1714434375108706E-2</v>
      </c>
      <c r="BE47" s="371">
        <f t="shared" si="12"/>
        <v>1.7193920699565728E-3</v>
      </c>
      <c r="BF47" s="371">
        <f t="shared" si="12"/>
        <v>1.8199166247976633E-4</v>
      </c>
      <c r="BG47" s="371">
        <f t="shared" si="12"/>
        <v>3.6474016143948397E-4</v>
      </c>
      <c r="BH47" s="371">
        <f t="shared" si="12"/>
        <v>4.9111993460994861E-4</v>
      </c>
      <c r="BI47" s="542">
        <f t="shared" si="12"/>
        <v>7.1523342982536954E-4</v>
      </c>
      <c r="BJ47" s="344">
        <f>SUM(AW47:BI47)</f>
        <v>1</v>
      </c>
    </row>
    <row r="48" spans="1:62" x14ac:dyDescent="0.25">
      <c r="B48" s="349" t="s">
        <v>185</v>
      </c>
      <c r="C48" s="236"/>
      <c r="D48" s="245">
        <f t="shared" si="8"/>
        <v>0.99999878599999992</v>
      </c>
      <c r="E48" s="245">
        <f t="shared" si="8"/>
        <v>9.9999999999999995E-7</v>
      </c>
      <c r="F48" s="245">
        <f t="shared" si="8"/>
        <v>2.1400000000000001E-7</v>
      </c>
      <c r="G48" s="233">
        <f>AL48</f>
        <v>0</v>
      </c>
      <c r="H48" s="233">
        <f t="shared" si="9"/>
        <v>0</v>
      </c>
      <c r="I48" s="233">
        <f t="shared" si="9"/>
        <v>0</v>
      </c>
      <c r="J48" s="233">
        <f t="shared" si="9"/>
        <v>0</v>
      </c>
      <c r="K48" s="233">
        <f t="shared" si="9"/>
        <v>0</v>
      </c>
      <c r="L48" s="233">
        <f t="shared" si="9"/>
        <v>0</v>
      </c>
      <c r="M48" s="233">
        <f t="shared" si="9"/>
        <v>0</v>
      </c>
      <c r="N48" s="233">
        <f t="shared" si="9"/>
        <v>0</v>
      </c>
      <c r="O48" s="233">
        <f t="shared" si="9"/>
        <v>0</v>
      </c>
      <c r="P48" s="233">
        <f t="shared" si="9"/>
        <v>0</v>
      </c>
      <c r="Q48" s="271">
        <f>Q38</f>
        <v>1</v>
      </c>
      <c r="R48" s="385">
        <f>D48/$AV48</f>
        <v>0.99999878599999992</v>
      </c>
      <c r="S48" s="385">
        <f>E48/$AV48</f>
        <v>9.9999999999999995E-7</v>
      </c>
      <c r="T48" s="385">
        <f>F48/$AV48</f>
        <v>2.1400000000000001E-7</v>
      </c>
      <c r="U48" s="384"/>
      <c r="V48" s="384"/>
      <c r="W48" s="384"/>
      <c r="X48" s="306"/>
      <c r="Y48" s="306"/>
      <c r="Z48" s="306"/>
      <c r="AA48" s="306"/>
      <c r="AB48" s="306"/>
      <c r="AC48" s="386"/>
      <c r="AD48" s="306"/>
      <c r="AE48" s="344">
        <f>SUM(R48:AD48)</f>
        <v>1</v>
      </c>
      <c r="AG48" s="349" t="s">
        <v>185</v>
      </c>
      <c r="AH48" s="236"/>
      <c r="AI48" s="251">
        <f>AI38</f>
        <v>0.99999878599999992</v>
      </c>
      <c r="AJ48" s="245">
        <f>AJ38</f>
        <v>9.9999999999999995E-7</v>
      </c>
      <c r="AK48" s="238">
        <f>AK38</f>
        <v>2.1400000000000001E-7</v>
      </c>
      <c r="AL48" s="346"/>
      <c r="AM48" s="346"/>
      <c r="AN48" s="346"/>
      <c r="AO48" s="346"/>
      <c r="AP48" s="346"/>
      <c r="AQ48" s="346"/>
      <c r="AR48" s="346"/>
      <c r="AS48" s="346"/>
      <c r="AT48" s="346"/>
      <c r="AU48" s="346"/>
      <c r="AV48" s="271">
        <f>AV38</f>
        <v>1</v>
      </c>
      <c r="AW48" s="385">
        <f>AI48/$AV48</f>
        <v>0.99999878599999992</v>
      </c>
      <c r="AX48" s="385">
        <f>AJ48/$AV48</f>
        <v>9.9999999999999995E-7</v>
      </c>
      <c r="AY48" s="385">
        <f>AK48/$AV48</f>
        <v>2.1400000000000001E-7</v>
      </c>
      <c r="AZ48" s="384"/>
      <c r="BA48" s="384"/>
      <c r="BB48" s="384"/>
      <c r="BC48" s="306"/>
      <c r="BD48" s="306"/>
      <c r="BE48" s="306"/>
      <c r="BF48" s="306"/>
      <c r="BG48" s="306"/>
      <c r="BH48" s="386"/>
      <c r="BI48" s="306"/>
      <c r="BJ48" s="344">
        <f>SUM(AW48:BI48)</f>
        <v>1</v>
      </c>
    </row>
    <row r="49" spans="2:62" x14ac:dyDescent="0.25">
      <c r="B49" s="190"/>
      <c r="C49" s="190"/>
      <c r="D49" s="164"/>
      <c r="E49" s="164"/>
      <c r="F49" s="164"/>
      <c r="G49" s="164"/>
      <c r="H49" s="164"/>
      <c r="I49" s="164"/>
      <c r="J49" s="164"/>
      <c r="K49" s="164"/>
      <c r="L49" s="164"/>
      <c r="M49" s="164"/>
      <c r="N49" s="164"/>
      <c r="O49" s="164"/>
      <c r="P49" s="389" t="s">
        <v>186</v>
      </c>
      <c r="Q49" s="451">
        <f>Q44+Q45-Q46-Q47-Q48</f>
        <v>0</v>
      </c>
      <c r="R49" s="190"/>
      <c r="S49" s="190"/>
      <c r="T49" s="190"/>
      <c r="U49" s="370"/>
      <c r="V49" s="190"/>
      <c r="W49" s="190"/>
      <c r="X49" s="190"/>
      <c r="Y49" s="190"/>
      <c r="Z49" s="190"/>
      <c r="AA49" s="190"/>
      <c r="AB49" s="190"/>
      <c r="AC49" s="190"/>
      <c r="AD49" s="190"/>
      <c r="AF49" s="205"/>
      <c r="AG49" s="190"/>
      <c r="AH49" s="190"/>
      <c r="AI49" s="164"/>
      <c r="AJ49" s="164"/>
      <c r="AK49" s="164"/>
      <c r="AL49" s="164"/>
      <c r="AM49" s="164"/>
      <c r="AN49" s="164"/>
      <c r="AO49" s="164"/>
      <c r="AP49" s="164"/>
      <c r="AQ49" s="164"/>
      <c r="AR49" s="164"/>
      <c r="AS49" s="164"/>
      <c r="AT49" s="164"/>
      <c r="AU49" s="389" t="s">
        <v>186</v>
      </c>
      <c r="AV49" s="451">
        <f>AV44+AV45-AV46-AV47-AV48</f>
        <v>0</v>
      </c>
      <c r="AW49" s="190"/>
      <c r="AX49" s="190"/>
      <c r="AY49" s="190"/>
      <c r="AZ49" s="370"/>
      <c r="BA49" s="190"/>
      <c r="BB49" s="190"/>
      <c r="BC49" s="190"/>
      <c r="BD49" s="190"/>
      <c r="BE49" s="190"/>
      <c r="BF49" s="190"/>
      <c r="BG49" s="190"/>
      <c r="BH49" s="190"/>
      <c r="BI49" s="190"/>
    </row>
    <row r="50" spans="2:62" x14ac:dyDescent="0.25">
      <c r="B50" s="190"/>
      <c r="C50" s="190"/>
      <c r="D50" s="199"/>
      <c r="E50" s="199"/>
      <c r="F50" s="199"/>
      <c r="G50" s="199"/>
      <c r="H50" s="199"/>
      <c r="I50" s="199"/>
      <c r="J50" s="199"/>
      <c r="K50" s="199"/>
      <c r="L50" s="199"/>
      <c r="M50" s="199"/>
      <c r="N50" s="199"/>
      <c r="O50" s="199"/>
      <c r="AF50" s="205"/>
      <c r="AG50" s="190"/>
      <c r="AH50" s="190"/>
      <c r="AI50" s="199"/>
      <c r="AJ50" s="199"/>
      <c r="AK50" s="199"/>
      <c r="AL50" s="199"/>
      <c r="AM50" s="199"/>
      <c r="AN50" s="199"/>
      <c r="AO50" s="199"/>
      <c r="AP50" s="199"/>
      <c r="AQ50" s="199"/>
      <c r="AR50" s="199"/>
      <c r="AS50" s="199"/>
      <c r="AT50" s="199"/>
    </row>
    <row r="51" spans="2:62" x14ac:dyDescent="0.25">
      <c r="B51" s="190"/>
      <c r="C51" s="190"/>
      <c r="D51" s="199"/>
      <c r="E51" s="199"/>
      <c r="F51" s="199"/>
      <c r="G51" s="199"/>
      <c r="H51" s="199"/>
      <c r="I51" s="199"/>
      <c r="J51" s="199"/>
      <c r="K51" s="199"/>
      <c r="L51" s="199"/>
      <c r="M51" s="199"/>
      <c r="N51" s="199"/>
      <c r="O51" s="199"/>
      <c r="AG51" s="190"/>
      <c r="AH51" s="190"/>
      <c r="AI51" s="199"/>
      <c r="AJ51" s="199"/>
      <c r="AK51" s="199"/>
      <c r="AL51" s="199"/>
      <c r="AM51" s="199"/>
      <c r="AN51" s="199"/>
      <c r="AO51" s="199"/>
      <c r="AP51" s="199"/>
      <c r="AQ51" s="199"/>
      <c r="AR51" s="199"/>
      <c r="AS51" s="199"/>
      <c r="AT51" s="199"/>
    </row>
    <row r="52" spans="2:62" x14ac:dyDescent="0.25">
      <c r="B52" s="358" t="s">
        <v>175</v>
      </c>
      <c r="C52" s="218"/>
      <c r="D52" s="352"/>
      <c r="E52" s="352"/>
      <c r="F52" s="352"/>
      <c r="G52" s="352"/>
      <c r="H52" s="352" t="s">
        <v>192</v>
      </c>
      <c r="I52" s="352"/>
      <c r="J52" s="352"/>
      <c r="K52" s="352"/>
      <c r="L52" s="352"/>
      <c r="M52" s="352"/>
      <c r="N52" s="352"/>
      <c r="O52" s="352"/>
      <c r="P52" s="391"/>
      <c r="Q52" s="791" t="s">
        <v>177</v>
      </c>
      <c r="R52" s="792" t="s">
        <v>193</v>
      </c>
      <c r="S52" s="793"/>
      <c r="T52" s="793"/>
      <c r="U52" s="793"/>
      <c r="V52" s="793"/>
      <c r="W52" s="793"/>
      <c r="X52" s="793"/>
      <c r="Y52" s="793"/>
      <c r="Z52" s="793"/>
      <c r="AA52" s="793"/>
      <c r="AB52" s="793"/>
      <c r="AC52" s="793"/>
      <c r="AD52" s="794"/>
      <c r="AE52" s="795" t="s">
        <v>177</v>
      </c>
      <c r="AG52" s="358" t="s">
        <v>178</v>
      </c>
      <c r="AH52" s="218"/>
      <c r="AI52" s="352"/>
      <c r="AJ52" s="352"/>
      <c r="AK52" s="352"/>
      <c r="AL52" s="352"/>
      <c r="AM52" s="352" t="s">
        <v>192</v>
      </c>
      <c r="AN52" s="352"/>
      <c r="AO52" s="352"/>
      <c r="AP52" s="352"/>
      <c r="AQ52" s="352"/>
      <c r="AR52" s="352"/>
      <c r="AS52" s="352"/>
      <c r="AT52" s="352"/>
      <c r="AU52" s="391"/>
      <c r="AV52" s="791" t="s">
        <v>177</v>
      </c>
      <c r="AW52" s="792" t="s">
        <v>193</v>
      </c>
      <c r="AX52" s="793"/>
      <c r="AY52" s="793"/>
      <c r="AZ52" s="793"/>
      <c r="BA52" s="793"/>
      <c r="BB52" s="793"/>
      <c r="BC52" s="793"/>
      <c r="BD52" s="793"/>
      <c r="BE52" s="793"/>
      <c r="BF52" s="793"/>
      <c r="BG52" s="793"/>
      <c r="BH52" s="793"/>
      <c r="BI52" s="794"/>
      <c r="BJ52" s="795" t="s">
        <v>177</v>
      </c>
    </row>
    <row r="53" spans="2:62" x14ac:dyDescent="0.25">
      <c r="B53" s="358" t="s">
        <v>187</v>
      </c>
      <c r="C53" s="218"/>
      <c r="D53" s="282" t="s">
        <v>45</v>
      </c>
      <c r="E53" s="282" t="s">
        <v>46</v>
      </c>
      <c r="F53" s="282" t="s">
        <v>47</v>
      </c>
      <c r="G53" s="282" t="s">
        <v>66</v>
      </c>
      <c r="H53" s="282" t="s">
        <v>67</v>
      </c>
      <c r="I53" s="282" t="s">
        <v>69</v>
      </c>
      <c r="J53" s="282" t="s">
        <v>68</v>
      </c>
      <c r="K53" s="282" t="s">
        <v>70</v>
      </c>
      <c r="L53" s="282" t="s">
        <v>71</v>
      </c>
      <c r="M53" s="282" t="s">
        <v>72</v>
      </c>
      <c r="N53" s="282" t="s">
        <v>73</v>
      </c>
      <c r="O53" s="282" t="s">
        <v>74</v>
      </c>
      <c r="P53" s="392" t="s">
        <v>75</v>
      </c>
      <c r="Q53" s="791"/>
      <c r="R53" s="220" t="s">
        <v>45</v>
      </c>
      <c r="S53" s="219" t="s">
        <v>46</v>
      </c>
      <c r="T53" s="219" t="s">
        <v>47</v>
      </c>
      <c r="U53" s="219" t="s">
        <v>66</v>
      </c>
      <c r="V53" s="219" t="s">
        <v>67</v>
      </c>
      <c r="W53" s="219" t="s">
        <v>69</v>
      </c>
      <c r="X53" s="219" t="s">
        <v>68</v>
      </c>
      <c r="Y53" s="219" t="s">
        <v>70</v>
      </c>
      <c r="Z53" s="219" t="s">
        <v>71</v>
      </c>
      <c r="AA53" s="219" t="s">
        <v>72</v>
      </c>
      <c r="AB53" s="219" t="s">
        <v>73</v>
      </c>
      <c r="AC53" s="219" t="s">
        <v>74</v>
      </c>
      <c r="AD53" s="219" t="s">
        <v>75</v>
      </c>
      <c r="AE53" s="795"/>
      <c r="AG53" s="358" t="s">
        <v>187</v>
      </c>
      <c r="AH53" s="218"/>
      <c r="AI53" s="282" t="s">
        <v>45</v>
      </c>
      <c r="AJ53" s="282" t="s">
        <v>46</v>
      </c>
      <c r="AK53" s="282" t="s">
        <v>47</v>
      </c>
      <c r="AL53" s="282" t="s">
        <v>66</v>
      </c>
      <c r="AM53" s="282" t="s">
        <v>67</v>
      </c>
      <c r="AN53" s="282" t="s">
        <v>69</v>
      </c>
      <c r="AO53" s="282" t="s">
        <v>68</v>
      </c>
      <c r="AP53" s="282" t="s">
        <v>70</v>
      </c>
      <c r="AQ53" s="282" t="s">
        <v>71</v>
      </c>
      <c r="AR53" s="282" t="s">
        <v>72</v>
      </c>
      <c r="AS53" s="282" t="s">
        <v>73</v>
      </c>
      <c r="AT53" s="282" t="s">
        <v>74</v>
      </c>
      <c r="AU53" s="392" t="s">
        <v>75</v>
      </c>
      <c r="AV53" s="791"/>
      <c r="AW53" s="220" t="s">
        <v>45</v>
      </c>
      <c r="AX53" s="219" t="s">
        <v>46</v>
      </c>
      <c r="AY53" s="219" t="s">
        <v>47</v>
      </c>
      <c r="AZ53" s="219" t="s">
        <v>66</v>
      </c>
      <c r="BA53" s="219" t="s">
        <v>67</v>
      </c>
      <c r="BB53" s="219" t="s">
        <v>69</v>
      </c>
      <c r="BC53" s="219" t="s">
        <v>68</v>
      </c>
      <c r="BD53" s="219" t="s">
        <v>70</v>
      </c>
      <c r="BE53" s="219" t="s">
        <v>71</v>
      </c>
      <c r="BF53" s="219" t="s">
        <v>72</v>
      </c>
      <c r="BG53" s="219" t="s">
        <v>73</v>
      </c>
      <c r="BH53" s="219" t="s">
        <v>74</v>
      </c>
      <c r="BI53" s="219" t="s">
        <v>75</v>
      </c>
      <c r="BJ53" s="795"/>
    </row>
    <row r="54" spans="2:62" x14ac:dyDescent="0.25">
      <c r="B54" s="218" t="s">
        <v>180</v>
      </c>
      <c r="C54" s="218"/>
      <c r="D54" s="245">
        <f t="shared" ref="D54:P58" si="13">AI54</f>
        <v>3.5784642907157854E-2</v>
      </c>
      <c r="E54" s="245">
        <f t="shared" si="13"/>
        <v>4.2259291335965284E-5</v>
      </c>
      <c r="F54" s="245">
        <f t="shared" si="13"/>
        <v>6.189019933531681E-7</v>
      </c>
      <c r="G54" s="245">
        <f t="shared" si="13"/>
        <v>7.1680978299263551E-2</v>
      </c>
      <c r="H54" s="233">
        <f t="shared" si="13"/>
        <v>0</v>
      </c>
      <c r="I54" s="245">
        <f t="shared" si="13"/>
        <v>1.1525520233903378E-5</v>
      </c>
      <c r="J54" s="233">
        <f t="shared" si="13"/>
        <v>0</v>
      </c>
      <c r="K54" s="233">
        <f t="shared" si="13"/>
        <v>0</v>
      </c>
      <c r="L54" s="245">
        <f t="shared" si="13"/>
        <v>8.0947898262325378E-6</v>
      </c>
      <c r="M54" s="245">
        <f t="shared" si="13"/>
        <v>5.2451430122079122E-7</v>
      </c>
      <c r="N54" s="245">
        <f t="shared" si="13"/>
        <v>4.17124054266745E-6</v>
      </c>
      <c r="O54" s="245">
        <f t="shared" si="13"/>
        <v>2.6970230447636412E-6</v>
      </c>
      <c r="P54" s="245">
        <f t="shared" si="13"/>
        <v>6.071112329408266E-6</v>
      </c>
      <c r="Q54" s="378">
        <f>SUM(D54:P54)</f>
        <v>0.10754158360002893</v>
      </c>
      <c r="R54" s="265">
        <f t="shared" ref="R54:S58" si="14">D54/$AV54</f>
        <v>0.33275168273743211</v>
      </c>
      <c r="S54" s="265">
        <f t="shared" si="14"/>
        <v>3.9295768131085917E-4</v>
      </c>
      <c r="T54" s="265">
        <f>F54/Q54</f>
        <v>5.7550016713070018E-6</v>
      </c>
      <c r="U54" s="265">
        <f>G54/Q54</f>
        <v>0.66654196357997719</v>
      </c>
      <c r="V54" s="288">
        <f t="shared" ref="V54:AD54" si="15">H54/$AV54</f>
        <v>0</v>
      </c>
      <c r="W54" s="265">
        <f t="shared" si="15"/>
        <v>1.0717268472416541E-4</v>
      </c>
      <c r="X54" s="288">
        <f t="shared" si="15"/>
        <v>0</v>
      </c>
      <c r="Y54" s="288">
        <f t="shared" si="15"/>
        <v>0</v>
      </c>
      <c r="Z54" s="265">
        <f t="shared" si="15"/>
        <v>7.5271253735102717E-5</v>
      </c>
      <c r="AA54" s="265">
        <f t="shared" si="15"/>
        <v>4.877316138207306E-6</v>
      </c>
      <c r="AB54" s="265">
        <f t="shared" si="15"/>
        <v>3.8787233766067843E-5</v>
      </c>
      <c r="AC54" s="265">
        <f t="shared" si="15"/>
        <v>2.507888534350089E-5</v>
      </c>
      <c r="AD54" s="265">
        <f t="shared" si="15"/>
        <v>5.6453625901475319E-5</v>
      </c>
      <c r="AE54" s="344">
        <f>SUM(R54:AD54)</f>
        <v>0.99999999999999989</v>
      </c>
      <c r="AG54" s="218" t="s">
        <v>180</v>
      </c>
      <c r="AH54" s="218"/>
      <c r="AI54" s="245">
        <f>AI44/MolarMassOfSi</f>
        <v>3.5784642907157854E-2</v>
      </c>
      <c r="AJ54" s="275">
        <f>AJ44/AlMolarMass</f>
        <v>4.2259291335965284E-5</v>
      </c>
      <c r="AK54" s="238">
        <f>AK44/BMolarMass</f>
        <v>6.189019933531681E-7</v>
      </c>
      <c r="AL54" s="245">
        <f>AL44/OMolarMass</f>
        <v>7.1680978299263551E-2</v>
      </c>
      <c r="AM54" s="276"/>
      <c r="AN54" s="284">
        <f>AN44/CaMolarMass</f>
        <v>1.1525520233903378E-5</v>
      </c>
      <c r="AO54" s="276"/>
      <c r="AP54" s="276"/>
      <c r="AQ54" s="245">
        <f>AQ44/FeMolarMass</f>
        <v>8.0947898262325378E-6</v>
      </c>
      <c r="AR54" s="245">
        <f>AR44/ZrMolarMass</f>
        <v>5.2451430122079122E-7</v>
      </c>
      <c r="AS54" s="245">
        <f>AS44/NaMolarMass</f>
        <v>4.17124054266745E-6</v>
      </c>
      <c r="AT54" s="245">
        <f>AT44/TiMolarMass</f>
        <v>2.6970230447636412E-6</v>
      </c>
      <c r="AU54" s="245">
        <f>AU44/PMolarMass</f>
        <v>6.071112329408266E-6</v>
      </c>
      <c r="AV54" s="378">
        <f>SUM(AI54:AU54)</f>
        <v>0.10754158360002893</v>
      </c>
      <c r="AW54" s="265">
        <f t="shared" ref="AW54:AX58" si="16">AI54/$AV54</f>
        <v>0.33275168273743211</v>
      </c>
      <c r="AX54" s="265">
        <f t="shared" si="16"/>
        <v>3.9295768131085917E-4</v>
      </c>
      <c r="AY54" s="265">
        <f>AK54/AV54</f>
        <v>5.7550016713070018E-6</v>
      </c>
      <c r="AZ54" s="265">
        <f>AL54/AV54</f>
        <v>0.66654196357997719</v>
      </c>
      <c r="BA54" s="288">
        <f t="shared" ref="BA54:BI54" si="17">AM54/$AV54</f>
        <v>0</v>
      </c>
      <c r="BB54" s="265">
        <f t="shared" si="17"/>
        <v>1.0717268472416541E-4</v>
      </c>
      <c r="BC54" s="288">
        <f t="shared" si="17"/>
        <v>0</v>
      </c>
      <c r="BD54" s="288">
        <f t="shared" si="17"/>
        <v>0</v>
      </c>
      <c r="BE54" s="265">
        <f t="shared" si="17"/>
        <v>7.5271253735102717E-5</v>
      </c>
      <c r="BF54" s="265">
        <f t="shared" si="17"/>
        <v>4.877316138207306E-6</v>
      </c>
      <c r="BG54" s="265">
        <f t="shared" si="17"/>
        <v>3.8787233766067843E-5</v>
      </c>
      <c r="BH54" s="265">
        <f t="shared" si="17"/>
        <v>2.507888534350089E-5</v>
      </c>
      <c r="BI54" s="265">
        <f t="shared" si="17"/>
        <v>5.6453625901475319E-5</v>
      </c>
      <c r="BJ54" s="344">
        <f>SUM(AW54:BI54)</f>
        <v>0.99999999999999989</v>
      </c>
    </row>
    <row r="55" spans="2:62" x14ac:dyDescent="0.25">
      <c r="B55" s="343" t="s">
        <v>189</v>
      </c>
      <c r="C55" s="221"/>
      <c r="D55" s="233">
        <f t="shared" si="13"/>
        <v>0</v>
      </c>
      <c r="E55" s="233">
        <f t="shared" si="13"/>
        <v>0</v>
      </c>
      <c r="F55" s="233">
        <f t="shared" si="13"/>
        <v>0</v>
      </c>
      <c r="G55" s="245">
        <f t="shared" si="13"/>
        <v>6.7489738199611008E-5</v>
      </c>
      <c r="H55" s="245">
        <f t="shared" si="13"/>
        <v>1.8886446244078634E-3</v>
      </c>
      <c r="I55" s="245">
        <f t="shared" si="13"/>
        <v>1.5745824193327529E-3</v>
      </c>
      <c r="J55" s="245">
        <f t="shared" si="13"/>
        <v>6.8954012659891498E-3</v>
      </c>
      <c r="K55" s="245">
        <f t="shared" si="13"/>
        <v>3.4642218302379399E-5</v>
      </c>
      <c r="L55" s="233">
        <f t="shared" si="13"/>
        <v>0</v>
      </c>
      <c r="M55" s="233">
        <f t="shared" si="13"/>
        <v>0</v>
      </c>
      <c r="N55" s="233">
        <f t="shared" si="13"/>
        <v>0</v>
      </c>
      <c r="O55" s="233">
        <f t="shared" si="13"/>
        <v>0</v>
      </c>
      <c r="P55" s="233">
        <f t="shared" si="13"/>
        <v>0</v>
      </c>
      <c r="Q55" s="272">
        <f>SUM(D55:P55)</f>
        <v>1.0460760266231757E-2</v>
      </c>
      <c r="R55" s="241">
        <f t="shared" si="14"/>
        <v>0</v>
      </c>
      <c r="S55" s="241">
        <f t="shared" si="14"/>
        <v>0</v>
      </c>
      <c r="T55" s="241">
        <f t="shared" ref="T55:Y58" si="18">F55/$AV55</f>
        <v>0</v>
      </c>
      <c r="U55" s="450">
        <f t="shared" si="18"/>
        <v>6.4517048935222952E-3</v>
      </c>
      <c r="V55" s="450">
        <f t="shared" si="18"/>
        <v>0.18054563686968073</v>
      </c>
      <c r="W55" s="369">
        <f t="shared" si="18"/>
        <v>0.15052275162213991</v>
      </c>
      <c r="X55" s="369">
        <f t="shared" si="18"/>
        <v>0.65916827176014203</v>
      </c>
      <c r="Y55" s="450">
        <f t="shared" si="18"/>
        <v>3.3116348545150671E-3</v>
      </c>
      <c r="Z55" s="241"/>
      <c r="AA55" s="241"/>
      <c r="AB55" s="241"/>
      <c r="AC55" s="241"/>
      <c r="AD55" s="241"/>
      <c r="AE55" s="344">
        <f>SUM(R55:AD55)</f>
        <v>1</v>
      </c>
      <c r="AG55" s="343" t="s">
        <v>189</v>
      </c>
      <c r="AH55" s="221"/>
      <c r="AI55" s="233"/>
      <c r="AJ55" s="285"/>
      <c r="AK55" s="286"/>
      <c r="AL55" s="390">
        <f>AL45/OMolarMass</f>
        <v>6.7489738199611008E-5</v>
      </c>
      <c r="AM55" s="287">
        <f>AM45/MgMolarMass</f>
        <v>1.8886446244078634E-3</v>
      </c>
      <c r="AN55" s="284">
        <f>AN45/CaMolarMass</f>
        <v>1.5745824193327529E-3</v>
      </c>
      <c r="AO55" s="251">
        <f>AO45/FMolarMass</f>
        <v>6.8954012659891498E-3</v>
      </c>
      <c r="AP55" s="394">
        <f>AP45/YMolarMass</f>
        <v>3.4642218302379399E-5</v>
      </c>
      <c r="AQ55" s="233"/>
      <c r="AR55" s="233"/>
      <c r="AS55" s="233"/>
      <c r="AT55" s="233"/>
      <c r="AU55" s="233"/>
      <c r="AV55" s="272">
        <f>SUM(AI55:AU55)</f>
        <v>1.0460760266231757E-2</v>
      </c>
      <c r="AW55" s="241">
        <f t="shared" si="16"/>
        <v>0</v>
      </c>
      <c r="AX55" s="241">
        <f t="shared" si="16"/>
        <v>0</v>
      </c>
      <c r="AY55" s="241">
        <f t="shared" ref="AY55:BD58" si="19">AK55/$AV55</f>
        <v>0</v>
      </c>
      <c r="AZ55" s="369">
        <f t="shared" si="19"/>
        <v>6.4517048935222952E-3</v>
      </c>
      <c r="BA55" s="369">
        <f t="shared" si="19"/>
        <v>0.18054563686968073</v>
      </c>
      <c r="BB55" s="369">
        <f t="shared" si="19"/>
        <v>0.15052275162213991</v>
      </c>
      <c r="BC55" s="369">
        <f t="shared" si="19"/>
        <v>0.65916827176014203</v>
      </c>
      <c r="BD55" s="369">
        <f t="shared" si="19"/>
        <v>3.3116348545150671E-3</v>
      </c>
      <c r="BE55" s="241"/>
      <c r="BF55" s="241"/>
      <c r="BG55" s="241"/>
      <c r="BH55" s="241"/>
      <c r="BI55" s="241"/>
      <c r="BJ55" s="344">
        <f>SUM(AW55:BI55)</f>
        <v>1</v>
      </c>
    </row>
    <row r="56" spans="2:62" x14ac:dyDescent="0.25">
      <c r="B56" s="218" t="s">
        <v>182</v>
      </c>
      <c r="C56" s="218"/>
      <c r="D56" s="233">
        <f t="shared" si="13"/>
        <v>0</v>
      </c>
      <c r="E56" s="233">
        <f t="shared" si="13"/>
        <v>0</v>
      </c>
      <c r="F56" s="233">
        <f t="shared" si="13"/>
        <v>0</v>
      </c>
      <c r="G56" s="245">
        <f t="shared" si="13"/>
        <v>7.0981423244801389E-2</v>
      </c>
      <c r="H56" s="233">
        <f t="shared" si="13"/>
        <v>0</v>
      </c>
      <c r="I56" s="233">
        <f t="shared" si="13"/>
        <v>0</v>
      </c>
      <c r="J56" s="233">
        <f t="shared" si="13"/>
        <v>0</v>
      </c>
      <c r="K56" s="233">
        <f t="shared" si="13"/>
        <v>0</v>
      </c>
      <c r="L56" s="233">
        <f t="shared" si="13"/>
        <v>0</v>
      </c>
      <c r="M56" s="233">
        <f t="shared" si="13"/>
        <v>0</v>
      </c>
      <c r="N56" s="233">
        <f t="shared" si="13"/>
        <v>0</v>
      </c>
      <c r="O56" s="233">
        <f t="shared" si="13"/>
        <v>0</v>
      </c>
      <c r="P56" s="233">
        <f t="shared" si="13"/>
        <v>0</v>
      </c>
      <c r="Q56" s="272">
        <f>SUM(D56:P56)</f>
        <v>7.0981423244801389E-2</v>
      </c>
      <c r="R56" s="242">
        <f t="shared" si="14"/>
        <v>0</v>
      </c>
      <c r="S56" s="242">
        <f t="shared" si="14"/>
        <v>0</v>
      </c>
      <c r="T56" s="242">
        <f t="shared" si="18"/>
        <v>0</v>
      </c>
      <c r="U56" s="368">
        <f t="shared" si="18"/>
        <v>1</v>
      </c>
      <c r="V56" s="242">
        <f t="shared" si="18"/>
        <v>0</v>
      </c>
      <c r="W56" s="242">
        <f t="shared" si="18"/>
        <v>0</v>
      </c>
      <c r="X56" s="242">
        <f t="shared" si="18"/>
        <v>0</v>
      </c>
      <c r="Y56" s="242">
        <f t="shared" si="18"/>
        <v>0</v>
      </c>
      <c r="Z56" s="242"/>
      <c r="AA56" s="242"/>
      <c r="AB56" s="242"/>
      <c r="AC56" s="242"/>
      <c r="AD56" s="242"/>
      <c r="AE56" s="344">
        <f>SUM(R56:AD56)</f>
        <v>1</v>
      </c>
      <c r="AG56" s="218" t="s">
        <v>182</v>
      </c>
      <c r="AH56" s="218"/>
      <c r="AI56" s="233"/>
      <c r="AJ56" s="285"/>
      <c r="AK56" s="286"/>
      <c r="AL56" s="245">
        <f>AL46/OMolarMass</f>
        <v>7.0981423244801389E-2</v>
      </c>
      <c r="AM56" s="276"/>
      <c r="AN56" s="234"/>
      <c r="AO56" s="276"/>
      <c r="AP56" s="276"/>
      <c r="AQ56" s="233"/>
      <c r="AR56" s="233"/>
      <c r="AS56" s="233"/>
      <c r="AT56" s="233"/>
      <c r="AU56" s="233"/>
      <c r="AV56" s="272">
        <f>SUM(AI56:AU56)</f>
        <v>7.0981423244801389E-2</v>
      </c>
      <c r="AW56" s="242">
        <f t="shared" si="16"/>
        <v>0</v>
      </c>
      <c r="AX56" s="242">
        <f t="shared" si="16"/>
        <v>0</v>
      </c>
      <c r="AY56" s="242">
        <f t="shared" si="19"/>
        <v>0</v>
      </c>
      <c r="AZ56" s="368">
        <f t="shared" si="19"/>
        <v>1</v>
      </c>
      <c r="BA56" s="242">
        <f t="shared" si="19"/>
        <v>0</v>
      </c>
      <c r="BB56" s="242">
        <f t="shared" si="19"/>
        <v>0</v>
      </c>
      <c r="BC56" s="242">
        <f t="shared" si="19"/>
        <v>0</v>
      </c>
      <c r="BD56" s="242">
        <f t="shared" si="19"/>
        <v>0</v>
      </c>
      <c r="BE56" s="242"/>
      <c r="BF56" s="242"/>
      <c r="BG56" s="242"/>
      <c r="BH56" s="242"/>
      <c r="BI56" s="242"/>
      <c r="BJ56" s="344">
        <f>SUM(AW56:BI56)</f>
        <v>1</v>
      </c>
    </row>
    <row r="57" spans="2:62" x14ac:dyDescent="0.25">
      <c r="B57" s="387" t="s">
        <v>194</v>
      </c>
      <c r="C57" s="221"/>
      <c r="D57" s="245">
        <f t="shared" si="13"/>
        <v>1.7912454358946613E-4</v>
      </c>
      <c r="E57" s="245">
        <f t="shared" si="13"/>
        <v>4.2222228904299138E-5</v>
      </c>
      <c r="F57" s="245">
        <f t="shared" si="13"/>
        <v>5.9910733975960597E-7</v>
      </c>
      <c r="G57" s="245">
        <f t="shared" si="13"/>
        <v>7.6704479266177024E-4</v>
      </c>
      <c r="H57" s="245">
        <f t="shared" si="13"/>
        <v>1.8886446244078634E-3</v>
      </c>
      <c r="I57" s="245">
        <f t="shared" si="13"/>
        <v>1.586107939566656E-3</v>
      </c>
      <c r="J57" s="245">
        <f t="shared" si="13"/>
        <v>6.8954012659891498E-3</v>
      </c>
      <c r="K57" s="245">
        <f t="shared" si="13"/>
        <v>3.4642218302379399E-5</v>
      </c>
      <c r="L57" s="245">
        <f t="shared" si="13"/>
        <v>8.0947898262325378E-6</v>
      </c>
      <c r="M57" s="245">
        <f t="shared" si="13"/>
        <v>5.2451430122079122E-7</v>
      </c>
      <c r="N57" s="245">
        <f t="shared" si="13"/>
        <v>4.17124054266745E-6</v>
      </c>
      <c r="O57" s="245">
        <f t="shared" si="13"/>
        <v>2.6970230447636412E-6</v>
      </c>
      <c r="P57" s="245">
        <f t="shared" si="13"/>
        <v>6.071112329408266E-6</v>
      </c>
      <c r="Q57" s="272">
        <f>SUM(D57:P57)</f>
        <v>1.1415345400805637E-2</v>
      </c>
      <c r="R57" s="388">
        <f t="shared" si="14"/>
        <v>1.5691557048884777E-2</v>
      </c>
      <c r="S57" s="388">
        <f t="shared" si="14"/>
        <v>3.698725480642864E-3</v>
      </c>
      <c r="T57" s="388">
        <f t="shared" si="18"/>
        <v>5.2482629191169635E-5</v>
      </c>
      <c r="U57" s="283">
        <f t="shared" si="18"/>
        <v>6.7194181667743144E-2</v>
      </c>
      <c r="V57" s="283">
        <f t="shared" si="18"/>
        <v>0.16544787372571068</v>
      </c>
      <c r="W57" s="283">
        <f t="shared" si="18"/>
        <v>0.13894524290563443</v>
      </c>
      <c r="X57" s="283">
        <f t="shared" si="18"/>
        <v>0.60404666034043153</v>
      </c>
      <c r="Y57" s="283">
        <f t="shared" si="18"/>
        <v>3.0347060983309825E-3</v>
      </c>
      <c r="Z57" s="283">
        <f t="shared" ref="Z57:AD58" si="20">L57/$AV57</f>
        <v>7.0911475229310612E-4</v>
      </c>
      <c r="AA57" s="283">
        <f t="shared" si="20"/>
        <v>4.5948176143997677E-5</v>
      </c>
      <c r="AB57" s="283">
        <f t="shared" si="20"/>
        <v>3.6540642409059872E-4</v>
      </c>
      <c r="AC57" s="283">
        <f t="shared" si="20"/>
        <v>2.3626293818260628E-4</v>
      </c>
      <c r="AD57" s="283">
        <f t="shared" si="20"/>
        <v>5.3183781272004237E-4</v>
      </c>
      <c r="AE57" s="344">
        <f>SUM(R57:AD57)</f>
        <v>0.99999999999999978</v>
      </c>
      <c r="AG57" s="387" t="s">
        <v>194</v>
      </c>
      <c r="AH57" s="221"/>
      <c r="AI57" s="245">
        <f>AI47/MolarMassOfSi</f>
        <v>1.7912454358946613E-4</v>
      </c>
      <c r="AJ57" s="275">
        <f>AJ47/AlMolarMass</f>
        <v>4.2222228904299138E-5</v>
      </c>
      <c r="AK57" s="238">
        <f>AK47/BMolarMass</f>
        <v>5.9910733975960597E-7</v>
      </c>
      <c r="AL57" s="245">
        <f>AL47/OMolarMass</f>
        <v>7.6704479266177024E-4</v>
      </c>
      <c r="AM57" s="287">
        <f>AM47/MgMolarMass</f>
        <v>1.8886446244078634E-3</v>
      </c>
      <c r="AN57" s="284">
        <f>AN47/CaMolarMass</f>
        <v>1.586107939566656E-3</v>
      </c>
      <c r="AO57" s="273">
        <f>AO47/FMolarMass</f>
        <v>6.8954012659891498E-3</v>
      </c>
      <c r="AP57" s="245">
        <f>AP47/YMolarMass</f>
        <v>3.4642218302379399E-5</v>
      </c>
      <c r="AQ57" s="245">
        <f>AQ47/FeMolarMass</f>
        <v>8.0947898262325378E-6</v>
      </c>
      <c r="AR57" s="245">
        <f>AR47/ZrMolarMass</f>
        <v>5.2451430122079122E-7</v>
      </c>
      <c r="AS57" s="245">
        <f>AS47/NaMolarMass</f>
        <v>4.17124054266745E-6</v>
      </c>
      <c r="AT57" s="245">
        <f>AT47/TiMolarMass</f>
        <v>2.6970230447636412E-6</v>
      </c>
      <c r="AU57" s="245">
        <f>AU47/PMolarMass</f>
        <v>6.071112329408266E-6</v>
      </c>
      <c r="AV57" s="272">
        <f>SUM(AI57:AU57)</f>
        <v>1.1415345400805637E-2</v>
      </c>
      <c r="AW57" s="388">
        <f t="shared" si="16"/>
        <v>1.5691557048884777E-2</v>
      </c>
      <c r="AX57" s="388">
        <f t="shared" si="16"/>
        <v>3.698725480642864E-3</v>
      </c>
      <c r="AY57" s="388">
        <f t="shared" si="19"/>
        <v>5.2482629191169635E-5</v>
      </c>
      <c r="AZ57" s="283">
        <f t="shared" si="19"/>
        <v>6.7194181667743144E-2</v>
      </c>
      <c r="BA57" s="283">
        <f t="shared" si="19"/>
        <v>0.16544787372571068</v>
      </c>
      <c r="BB57" s="283">
        <f t="shared" si="19"/>
        <v>0.13894524290563443</v>
      </c>
      <c r="BC57" s="283">
        <f t="shared" si="19"/>
        <v>0.60404666034043153</v>
      </c>
      <c r="BD57" s="283">
        <f t="shared" si="19"/>
        <v>3.0347060983309825E-3</v>
      </c>
      <c r="BE57" s="283">
        <f t="shared" ref="BE57:BI58" si="21">AQ57/$AV57</f>
        <v>7.0911475229310612E-4</v>
      </c>
      <c r="BF57" s="283">
        <f t="shared" si="21"/>
        <v>4.5948176143997677E-5</v>
      </c>
      <c r="BG57" s="283">
        <f t="shared" si="21"/>
        <v>3.6540642409059872E-4</v>
      </c>
      <c r="BH57" s="283">
        <f t="shared" si="21"/>
        <v>2.3626293818260628E-4</v>
      </c>
      <c r="BI57" s="283">
        <f t="shared" si="21"/>
        <v>5.3183781272004237E-4</v>
      </c>
      <c r="BJ57" s="344">
        <f>SUM(AW57:BI57)</f>
        <v>0.99999999999999978</v>
      </c>
    </row>
    <row r="58" spans="2:62" x14ac:dyDescent="0.25">
      <c r="B58" s="222" t="s">
        <v>185</v>
      </c>
      <c r="C58" s="222"/>
      <c r="D58" s="245">
        <f t="shared" si="13"/>
        <v>3.5605518363568386E-2</v>
      </c>
      <c r="E58" s="541">
        <f t="shared" si="13"/>
        <v>3.7062431666141616E-8</v>
      </c>
      <c r="F58" s="408">
        <f t="shared" si="13"/>
        <v>1.9794653593562114E-8</v>
      </c>
      <c r="G58" s="233">
        <f t="shared" si="13"/>
        <v>0</v>
      </c>
      <c r="H58" s="233">
        <f t="shared" si="13"/>
        <v>0</v>
      </c>
      <c r="I58" s="233">
        <f t="shared" si="13"/>
        <v>0</v>
      </c>
      <c r="J58" s="233">
        <f t="shared" si="13"/>
        <v>0</v>
      </c>
      <c r="K58" s="233">
        <f t="shared" si="13"/>
        <v>0</v>
      </c>
      <c r="L58" s="233">
        <f t="shared" si="13"/>
        <v>0</v>
      </c>
      <c r="M58" s="233">
        <f t="shared" si="13"/>
        <v>0</v>
      </c>
      <c r="N58" s="233">
        <f t="shared" si="13"/>
        <v>0</v>
      </c>
      <c r="O58" s="233">
        <f t="shared" si="13"/>
        <v>0</v>
      </c>
      <c r="P58" s="233">
        <f t="shared" si="13"/>
        <v>0</v>
      </c>
      <c r="Q58" s="272">
        <f>SUM(D58:P58)</f>
        <v>3.5605575220653649E-2</v>
      </c>
      <c r="R58" s="243">
        <f t="shared" si="14"/>
        <v>0.99999840314094324</v>
      </c>
      <c r="S58" s="243">
        <f t="shared" si="14"/>
        <v>1.0409165260344648E-6</v>
      </c>
      <c r="T58" s="290">
        <f t="shared" si="18"/>
        <v>5.5594253065401601E-7</v>
      </c>
      <c r="U58" s="289">
        <f t="shared" si="18"/>
        <v>0</v>
      </c>
      <c r="V58" s="289">
        <f t="shared" si="18"/>
        <v>0</v>
      </c>
      <c r="W58" s="289">
        <f t="shared" si="18"/>
        <v>0</v>
      </c>
      <c r="X58" s="289">
        <f t="shared" si="18"/>
        <v>0</v>
      </c>
      <c r="Y58" s="289">
        <f t="shared" si="18"/>
        <v>0</v>
      </c>
      <c r="Z58" s="289">
        <f t="shared" si="20"/>
        <v>0</v>
      </c>
      <c r="AA58" s="289">
        <f t="shared" si="20"/>
        <v>0</v>
      </c>
      <c r="AB58" s="289">
        <f t="shared" si="20"/>
        <v>0</v>
      </c>
      <c r="AC58" s="289">
        <f t="shared" si="20"/>
        <v>0</v>
      </c>
      <c r="AD58" s="289">
        <f t="shared" si="20"/>
        <v>0</v>
      </c>
      <c r="AE58" s="344">
        <f>SUM(R58:AD58)</f>
        <v>1</v>
      </c>
      <c r="AG58" s="222" t="s">
        <v>185</v>
      </c>
      <c r="AH58" s="222"/>
      <c r="AI58" s="275">
        <f>AI48/MolarMassOfSi</f>
        <v>3.5605518363568386E-2</v>
      </c>
      <c r="AJ58" s="275">
        <f>AJ48/AlMolarMass</f>
        <v>3.7062431666141616E-8</v>
      </c>
      <c r="AK58" s="238">
        <f>AK48/BMolarMass</f>
        <v>1.9794653593562114E-8</v>
      </c>
      <c r="AL58" s="233"/>
      <c r="AM58" s="276"/>
      <c r="AN58" s="234"/>
      <c r="AO58" s="276"/>
      <c r="AP58" s="276">
        <f>AP48/YMolarMass</f>
        <v>0</v>
      </c>
      <c r="AQ58" s="276"/>
      <c r="AR58" s="276"/>
      <c r="AS58" s="276"/>
      <c r="AT58" s="276"/>
      <c r="AU58" s="276"/>
      <c r="AV58" s="272">
        <f>SUM(AI58:AU58)</f>
        <v>3.5605575220653649E-2</v>
      </c>
      <c r="AW58" s="290">
        <f t="shared" si="16"/>
        <v>0.99999840314094324</v>
      </c>
      <c r="AX58" s="243">
        <f t="shared" si="16"/>
        <v>1.0409165260344648E-6</v>
      </c>
      <c r="AY58" s="243">
        <f t="shared" si="19"/>
        <v>5.5594253065401601E-7</v>
      </c>
      <c r="AZ58" s="289">
        <f t="shared" si="19"/>
        <v>0</v>
      </c>
      <c r="BA58" s="289">
        <f t="shared" si="19"/>
        <v>0</v>
      </c>
      <c r="BB58" s="289">
        <f t="shared" si="19"/>
        <v>0</v>
      </c>
      <c r="BC58" s="289">
        <f t="shared" si="19"/>
        <v>0</v>
      </c>
      <c r="BD58" s="289">
        <f t="shared" si="19"/>
        <v>0</v>
      </c>
      <c r="BE58" s="289">
        <f t="shared" si="21"/>
        <v>0</v>
      </c>
      <c r="BF58" s="289">
        <f t="shared" si="21"/>
        <v>0</v>
      </c>
      <c r="BG58" s="289">
        <f t="shared" si="21"/>
        <v>0</v>
      </c>
      <c r="BH58" s="289">
        <f t="shared" si="21"/>
        <v>0</v>
      </c>
      <c r="BI58" s="289">
        <f t="shared" si="21"/>
        <v>0</v>
      </c>
      <c r="BJ58" s="344">
        <f>SUM(AW58:BI58)</f>
        <v>1</v>
      </c>
    </row>
    <row r="59" spans="2:62" x14ac:dyDescent="0.25">
      <c r="D59" s="205"/>
      <c r="N59" s="237"/>
      <c r="O59" s="164"/>
      <c r="Q59" s="199"/>
      <c r="AI59" s="164"/>
    </row>
    <row r="60" spans="2:62" x14ac:dyDescent="0.25">
      <c r="D60" s="205"/>
      <c r="N60" s="237"/>
      <c r="O60" s="164"/>
      <c r="AI60" s="164"/>
    </row>
    <row r="61" spans="2:62" x14ac:dyDescent="0.25">
      <c r="N61" s="237"/>
      <c r="O61" s="164"/>
      <c r="AI61" s="164"/>
    </row>
    <row r="62" spans="2:62" x14ac:dyDescent="0.25">
      <c r="M62" s="6"/>
      <c r="N62" s="464"/>
      <c r="O62" s="13"/>
      <c r="AI62" s="164"/>
    </row>
    <row r="63" spans="2:62" x14ac:dyDescent="0.25">
      <c r="B63" s="262" t="s">
        <v>195</v>
      </c>
      <c r="C63" s="229"/>
      <c r="D63" s="229"/>
      <c r="E63" s="229"/>
      <c r="F63" s="229"/>
      <c r="G63" s="229"/>
      <c r="H63" s="229"/>
      <c r="I63" s="229"/>
      <c r="J63" s="229"/>
      <c r="K63" s="229"/>
      <c r="L63" s="229"/>
      <c r="M63" s="6"/>
      <c r="N63" s="6"/>
      <c r="O63" s="13"/>
      <c r="AI63" s="164"/>
    </row>
    <row r="64" spans="2:62" x14ac:dyDescent="0.25">
      <c r="B64" s="247"/>
      <c r="C64" s="229"/>
      <c r="D64" s="229"/>
      <c r="E64" s="229"/>
      <c r="F64" s="229"/>
      <c r="G64" s="229"/>
      <c r="H64" s="229"/>
      <c r="I64" s="229"/>
      <c r="J64" s="229"/>
      <c r="K64" s="229"/>
      <c r="L64" s="229"/>
      <c r="M64" s="6"/>
      <c r="N64" s="6"/>
      <c r="O64" s="13"/>
      <c r="AI64" s="164"/>
    </row>
    <row r="65" spans="1:38" x14ac:dyDescent="0.25">
      <c r="B65" s="228"/>
      <c r="C65" s="32" t="s">
        <v>196</v>
      </c>
      <c r="D65" s="32" t="s">
        <v>181</v>
      </c>
      <c r="E65" s="764" t="s">
        <v>182</v>
      </c>
      <c r="F65" s="253" t="s">
        <v>183</v>
      </c>
      <c r="G65" s="363"/>
      <c r="H65" s="617" t="s">
        <v>197</v>
      </c>
      <c r="I65" s="229"/>
      <c r="J65" s="253" t="s">
        <v>185</v>
      </c>
      <c r="K65" s="229"/>
      <c r="L65" s="229"/>
      <c r="M65" s="6"/>
      <c r="N65" s="6"/>
      <c r="O65" s="13"/>
      <c r="AI65" s="164"/>
    </row>
    <row r="66" spans="1:38" ht="14.1" customHeight="1" x14ac:dyDescent="0.25">
      <c r="B66" s="314" t="s">
        <v>45</v>
      </c>
      <c r="C66" s="239">
        <f>O5</f>
        <v>0.46650005076201273</v>
      </c>
      <c r="D66" s="341">
        <v>0</v>
      </c>
      <c r="E66" s="230">
        <v>0</v>
      </c>
      <c r="F66" s="291">
        <f>Y10</f>
        <v>2.3607824272889856E-2</v>
      </c>
      <c r="G66" s="363" t="s">
        <v>198</v>
      </c>
      <c r="H66" s="312" t="s">
        <v>199</v>
      </c>
      <c r="I66" s="363" t="s">
        <v>200</v>
      </c>
      <c r="J66" s="240">
        <f>M21</f>
        <v>0.99999878600000003</v>
      </c>
      <c r="K66" s="229"/>
      <c r="L66" s="229"/>
      <c r="M66" s="6"/>
      <c r="N66" s="6"/>
      <c r="O66" s="13"/>
      <c r="AI66" s="164"/>
    </row>
    <row r="67" spans="1:38" x14ac:dyDescent="0.25">
      <c r="B67" s="314" t="s">
        <v>46</v>
      </c>
      <c r="C67" s="239">
        <f>O6</f>
        <v>5.2925034228706663E-4</v>
      </c>
      <c r="D67" s="341">
        <v>0</v>
      </c>
      <c r="E67" s="230">
        <v>0</v>
      </c>
      <c r="F67" s="291">
        <f>Y11</f>
        <v>5.3459630534047091E-3</v>
      </c>
      <c r="G67" s="362"/>
      <c r="H67" s="312" t="s">
        <v>201</v>
      </c>
      <c r="I67" s="229"/>
      <c r="J67" s="239">
        <f>M22</f>
        <v>9.9999999999999995E-7</v>
      </c>
      <c r="K67" s="229"/>
      <c r="L67" s="229"/>
      <c r="M67" s="6"/>
      <c r="N67" s="6"/>
      <c r="O67" s="13"/>
      <c r="P67" s="367"/>
      <c r="AI67" s="164"/>
    </row>
    <row r="68" spans="1:38" x14ac:dyDescent="0.25">
      <c r="B68" s="314" t="s">
        <v>69</v>
      </c>
      <c r="C68" s="239">
        <f>O9</f>
        <v>2.1440723000709752E-4</v>
      </c>
      <c r="D68" s="239">
        <f>T9</f>
        <v>0.25845058776203722</v>
      </c>
      <c r="E68" s="230">
        <v>0</v>
      </c>
      <c r="F68" s="291">
        <f>Y5</f>
        <v>0.29830290797029813</v>
      </c>
      <c r="G68" s="362"/>
      <c r="H68" s="312" t="s">
        <v>163</v>
      </c>
      <c r="I68" s="229"/>
      <c r="J68" s="341">
        <v>0</v>
      </c>
      <c r="K68" s="229"/>
      <c r="L68" s="229"/>
      <c r="M68" s="6"/>
      <c r="N68" s="6"/>
      <c r="O68" s="13"/>
      <c r="P68" s="267"/>
      <c r="AI68" s="164"/>
    </row>
    <row r="69" spans="1:38" x14ac:dyDescent="0.25">
      <c r="B69" s="315" t="s">
        <v>66</v>
      </c>
      <c r="C69" s="239">
        <f>O7</f>
        <v>0.5323294188827461</v>
      </c>
      <c r="D69" s="239">
        <f>T11</f>
        <v>4.4222931162999704E-3</v>
      </c>
      <c r="E69" s="230">
        <v>1</v>
      </c>
      <c r="F69" s="291">
        <f>Y8</f>
        <v>5.7589476307918365E-2</v>
      </c>
      <c r="G69" s="362"/>
      <c r="H69" s="312" t="s">
        <v>202</v>
      </c>
      <c r="I69" s="229"/>
      <c r="J69" s="341">
        <v>0</v>
      </c>
      <c r="K69" s="229"/>
      <c r="L69" s="229"/>
      <c r="M69" s="6"/>
      <c r="N69" s="6"/>
      <c r="O69" s="13"/>
      <c r="AI69" s="164"/>
    </row>
    <row r="70" spans="1:38" x14ac:dyDescent="0.25">
      <c r="A70" s="493" t="s">
        <v>203</v>
      </c>
      <c r="B70" s="254" t="s">
        <v>70</v>
      </c>
      <c r="C70" s="230">
        <v>0</v>
      </c>
      <c r="D70" s="239">
        <f>T12</f>
        <v>1.2613696058494453E-2</v>
      </c>
      <c r="E70" s="230">
        <v>0</v>
      </c>
      <c r="F70" s="230">
        <f>Y9</f>
        <v>2.4620496869163951E-2</v>
      </c>
      <c r="G70" s="362"/>
      <c r="H70" s="443"/>
      <c r="I70" s="229"/>
      <c r="J70" s="341">
        <v>0</v>
      </c>
      <c r="K70" s="229"/>
      <c r="L70" s="229"/>
      <c r="M70" s="6"/>
      <c r="N70" s="6"/>
      <c r="O70" s="13"/>
      <c r="P70" s="268"/>
      <c r="AI70" s="164"/>
    </row>
    <row r="71" spans="1:38" x14ac:dyDescent="0.25">
      <c r="A71" s="494">
        <f>MDETERM(C66:F69)</f>
        <v>6.4131866475599915E-4</v>
      </c>
      <c r="B71" s="254" t="s">
        <v>67</v>
      </c>
      <c r="C71" s="341">
        <v>0</v>
      </c>
      <c r="D71" s="239">
        <f>T8</f>
        <v>0.18799744951189212</v>
      </c>
      <c r="E71" s="230">
        <v>0</v>
      </c>
      <c r="F71" s="291">
        <f>Y7</f>
        <v>0.13792020082368034</v>
      </c>
      <c r="G71" s="362"/>
      <c r="H71" s="439"/>
      <c r="I71" s="229"/>
      <c r="J71" s="341">
        <v>0</v>
      </c>
      <c r="K71" s="229"/>
      <c r="L71" s="229"/>
      <c r="M71" s="6"/>
      <c r="N71" s="6"/>
      <c r="O71" s="13"/>
      <c r="AI71" s="164"/>
    </row>
    <row r="72" spans="1:38" x14ac:dyDescent="0.25">
      <c r="B72" s="254" t="s">
        <v>68</v>
      </c>
      <c r="C72" s="341">
        <v>0</v>
      </c>
      <c r="D72" s="239">
        <f>T10</f>
        <v>0.53651597355127634</v>
      </c>
      <c r="E72" s="230">
        <v>0</v>
      </c>
      <c r="F72" s="291">
        <f>Y6</f>
        <v>0.45261313070264464</v>
      </c>
      <c r="G72" s="362"/>
      <c r="H72" s="439"/>
      <c r="I72" s="229"/>
      <c r="J72" s="341">
        <v>0</v>
      </c>
      <c r="K72" s="229"/>
      <c r="L72" s="229"/>
      <c r="M72" s="6"/>
      <c r="N72" s="6"/>
      <c r="O72" s="13"/>
      <c r="AI72" s="164"/>
    </row>
    <row r="73" spans="1:38" x14ac:dyDescent="0.25">
      <c r="B73" s="254" t="s">
        <v>47</v>
      </c>
      <c r="C73" s="239">
        <f>O13</f>
        <v>3.1057078261768884E-6</v>
      </c>
      <c r="D73" s="341">
        <v>0</v>
      </c>
      <c r="E73" s="230">
        <v>0</v>
      </c>
      <c r="F73" s="291">
        <v>0</v>
      </c>
      <c r="G73" s="362"/>
      <c r="H73" s="229"/>
      <c r="I73" s="229"/>
      <c r="J73" s="240">
        <f>M23</f>
        <v>2.1400000000000001E-7</v>
      </c>
      <c r="K73" s="229"/>
      <c r="L73" s="229"/>
      <c r="M73" s="6"/>
      <c r="N73" s="6"/>
      <c r="O73" s="13"/>
      <c r="AI73" s="164"/>
      <c r="AL73" s="164"/>
    </row>
    <row r="74" spans="1:38" x14ac:dyDescent="0.25">
      <c r="B74" s="254" t="s">
        <v>71</v>
      </c>
      <c r="C74" s="239">
        <f>O8</f>
        <v>2.0982765163612608E-4</v>
      </c>
      <c r="D74" s="341">
        <v>0</v>
      </c>
      <c r="E74" s="230">
        <v>0</v>
      </c>
      <c r="F74" s="291">
        <v>0</v>
      </c>
      <c r="G74" s="362"/>
      <c r="H74" s="229"/>
      <c r="I74" s="229"/>
      <c r="J74" s="311">
        <v>0</v>
      </c>
      <c r="K74" s="229"/>
      <c r="L74" s="229"/>
      <c r="M74" s="6"/>
      <c r="N74" s="6"/>
      <c r="O74" s="13"/>
      <c r="AI74" s="164"/>
      <c r="AL74" s="164"/>
    </row>
    <row r="75" spans="1:38" x14ac:dyDescent="0.25">
      <c r="B75" s="254" t="s">
        <v>72</v>
      </c>
      <c r="C75" s="239">
        <f>O12</f>
        <v>2.2209526159119916E-5</v>
      </c>
      <c r="D75" s="341">
        <v>0</v>
      </c>
      <c r="E75" s="230">
        <v>0</v>
      </c>
      <c r="F75" s="291">
        <v>0</v>
      </c>
      <c r="G75" s="362"/>
      <c r="H75" s="229"/>
      <c r="I75" s="229"/>
      <c r="J75" s="311">
        <v>0</v>
      </c>
      <c r="K75" s="229"/>
      <c r="L75" s="229"/>
      <c r="M75" s="6"/>
      <c r="N75" s="6"/>
      <c r="O75" s="13"/>
      <c r="AI75" s="164"/>
    </row>
    <row r="76" spans="1:38" x14ac:dyDescent="0.25">
      <c r="B76" s="254" t="s">
        <v>73</v>
      </c>
      <c r="C76" s="239">
        <f>O11</f>
        <v>4.4511413580127435E-5</v>
      </c>
      <c r="D76" s="341">
        <v>0</v>
      </c>
      <c r="E76" s="230">
        <v>0</v>
      </c>
      <c r="F76" s="291">
        <v>0</v>
      </c>
      <c r="G76" s="362"/>
      <c r="H76" s="229"/>
      <c r="I76" s="229"/>
      <c r="J76" s="311">
        <v>0</v>
      </c>
      <c r="K76" s="229"/>
      <c r="L76" s="229"/>
      <c r="M76" s="6"/>
      <c r="N76" s="6"/>
      <c r="O76" s="129"/>
    </row>
    <row r="77" spans="1:38" x14ac:dyDescent="0.25">
      <c r="B77" s="254" t="s">
        <v>74</v>
      </c>
      <c r="C77" s="239">
        <f>O14</f>
        <v>5.9934289771091066E-5</v>
      </c>
      <c r="D77" s="341">
        <v>0</v>
      </c>
      <c r="E77" s="230">
        <v>0</v>
      </c>
      <c r="F77" s="291">
        <v>0</v>
      </c>
      <c r="G77" s="362"/>
      <c r="H77" s="229"/>
      <c r="I77" s="229"/>
      <c r="J77" s="311">
        <v>0</v>
      </c>
      <c r="K77" s="229"/>
      <c r="L77" s="229"/>
      <c r="M77" s="6"/>
      <c r="N77" s="6"/>
      <c r="O77" s="129"/>
    </row>
    <row r="78" spans="1:38" x14ac:dyDescent="0.25">
      <c r="B78" s="254" t="s">
        <v>75</v>
      </c>
      <c r="C78" s="239">
        <f>O10</f>
        <v>8.7284193974268912E-5</v>
      </c>
      <c r="D78" s="341">
        <v>0</v>
      </c>
      <c r="E78" s="230">
        <v>0</v>
      </c>
      <c r="F78" s="291">
        <v>0</v>
      </c>
      <c r="G78" s="229"/>
      <c r="H78" s="229"/>
      <c r="I78" s="229"/>
      <c r="J78" s="311">
        <v>0</v>
      </c>
      <c r="K78" s="229"/>
      <c r="L78" s="229"/>
      <c r="M78" s="6"/>
      <c r="N78" s="6"/>
      <c r="O78" s="13"/>
    </row>
    <row r="79" spans="1:38" x14ac:dyDescent="0.25">
      <c r="B79" s="255" t="s">
        <v>152</v>
      </c>
      <c r="C79" s="366">
        <f>SUM(C66:C78)</f>
        <v>0.99999999999999989</v>
      </c>
      <c r="D79" s="310">
        <f>SUM(D66:D78)</f>
        <v>1</v>
      </c>
      <c r="E79" s="366">
        <f>SUM(E66:E78)</f>
        <v>1</v>
      </c>
      <c r="F79" s="366">
        <f>SUM(F66:F78)</f>
        <v>1</v>
      </c>
      <c r="G79" s="365"/>
      <c r="H79" s="365"/>
      <c r="I79" s="365"/>
      <c r="J79" s="256">
        <f>SUM(J66:J78)</f>
        <v>1</v>
      </c>
      <c r="K79" s="229"/>
      <c r="L79" s="229"/>
      <c r="M79" s="6"/>
      <c r="N79" s="6"/>
      <c r="O79" s="13"/>
    </row>
    <row r="80" spans="1:38" x14ac:dyDescent="0.25">
      <c r="B80" s="228"/>
      <c r="C80" s="229"/>
      <c r="D80" s="229"/>
      <c r="E80" s="229"/>
      <c r="F80" s="229"/>
      <c r="G80" s="229"/>
      <c r="H80" s="229"/>
      <c r="I80" s="229"/>
      <c r="J80" s="229"/>
      <c r="K80" s="229"/>
      <c r="L80" s="229"/>
    </row>
    <row r="81" spans="2:31" x14ac:dyDescent="0.25">
      <c r="B81" s="228"/>
      <c r="C81" s="229"/>
      <c r="D81" s="229"/>
      <c r="E81" s="229"/>
      <c r="F81" s="229"/>
      <c r="G81" s="229"/>
      <c r="H81" s="229"/>
      <c r="I81" s="229"/>
      <c r="J81" s="229"/>
      <c r="K81" s="229"/>
      <c r="L81" s="229"/>
      <c r="S81" s="396"/>
    </row>
    <row r="82" spans="2:31" x14ac:dyDescent="0.25">
      <c r="B82" s="228"/>
      <c r="C82" s="229"/>
      <c r="D82" s="269" t="s">
        <v>204</v>
      </c>
      <c r="E82" s="229"/>
      <c r="F82" s="229"/>
      <c r="G82" s="229"/>
      <c r="H82" s="229"/>
      <c r="I82" s="229"/>
      <c r="J82" s="229"/>
      <c r="K82" s="229"/>
      <c r="L82" s="446"/>
      <c r="M82" s="6"/>
      <c r="N82" s="198"/>
      <c r="O82" s="13"/>
    </row>
    <row r="83" spans="2:31" x14ac:dyDescent="0.25">
      <c r="B83" s="617" t="s">
        <v>197</v>
      </c>
      <c r="C83" s="229"/>
      <c r="D83" s="32"/>
      <c r="E83" s="32"/>
      <c r="F83" s="32"/>
      <c r="G83" s="253"/>
      <c r="H83" s="252"/>
      <c r="I83" s="253" t="s">
        <v>185</v>
      </c>
      <c r="J83" s="229"/>
      <c r="K83" s="236" t="s">
        <v>197</v>
      </c>
      <c r="L83" s="446"/>
      <c r="N83" s="292" t="s">
        <v>205</v>
      </c>
    </row>
    <row r="84" spans="2:31" x14ac:dyDescent="0.25">
      <c r="B84" s="312" t="s">
        <v>199</v>
      </c>
      <c r="C84" s="229"/>
      <c r="D84" s="239">
        <f t="array" ref="D84:G87">MINVERSE(C66:F69)</f>
        <v>2.1544161572660006</v>
      </c>
      <c r="E84" s="230">
        <v>-9.5139224763287942</v>
      </c>
      <c r="F84" s="438">
        <v>0</v>
      </c>
      <c r="G84" s="239">
        <v>0</v>
      </c>
      <c r="H84" s="427" t="s">
        <v>198</v>
      </c>
      <c r="I84" s="240">
        <f>J66</f>
        <v>0.99999878600000003</v>
      </c>
      <c r="J84" s="363" t="s">
        <v>200</v>
      </c>
      <c r="K84" s="230">
        <f>D84*I$84+E84*I$85+F84*I$86+G84*I$87</f>
        <v>2.1544040278823093</v>
      </c>
      <c r="L84" s="446"/>
      <c r="N84" s="294">
        <v>1</v>
      </c>
    </row>
    <row r="85" spans="2:31" x14ac:dyDescent="0.25">
      <c r="B85" s="312" t="s">
        <v>201</v>
      </c>
      <c r="C85" s="229"/>
      <c r="D85" s="230">
        <v>0.24438818271122317</v>
      </c>
      <c r="E85" s="230">
        <v>-216.97990042958526</v>
      </c>
      <c r="F85" s="438">
        <v>3.8692115528122857</v>
      </c>
      <c r="G85" s="230">
        <v>0</v>
      </c>
      <c r="H85" s="364"/>
      <c r="I85" s="240">
        <f>J67</f>
        <v>9.9999999999999995E-7</v>
      </c>
      <c r="J85" s="229"/>
      <c r="K85" s="230">
        <f>D85*I$84+E85*I$85+F85*I$86+G85*I$87</f>
        <v>0.24417090612353978</v>
      </c>
      <c r="L85" s="446"/>
      <c r="M85" s="6"/>
      <c r="N85" s="198"/>
      <c r="O85" s="13"/>
      <c r="P85" s="190"/>
      <c r="Q85" s="190"/>
      <c r="R85" s="190"/>
      <c r="S85" s="190"/>
      <c r="T85" s="190"/>
      <c r="U85" s="298"/>
      <c r="V85" s="298"/>
      <c r="W85" s="298"/>
      <c r="X85" s="298"/>
      <c r="Y85" s="298"/>
      <c r="Z85" s="298"/>
      <c r="AA85" s="298"/>
      <c r="AB85" s="298"/>
      <c r="AC85" s="298"/>
      <c r="AD85" s="298"/>
      <c r="AE85" s="762"/>
    </row>
    <row r="86" spans="2:31" x14ac:dyDescent="0.25">
      <c r="B86" s="312" t="s">
        <v>163</v>
      </c>
      <c r="C86" s="363" t="s">
        <v>200</v>
      </c>
      <c r="D86" s="230">
        <v>-1.1356567590807376</v>
      </c>
      <c r="E86" s="230">
        <v>-4.8026694433475727</v>
      </c>
      <c r="F86" s="438">
        <v>-1.711078761551009E-2</v>
      </c>
      <c r="G86" s="230">
        <v>1</v>
      </c>
      <c r="H86" s="361"/>
      <c r="I86" s="240">
        <f>J68</f>
        <v>0</v>
      </c>
      <c r="J86" s="229"/>
      <c r="K86" s="230">
        <f>D86*I$84+E86*I$85+F86*I$86+G86*I$87</f>
        <v>-1.1356601830628754</v>
      </c>
      <c r="L86" s="446"/>
      <c r="M86" s="6"/>
      <c r="N86" s="198"/>
      <c r="O86" s="13"/>
      <c r="P86" s="360"/>
      <c r="Q86" s="360"/>
      <c r="R86" s="360"/>
      <c r="S86" s="360"/>
      <c r="T86" s="360"/>
      <c r="U86" s="360"/>
      <c r="V86" s="360"/>
      <c r="W86" s="360"/>
      <c r="X86" s="360"/>
      <c r="Y86" s="360"/>
      <c r="Z86" s="360"/>
      <c r="AA86" s="360"/>
      <c r="AB86" s="360"/>
      <c r="AC86" s="360"/>
      <c r="AD86" s="360"/>
      <c r="AE86" s="298"/>
    </row>
    <row r="87" spans="2:31" x14ac:dyDescent="0.25">
      <c r="B87" s="313" t="s">
        <v>202</v>
      </c>
      <c r="C87" s="229"/>
      <c r="D87" s="441">
        <v>-0.2132871995693342</v>
      </c>
      <c r="E87" s="441">
        <v>187.99891370124755</v>
      </c>
      <c r="F87" s="442">
        <v>0</v>
      </c>
      <c r="G87" s="230">
        <v>0</v>
      </c>
      <c r="H87" s="397"/>
      <c r="I87" s="240">
        <f>J69</f>
        <v>0</v>
      </c>
      <c r="J87" s="229"/>
      <c r="K87" s="230">
        <f>D87*I$84+E87*I$85+F87*I$86+G87*I$87</f>
        <v>-0.21309894172497268</v>
      </c>
      <c r="L87" s="446"/>
      <c r="M87" s="6"/>
      <c r="N87" s="198"/>
      <c r="O87" s="6"/>
      <c r="AE87" s="232"/>
    </row>
    <row r="88" spans="2:31" x14ac:dyDescent="0.25">
      <c r="B88" s="444"/>
      <c r="C88" s="439"/>
      <c r="D88" s="445"/>
      <c r="E88" s="445"/>
      <c r="F88" s="445"/>
      <c r="G88" s="445"/>
      <c r="H88" s="362"/>
      <c r="I88" s="446"/>
      <c r="J88" s="229"/>
      <c r="K88" s="439"/>
      <c r="L88" s="446"/>
      <c r="M88" s="6"/>
      <c r="N88" s="198"/>
      <c r="O88" s="6"/>
      <c r="AE88" s="232"/>
    </row>
    <row r="89" spans="2:31" x14ac:dyDescent="0.25">
      <c r="B89" s="443"/>
      <c r="C89" s="439"/>
      <c r="D89" s="439"/>
      <c r="E89" s="439"/>
      <c r="F89" s="439"/>
      <c r="G89" s="439"/>
      <c r="H89" s="439"/>
      <c r="I89" s="440"/>
      <c r="J89" s="439"/>
      <c r="K89" s="361"/>
      <c r="L89" s="446"/>
      <c r="M89" s="6"/>
      <c r="N89" s="198"/>
      <c r="O89" s="12"/>
      <c r="AE89" s="232"/>
    </row>
    <row r="90" spans="2:31" x14ac:dyDescent="0.25">
      <c r="B90" s="443"/>
      <c r="C90" s="439"/>
      <c r="D90" s="439"/>
      <c r="E90" s="439"/>
      <c r="F90" s="439"/>
      <c r="G90" s="439"/>
      <c r="H90" s="439"/>
      <c r="I90" s="440"/>
      <c r="J90" s="439"/>
      <c r="K90" s="361"/>
      <c r="L90" s="446"/>
      <c r="M90" s="6"/>
      <c r="N90" s="198"/>
      <c r="O90" s="465"/>
      <c r="AE90" s="232"/>
    </row>
    <row r="91" spans="2:31" s="6" customFormat="1" x14ac:dyDescent="0.25">
      <c r="B91" s="13"/>
      <c r="H91" s="13"/>
      <c r="J91" s="467"/>
      <c r="K91" s="468"/>
      <c r="O91" s="466"/>
      <c r="AE91" s="232"/>
    </row>
    <row r="92" spans="2:31" s="6" customFormat="1" x14ac:dyDescent="0.25">
      <c r="B92" s="13"/>
      <c r="H92" s="13"/>
      <c r="J92" s="467"/>
      <c r="K92" s="468"/>
      <c r="AE92" s="232"/>
    </row>
    <row r="93" spans="2:31" s="6" customFormat="1" x14ac:dyDescent="0.25">
      <c r="B93" s="13"/>
      <c r="H93" s="13"/>
      <c r="K93" s="468"/>
    </row>
    <row r="94" spans="2:31" x14ac:dyDescent="0.25">
      <c r="B94" s="164"/>
      <c r="D94" s="164"/>
      <c r="E94" s="164"/>
      <c r="F94" s="164"/>
      <c r="G94" s="164"/>
      <c r="H94" s="164"/>
      <c r="I94" s="164"/>
      <c r="J94" s="164"/>
      <c r="K94" s="415"/>
      <c r="L94" s="164"/>
      <c r="M94" s="13"/>
      <c r="N94" s="13"/>
      <c r="O94" s="13"/>
      <c r="P94" s="164"/>
    </row>
    <row r="95" spans="2:31" x14ac:dyDescent="0.25">
      <c r="B95" s="164"/>
      <c r="D95" s="164"/>
      <c r="E95" s="164"/>
      <c r="F95" s="164"/>
      <c r="G95" s="164"/>
      <c r="H95" s="164"/>
      <c r="I95" s="164"/>
      <c r="J95" s="164"/>
      <c r="K95" s="415"/>
      <c r="L95" s="434"/>
      <c r="M95" s="435"/>
      <c r="N95" s="164"/>
      <c r="O95" s="164"/>
      <c r="P95" s="164"/>
    </row>
    <row r="96" spans="2:31" x14ac:dyDescent="0.25">
      <c r="B96" s="190"/>
      <c r="C96" s="190"/>
      <c r="D96" s="164"/>
      <c r="E96" s="164"/>
      <c r="F96" s="164"/>
      <c r="G96" s="164"/>
      <c r="H96" s="164"/>
      <c r="I96" s="164"/>
      <c r="J96" s="164"/>
      <c r="K96" s="415"/>
      <c r="L96" s="434"/>
      <c r="M96" s="435"/>
      <c r="N96" s="164"/>
      <c r="O96" s="164"/>
      <c r="P96" s="164"/>
    </row>
    <row r="97" spans="2:16" x14ac:dyDescent="0.25">
      <c r="B97" s="190"/>
      <c r="C97" s="190"/>
      <c r="D97" s="164"/>
      <c r="E97" s="164"/>
      <c r="F97" s="164"/>
      <c r="G97" s="164"/>
      <c r="H97" s="164"/>
      <c r="I97" s="416"/>
      <c r="J97" s="416"/>
      <c r="K97" s="415"/>
      <c r="L97" s="434"/>
      <c r="M97" s="435"/>
      <c r="N97" s="416"/>
      <c r="O97" s="164"/>
      <c r="P97" s="164"/>
    </row>
    <row r="98" spans="2:16" x14ac:dyDescent="0.25">
      <c r="B98" s="164"/>
      <c r="C98" s="270"/>
      <c r="D98" s="270"/>
      <c r="E98" s="270"/>
      <c r="F98" s="270"/>
      <c r="G98" s="270"/>
      <c r="H98" s="270"/>
      <c r="I98" s="270"/>
      <c r="J98" s="270"/>
      <c r="K98" s="270"/>
      <c r="L98" s="434"/>
      <c r="M98" s="435"/>
      <c r="N98" s="416"/>
      <c r="O98" s="164"/>
      <c r="P98" s="164"/>
    </row>
    <row r="99" spans="2:16" x14ac:dyDescent="0.25">
      <c r="B99" s="164"/>
      <c r="C99" s="299"/>
      <c r="D99" s="417"/>
      <c r="E99" s="417"/>
      <c r="F99" s="417"/>
      <c r="G99" s="292"/>
      <c r="H99" s="164"/>
      <c r="I99" s="292"/>
      <c r="J99" s="164"/>
      <c r="K99" s="270"/>
      <c r="L99" s="198"/>
      <c r="M99" s="436"/>
      <c r="N99" s="416"/>
      <c r="O99" s="164"/>
      <c r="P99" s="164"/>
    </row>
    <row r="100" spans="2:16" x14ac:dyDescent="0.25">
      <c r="B100" s="398"/>
      <c r="C100" s="206"/>
      <c r="D100" s="418"/>
      <c r="E100" s="419"/>
      <c r="F100" s="420"/>
      <c r="G100" s="270"/>
      <c r="H100" s="164"/>
      <c r="I100" s="270"/>
      <c r="J100" s="270"/>
      <c r="K100" s="270"/>
      <c r="L100" s="270"/>
      <c r="M100" s="270"/>
      <c r="N100" s="416"/>
      <c r="O100" s="164"/>
      <c r="P100" s="164"/>
    </row>
    <row r="101" spans="2:16" x14ac:dyDescent="0.25">
      <c r="B101" s="398"/>
      <c r="C101" s="206"/>
      <c r="D101" s="418"/>
      <c r="E101" s="419"/>
      <c r="F101" s="420"/>
      <c r="G101" s="270"/>
      <c r="H101" s="164"/>
      <c r="I101" s="270"/>
      <c r="J101" s="270"/>
      <c r="K101" s="270"/>
      <c r="L101" s="270"/>
      <c r="M101" s="270"/>
      <c r="N101" s="416"/>
      <c r="O101" s="164"/>
      <c r="P101" s="164"/>
    </row>
    <row r="102" spans="2:16" x14ac:dyDescent="0.25">
      <c r="B102" s="398"/>
      <c r="C102" s="206"/>
      <c r="D102" s="418"/>
      <c r="E102" s="419"/>
      <c r="F102" s="420"/>
      <c r="G102" s="270"/>
      <c r="H102" s="164"/>
      <c r="I102" s="270"/>
      <c r="J102" s="270"/>
      <c r="K102" s="270"/>
      <c r="L102" s="270"/>
      <c r="M102" s="270"/>
      <c r="N102" s="416"/>
      <c r="O102" s="164"/>
      <c r="P102" s="164"/>
    </row>
    <row r="103" spans="2:16" x14ac:dyDescent="0.25">
      <c r="B103" s="399"/>
      <c r="C103" s="206"/>
      <c r="D103" s="418"/>
      <c r="E103" s="419"/>
      <c r="F103" s="420"/>
      <c r="G103" s="270"/>
      <c r="H103" s="164"/>
      <c r="I103" s="270"/>
      <c r="J103" s="270"/>
      <c r="K103" s="270"/>
      <c r="L103" s="270"/>
      <c r="M103" s="270"/>
      <c r="N103" s="416"/>
      <c r="O103" s="164"/>
      <c r="P103" s="164"/>
    </row>
    <row r="104" spans="2:16" x14ac:dyDescent="0.25">
      <c r="B104" s="292"/>
      <c r="C104" s="206"/>
      <c r="D104" s="206"/>
      <c r="E104" s="199"/>
      <c r="F104" s="237"/>
      <c r="G104" s="270"/>
      <c r="H104" s="270"/>
      <c r="I104" s="270"/>
      <c r="J104" s="270"/>
      <c r="K104" s="270"/>
      <c r="L104" s="270"/>
      <c r="M104" s="270"/>
      <c r="N104" s="360"/>
      <c r="P104" s="164"/>
    </row>
    <row r="105" spans="2:16" x14ac:dyDescent="0.25">
      <c r="B105" s="270"/>
      <c r="C105" s="270"/>
      <c r="D105" s="270"/>
      <c r="E105" s="270"/>
      <c r="F105" s="270"/>
      <c r="G105" s="270"/>
      <c r="H105" s="270"/>
      <c r="I105" s="270"/>
      <c r="J105" s="270"/>
      <c r="K105" s="270"/>
      <c r="L105" s="270"/>
      <c r="M105" s="270"/>
      <c r="N105" s="360"/>
      <c r="P105" s="164"/>
    </row>
    <row r="106" spans="2:16" x14ac:dyDescent="0.25">
      <c r="B106" s="270"/>
      <c r="C106" s="270"/>
      <c r="D106" s="270"/>
      <c r="E106" s="270"/>
      <c r="F106" s="270"/>
      <c r="G106" s="270"/>
      <c r="H106" s="270"/>
      <c r="I106" s="270"/>
      <c r="J106" s="270"/>
      <c r="K106" s="270"/>
      <c r="L106" s="270"/>
      <c r="M106" s="270"/>
      <c r="N106" s="360"/>
      <c r="P106" s="164"/>
    </row>
    <row r="107" spans="2:16" x14ac:dyDescent="0.25">
      <c r="B107" s="270"/>
      <c r="C107" s="270"/>
      <c r="D107" s="270"/>
      <c r="E107" s="270"/>
      <c r="F107" s="270"/>
      <c r="G107" s="270"/>
      <c r="H107" s="270"/>
      <c r="I107" s="270"/>
      <c r="J107" s="270"/>
      <c r="K107" s="270"/>
      <c r="L107" s="270"/>
      <c r="M107" s="270"/>
      <c r="N107" s="360"/>
      <c r="P107" s="164"/>
    </row>
    <row r="108" spans="2:16" x14ac:dyDescent="0.25">
      <c r="B108" s="270"/>
      <c r="C108" s="190"/>
      <c r="D108" s="270"/>
      <c r="E108" s="299"/>
      <c r="F108" s="299"/>
      <c r="G108" s="299"/>
      <c r="H108" s="299"/>
      <c r="I108" s="292"/>
      <c r="J108" s="190"/>
      <c r="K108" s="292"/>
      <c r="L108" s="190"/>
      <c r="M108" s="270"/>
      <c r="N108" s="360"/>
      <c r="P108" s="164"/>
    </row>
    <row r="109" spans="2:16" x14ac:dyDescent="0.25">
      <c r="B109" s="270"/>
      <c r="D109" s="270"/>
      <c r="E109" s="270"/>
      <c r="F109" s="270"/>
      <c r="G109" s="270"/>
      <c r="H109" s="270"/>
      <c r="I109" s="270"/>
      <c r="J109" s="270"/>
      <c r="K109" s="270"/>
      <c r="L109" s="270"/>
      <c r="M109" s="270"/>
      <c r="N109" s="360"/>
      <c r="P109" s="164"/>
    </row>
    <row r="110" spans="2:16" x14ac:dyDescent="0.25">
      <c r="B110" s="270"/>
      <c r="D110" s="292"/>
      <c r="E110" s="270"/>
      <c r="F110" s="270"/>
      <c r="G110" s="270"/>
      <c r="H110" s="270"/>
      <c r="I110" s="270"/>
      <c r="J110" s="270"/>
      <c r="K110" s="270"/>
      <c r="L110" s="270"/>
      <c r="M110" s="270"/>
      <c r="N110" s="360"/>
      <c r="P110" s="164"/>
    </row>
    <row r="111" spans="2:16" x14ac:dyDescent="0.25">
      <c r="B111" s="270"/>
      <c r="D111" s="270"/>
      <c r="E111" s="270"/>
      <c r="F111" s="270"/>
      <c r="G111" s="270"/>
      <c r="H111" s="270"/>
      <c r="I111" s="270"/>
      <c r="J111" s="270"/>
      <c r="K111" s="270"/>
      <c r="L111" s="270"/>
      <c r="M111" s="270"/>
      <c r="N111" s="360"/>
      <c r="P111" s="164"/>
    </row>
    <row r="112" spans="2:16" x14ac:dyDescent="0.25">
      <c r="B112" s="270"/>
      <c r="D112" s="270"/>
      <c r="E112" s="270"/>
      <c r="F112" s="270"/>
      <c r="G112" s="270"/>
      <c r="H112" s="270"/>
      <c r="I112" s="270"/>
      <c r="J112" s="270"/>
      <c r="K112" s="270"/>
      <c r="L112" s="270"/>
      <c r="M112" s="270"/>
      <c r="N112" s="270"/>
      <c r="O112" s="164"/>
      <c r="P112" s="164"/>
    </row>
    <row r="113" spans="2:16" x14ac:dyDescent="0.25">
      <c r="B113" s="270"/>
      <c r="C113" s="270"/>
      <c r="D113" s="270"/>
      <c r="E113" s="270"/>
      <c r="F113" s="270"/>
      <c r="G113" s="270"/>
      <c r="H113" s="270"/>
      <c r="I113" s="270"/>
      <c r="J113" s="270"/>
      <c r="K113" s="270"/>
      <c r="L113" s="270"/>
      <c r="M113" s="270"/>
      <c r="N113" s="270"/>
      <c r="O113" s="164"/>
      <c r="P113" s="164"/>
    </row>
    <row r="114" spans="2:16" x14ac:dyDescent="0.25">
      <c r="B114" s="270"/>
      <c r="C114" s="270"/>
      <c r="D114" s="270"/>
      <c r="E114" s="270"/>
      <c r="F114" s="270"/>
      <c r="G114" s="270"/>
      <c r="H114" s="270"/>
      <c r="I114" s="270"/>
      <c r="J114" s="270"/>
      <c r="K114" s="270"/>
      <c r="L114" s="270"/>
      <c r="M114" s="270"/>
      <c r="N114" s="270"/>
      <c r="O114" s="164"/>
      <c r="P114" s="164"/>
    </row>
    <row r="115" spans="2:16" x14ac:dyDescent="0.25">
      <c r="B115" s="270"/>
      <c r="C115" s="270"/>
      <c r="D115" s="270"/>
      <c r="E115" s="270"/>
      <c r="F115" s="270"/>
      <c r="G115" s="270"/>
      <c r="H115" s="270"/>
      <c r="I115" s="270"/>
      <c r="J115" s="270"/>
      <c r="K115" s="270"/>
      <c r="L115" s="270"/>
      <c r="M115" s="270"/>
      <c r="N115" s="164"/>
      <c r="O115" s="164"/>
      <c r="P115" s="164"/>
    </row>
    <row r="116" spans="2:16" x14ac:dyDescent="0.25">
      <c r="B116" s="164"/>
      <c r="C116" s="164"/>
      <c r="D116" s="164"/>
      <c r="E116" s="164"/>
      <c r="F116" s="164"/>
      <c r="G116" s="164"/>
      <c r="H116" s="164"/>
      <c r="I116" s="164"/>
      <c r="J116" s="164"/>
      <c r="K116" s="164"/>
      <c r="L116" s="164"/>
      <c r="M116" s="164"/>
      <c r="N116" s="164"/>
      <c r="O116" s="164"/>
      <c r="P116" s="164"/>
    </row>
    <row r="117" spans="2:16" x14ac:dyDescent="0.25">
      <c r="B117" s="164"/>
      <c r="C117" s="164"/>
      <c r="D117" s="164"/>
      <c r="E117" s="164"/>
      <c r="F117" s="164"/>
      <c r="G117" s="164"/>
      <c r="H117" s="164"/>
      <c r="I117" s="164"/>
      <c r="J117" s="164"/>
      <c r="K117" s="164"/>
      <c r="L117" s="164"/>
      <c r="M117" s="164"/>
      <c r="N117" s="164"/>
      <c r="O117" s="164"/>
      <c r="P117" s="164"/>
    </row>
    <row r="118" spans="2:16" x14ac:dyDescent="0.25">
      <c r="B118" s="164"/>
      <c r="C118" s="164"/>
      <c r="D118" s="164"/>
      <c r="E118" s="164"/>
      <c r="F118" s="164"/>
      <c r="G118" s="164"/>
      <c r="H118" s="164"/>
      <c r="I118" s="164"/>
      <c r="J118" s="164"/>
      <c r="K118" s="164"/>
      <c r="L118" s="164"/>
      <c r="M118" s="164"/>
      <c r="N118" s="164"/>
      <c r="O118" s="164"/>
      <c r="P118" s="164"/>
    </row>
    <row r="119" spans="2:16" x14ac:dyDescent="0.25">
      <c r="B119" s="164"/>
      <c r="C119" s="164"/>
      <c r="D119" s="164"/>
      <c r="E119" s="164"/>
      <c r="F119" s="164"/>
      <c r="G119" s="164"/>
      <c r="H119" s="164"/>
      <c r="I119" s="164"/>
      <c r="J119" s="164"/>
      <c r="K119" s="164"/>
      <c r="L119" s="164"/>
      <c r="M119" s="164"/>
      <c r="N119" s="164"/>
      <c r="O119" s="164"/>
      <c r="P119" s="164"/>
    </row>
    <row r="120" spans="2:16" x14ac:dyDescent="0.25">
      <c r="B120" s="164"/>
      <c r="C120" s="164"/>
      <c r="D120" s="164"/>
      <c r="E120" s="164"/>
      <c r="F120" s="164"/>
      <c r="G120" s="164"/>
      <c r="H120" s="164"/>
      <c r="I120" s="164"/>
      <c r="J120" s="164"/>
      <c r="K120" s="164"/>
      <c r="L120" s="164"/>
      <c r="M120" s="164"/>
      <c r="N120" s="164"/>
      <c r="O120" s="164"/>
      <c r="P120" s="164"/>
    </row>
    <row r="121" spans="2:16" x14ac:dyDescent="0.25">
      <c r="B121" s="164"/>
      <c r="C121" s="164"/>
      <c r="D121" s="164"/>
      <c r="E121" s="164"/>
      <c r="F121" s="164"/>
      <c r="G121" s="164"/>
      <c r="H121" s="164"/>
      <c r="I121" s="164"/>
      <c r="J121" s="164"/>
      <c r="K121" s="164"/>
      <c r="L121" s="164"/>
      <c r="M121" s="164"/>
      <c r="O121" s="164"/>
      <c r="P121" s="164"/>
    </row>
    <row r="122" spans="2:16" x14ac:dyDescent="0.25">
      <c r="B122" s="164"/>
      <c r="C122" s="164"/>
      <c r="D122" s="164"/>
      <c r="E122" s="164"/>
      <c r="F122" s="164"/>
      <c r="G122" s="164"/>
      <c r="H122" s="164"/>
      <c r="I122" s="164"/>
      <c r="J122" s="164"/>
      <c r="K122" s="164"/>
      <c r="L122" s="164"/>
      <c r="M122" s="164"/>
      <c r="O122" s="164"/>
      <c r="P122" s="164"/>
    </row>
    <row r="123" spans="2:16" x14ac:dyDescent="0.25">
      <c r="B123" s="164"/>
      <c r="C123" s="164"/>
      <c r="D123" s="164"/>
      <c r="E123" s="164"/>
      <c r="F123" s="164"/>
      <c r="G123" s="164"/>
      <c r="H123" s="164"/>
      <c r="I123" s="164"/>
      <c r="J123" s="164"/>
      <c r="K123" s="164"/>
      <c r="L123" s="164"/>
      <c r="M123" s="164"/>
      <c r="O123" s="164"/>
      <c r="P123" s="164"/>
    </row>
    <row r="124" spans="2:16" x14ac:dyDescent="0.25">
      <c r="B124" s="164"/>
      <c r="C124" s="164"/>
      <c r="D124" s="164"/>
      <c r="E124" s="164"/>
      <c r="F124" s="164"/>
      <c r="G124" s="164"/>
      <c r="H124" s="164"/>
      <c r="I124" s="164"/>
      <c r="J124" s="164"/>
      <c r="K124" s="164"/>
      <c r="L124" s="164"/>
      <c r="M124" s="164"/>
      <c r="O124" s="164"/>
      <c r="P124" s="164"/>
    </row>
    <row r="125" spans="2:16" x14ac:dyDescent="0.25">
      <c r="B125" s="164"/>
      <c r="C125" s="164"/>
      <c r="D125" s="164"/>
      <c r="E125" s="164"/>
      <c r="F125" s="164"/>
      <c r="G125" s="164"/>
      <c r="H125" s="164"/>
      <c r="I125" s="164"/>
      <c r="J125" s="164"/>
      <c r="K125" s="164"/>
      <c r="L125" s="164"/>
      <c r="M125" s="164"/>
      <c r="O125" s="164"/>
      <c r="P125" s="164"/>
    </row>
    <row r="126" spans="2:16" x14ac:dyDescent="0.25">
      <c r="B126" s="164"/>
      <c r="C126" s="164"/>
      <c r="D126" s="164"/>
      <c r="E126" s="164"/>
      <c r="F126" s="164"/>
      <c r="G126" s="164"/>
      <c r="H126" s="164"/>
      <c r="I126" s="164"/>
      <c r="J126" s="164"/>
      <c r="K126" s="164"/>
      <c r="L126" s="164"/>
      <c r="M126" s="164"/>
      <c r="O126" s="164"/>
      <c r="P126" s="164"/>
    </row>
    <row r="127" spans="2:16" x14ac:dyDescent="0.25">
      <c r="B127" s="164"/>
      <c r="C127" s="164"/>
      <c r="D127" s="164"/>
      <c r="E127" s="164"/>
      <c r="F127" s="164"/>
      <c r="G127" s="164"/>
      <c r="H127" s="164"/>
      <c r="I127" s="164"/>
      <c r="J127" s="164"/>
      <c r="K127" s="164"/>
      <c r="L127" s="164"/>
      <c r="M127" s="164"/>
      <c r="O127" s="164"/>
      <c r="P127" s="164"/>
    </row>
    <row r="128" spans="2:16" x14ac:dyDescent="0.25">
      <c r="B128" s="164"/>
      <c r="C128" s="164"/>
      <c r="D128" s="164"/>
      <c r="E128" s="164"/>
      <c r="F128" s="164"/>
      <c r="G128" s="164"/>
      <c r="H128" s="164"/>
      <c r="I128" s="164"/>
      <c r="J128" s="164"/>
      <c r="K128" s="164"/>
      <c r="L128" s="164"/>
      <c r="M128" s="164"/>
      <c r="N128" s="164"/>
      <c r="O128" s="164"/>
      <c r="P128" s="164"/>
    </row>
    <row r="129" spans="2:16" x14ac:dyDescent="0.25">
      <c r="B129" s="164"/>
      <c r="C129" s="164"/>
      <c r="D129" s="164"/>
      <c r="E129" s="164"/>
      <c r="F129" s="164"/>
      <c r="G129" s="164"/>
      <c r="H129" s="164"/>
      <c r="I129" s="164"/>
      <c r="J129" s="164"/>
      <c r="K129" s="164"/>
      <c r="L129" s="164"/>
      <c r="M129" s="164"/>
      <c r="N129" s="164"/>
      <c r="O129" s="164"/>
      <c r="P129" s="164"/>
    </row>
    <row r="130" spans="2:16" x14ac:dyDescent="0.25">
      <c r="B130" s="164"/>
      <c r="C130" s="164"/>
      <c r="D130" s="164"/>
      <c r="E130" s="164"/>
      <c r="F130" s="164"/>
      <c r="G130" s="164"/>
      <c r="H130" s="164"/>
      <c r="I130" s="164"/>
      <c r="J130" s="164"/>
      <c r="K130" s="164"/>
      <c r="L130" s="164"/>
      <c r="M130" s="164"/>
      <c r="N130" s="164"/>
      <c r="O130" s="164"/>
      <c r="P130" s="164"/>
    </row>
  </sheetData>
  <mergeCells count="15">
    <mergeCell ref="AW31:BI31"/>
    <mergeCell ref="BJ31:BJ32"/>
    <mergeCell ref="AW42:BI42"/>
    <mergeCell ref="BJ42:BJ43"/>
    <mergeCell ref="AV52:AV53"/>
    <mergeCell ref="AW52:BI52"/>
    <mergeCell ref="BJ52:BJ53"/>
    <mergeCell ref="S4:T4"/>
    <mergeCell ref="Q52:Q53"/>
    <mergeCell ref="R52:AD52"/>
    <mergeCell ref="AE52:AE53"/>
    <mergeCell ref="R31:AD31"/>
    <mergeCell ref="AE31:AE32"/>
    <mergeCell ref="R42:AD42"/>
    <mergeCell ref="AE42:AE43"/>
  </mergeCells>
  <phoneticPr fontId="29" type="noConversion"/>
  <conditionalFormatting sqref="I96:J96 M95:M98">
    <cfRule type="cellIs" dxfId="21" priority="18" operator="between">
      <formula>0</formula>
      <formula>0</formula>
    </cfRule>
  </conditionalFormatting>
  <conditionalFormatting sqref="AH49:BI49 AH50:AU51 AW50:BJ51 AH54:BI58 AI33:AV33 AI35:AV38 AI34:AU34 AH33:AH35 AW33:BI35">
    <cfRule type="cellIs" dxfId="20" priority="10" operator="between">
      <formula>0</formula>
      <formula>0</formula>
    </cfRule>
  </conditionalFormatting>
  <conditionalFormatting sqref="C59:N60 AW41:BJ41 AH41:AU41 AH42:AH43 AH38 I61:N61 AH44:AV48">
    <cfRule type="cellIs" dxfId="19" priority="9" operator="between">
      <formula>0</formula>
      <formula>0</formula>
    </cfRule>
  </conditionalFormatting>
  <conditionalFormatting sqref="AH36:AH37">
    <cfRule type="cellIs" dxfId="18" priority="8" operator="between">
      <formula>0</formula>
      <formula>0</formula>
    </cfRule>
  </conditionalFormatting>
  <conditionalFormatting sqref="AZ38:BI38">
    <cfRule type="cellIs" dxfId="17" priority="7" operator="between">
      <formula>0</formula>
      <formula>0</formula>
    </cfRule>
  </conditionalFormatting>
  <conditionalFormatting sqref="AW36:BI36 AW37:AY38 AZ37:BI37">
    <cfRule type="cellIs" dxfId="16" priority="6" operator="between">
      <formula>0</formula>
      <formula>0</formula>
    </cfRule>
  </conditionalFormatting>
  <conditionalFormatting sqref="C49:AD49 C50:P51 R50:AE51 C33:C35 R33:AD35 C54:AD58 D33:Q38">
    <cfRule type="cellIs" dxfId="15" priority="5" operator="between">
      <formula>0</formula>
      <formula>0</formula>
    </cfRule>
  </conditionalFormatting>
  <conditionalFormatting sqref="R41:AE41 C41:P41 C42:C43 C38 C44:Q48">
    <cfRule type="cellIs" dxfId="14" priority="4" operator="between">
      <formula>0</formula>
      <formula>0</formula>
    </cfRule>
  </conditionalFormatting>
  <conditionalFormatting sqref="C36:C37">
    <cfRule type="cellIs" dxfId="13" priority="3" operator="between">
      <formula>0</formula>
      <formula>0</formula>
    </cfRule>
  </conditionalFormatting>
  <conditionalFormatting sqref="U38:AD38">
    <cfRule type="cellIs" dxfId="12" priority="2" operator="between">
      <formula>0</formula>
      <formula>0</formula>
    </cfRule>
  </conditionalFormatting>
  <conditionalFormatting sqref="R36:AD36 R37:T38 U37:AD37">
    <cfRule type="cellIs" dxfId="11" priority="1" operator="between">
      <formula>0</formula>
      <formula>0</formula>
    </cfRule>
  </conditionalFormatting>
  <dataValidations count="1">
    <dataValidation type="list" allowBlank="1" showInputMessage="1" showErrorMessage="1" sqref="R4" xr:uid="{00000000-0002-0000-0400-000000000000}">
      <formula1>"Y2O3, YF3"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H99"/>
  <sheetViews>
    <sheetView zoomScale="80" zoomScaleNormal="80" workbookViewId="0">
      <selection activeCell="J15" sqref="J15"/>
    </sheetView>
  </sheetViews>
  <sheetFormatPr defaultRowHeight="15" x14ac:dyDescent="0.25"/>
  <cols>
    <col min="5" max="5" width="51.42578125" bestFit="1" customWidth="1"/>
    <col min="6" max="14" width="13.5703125" bestFit="1" customWidth="1"/>
    <col min="18" max="18" width="16.140625" bestFit="1" customWidth="1"/>
  </cols>
  <sheetData>
    <row r="1" spans="1:14" ht="21" x14ac:dyDescent="0.35">
      <c r="A1" s="1" t="s">
        <v>206</v>
      </c>
    </row>
    <row r="3" spans="1:14" x14ac:dyDescent="0.25">
      <c r="A3" t="s">
        <v>207</v>
      </c>
      <c r="E3" s="217" t="s">
        <v>208</v>
      </c>
    </row>
    <row r="4" spans="1:14" x14ac:dyDescent="0.25">
      <c r="A4" t="s">
        <v>209</v>
      </c>
      <c r="B4">
        <v>96485</v>
      </c>
      <c r="C4" t="s">
        <v>210</v>
      </c>
      <c r="E4" t="str">
        <f>E60</f>
        <v>SiO2 Dissociation Potential [V]</v>
      </c>
      <c r="F4" s="192">
        <f t="shared" ref="F4:N4" si="0">F60</f>
        <v>1.8194921512492113</v>
      </c>
      <c r="G4" s="192">
        <f t="shared" si="0"/>
        <v>1.8001904083256663</v>
      </c>
      <c r="H4" s="192">
        <f t="shared" si="0"/>
        <v>1.7820718112032738</v>
      </c>
      <c r="I4" s="192">
        <f t="shared" si="0"/>
        <v>1.7654020486811091</v>
      </c>
      <c r="J4" s="192">
        <f t="shared" si="0"/>
        <v>1.7504862134083323</v>
      </c>
      <c r="K4" s="192">
        <f t="shared" si="0"/>
        <v>1.7376714450928497</v>
      </c>
      <c r="L4" s="192">
        <f t="shared" si="0"/>
        <v>1.7273495655562237</v>
      </c>
      <c r="M4" s="192">
        <f t="shared" si="0"/>
        <v>1.7199597070203048</v>
      </c>
      <c r="N4" s="192">
        <f t="shared" si="0"/>
        <v>1.7159909347377487</v>
      </c>
    </row>
    <row r="5" spans="1:14" x14ac:dyDescent="0.25">
      <c r="A5" t="s">
        <v>211</v>
      </c>
      <c r="B5">
        <v>298</v>
      </c>
      <c r="C5" t="s">
        <v>212</v>
      </c>
      <c r="E5" t="str">
        <f>E65</f>
        <v>Total P Losses Anode [V]</v>
      </c>
      <c r="F5" s="192">
        <f t="shared" ref="F5:N5" si="1">F65</f>
        <v>0.15857549463898893</v>
      </c>
      <c r="G5" s="192">
        <f t="shared" si="1"/>
        <v>0.16648194346535003</v>
      </c>
      <c r="H5" s="192">
        <f t="shared" si="1"/>
        <v>0.17438115580532204</v>
      </c>
      <c r="I5" s="192">
        <f t="shared" si="1"/>
        <v>0.1822740724842675</v>
      </c>
      <c r="J5" s="192">
        <f t="shared" si="1"/>
        <v>0.19016147743431108</v>
      </c>
      <c r="K5" s="192">
        <f t="shared" si="1"/>
        <v>0.19804402919553016</v>
      </c>
      <c r="L5" s="192">
        <f t="shared" si="1"/>
        <v>0.20592228509804372</v>
      </c>
      <c r="M5" s="192">
        <f t="shared" si="1"/>
        <v>0.21379672004032241</v>
      </c>
      <c r="N5" s="192">
        <f t="shared" si="1"/>
        <v>0.22166774122546565</v>
      </c>
    </row>
    <row r="6" spans="1:14" x14ac:dyDescent="0.25">
      <c r="A6" t="s">
        <v>213</v>
      </c>
      <c r="B6" s="194">
        <v>2.4500000000000001E-8</v>
      </c>
      <c r="C6" t="s">
        <v>214</v>
      </c>
      <c r="E6" t="str">
        <f>E66</f>
        <v>Total P Losses Cathode [V]</v>
      </c>
      <c r="F6" s="192">
        <f t="shared" ref="F6:N6" si="2">F66</f>
        <v>0.15857549463898893</v>
      </c>
      <c r="G6" s="192">
        <f t="shared" si="2"/>
        <v>0.16648194346535003</v>
      </c>
      <c r="H6" s="192">
        <f t="shared" si="2"/>
        <v>0.17438115580532204</v>
      </c>
      <c r="I6" s="192">
        <f t="shared" si="2"/>
        <v>0.1822740724842675</v>
      </c>
      <c r="J6" s="192">
        <f t="shared" si="2"/>
        <v>0.19016147743431108</v>
      </c>
      <c r="K6" s="192">
        <f t="shared" si="2"/>
        <v>0.19804402919553016</v>
      </c>
      <c r="L6" s="192">
        <f t="shared" si="2"/>
        <v>0.20592228509804372</v>
      </c>
      <c r="M6" s="192">
        <f t="shared" si="2"/>
        <v>0.21379672004032241</v>
      </c>
      <c r="N6" s="192">
        <f t="shared" si="2"/>
        <v>0.22166774122546565</v>
      </c>
    </row>
    <row r="7" spans="1:14" x14ac:dyDescent="0.25">
      <c r="A7" t="s">
        <v>215</v>
      </c>
      <c r="B7">
        <v>28.08</v>
      </c>
      <c r="C7" t="s">
        <v>216</v>
      </c>
      <c r="E7" t="str">
        <f t="shared" ref="E7:N7" si="3">E83</f>
        <v>YSZ Electrolyte Membrane IR [V]</v>
      </c>
      <c r="F7" s="192">
        <f t="shared" si="3"/>
        <v>2.3563098511817082</v>
      </c>
      <c r="G7" s="192">
        <f t="shared" si="3"/>
        <v>1.8021695230529893</v>
      </c>
      <c r="H7" s="192">
        <f t="shared" si="3"/>
        <v>1.4076851377553965</v>
      </c>
      <c r="I7" s="192">
        <f t="shared" si="3"/>
        <v>1.1202759636069979</v>
      </c>
      <c r="J7" s="192">
        <f t="shared" si="3"/>
        <v>0.90650070340992828</v>
      </c>
      <c r="K7" s="192">
        <f t="shared" si="3"/>
        <v>0.74451500761959</v>
      </c>
      <c r="L7" s="192">
        <f t="shared" si="3"/>
        <v>0.61970198557360379</v>
      </c>
      <c r="M7" s="192">
        <f t="shared" si="3"/>
        <v>0.52206525690095684</v>
      </c>
      <c r="N7" s="192">
        <f t="shared" si="3"/>
        <v>0.44463147795055219</v>
      </c>
    </row>
    <row r="8" spans="1:14" x14ac:dyDescent="0.25">
      <c r="A8" t="s">
        <v>217</v>
      </c>
      <c r="B8">
        <v>60.08</v>
      </c>
      <c r="C8" t="s">
        <v>216</v>
      </c>
      <c r="E8" t="str">
        <f>E89</f>
        <v>Molten Salt IR [V]</v>
      </c>
      <c r="F8" s="192">
        <f t="shared" ref="F8:N8" si="4">F89</f>
        <v>2.275636178045648</v>
      </c>
      <c r="G8" s="192">
        <f t="shared" si="4"/>
        <v>1.3310987975107647</v>
      </c>
      <c r="H8" s="192">
        <f t="shared" si="4"/>
        <v>0.81210564962893594</v>
      </c>
      <c r="I8" s="192">
        <f t="shared" si="4"/>
        <v>0.51432225112519148</v>
      </c>
      <c r="J8" s="192">
        <f t="shared" si="4"/>
        <v>0.33674917887087197</v>
      </c>
      <c r="K8" s="192">
        <f t="shared" si="4"/>
        <v>0.22714500979777374</v>
      </c>
      <c r="L8" s="192">
        <f t="shared" si="4"/>
        <v>0.15736532509299395</v>
      </c>
      <c r="M8" s="192">
        <f t="shared" si="4"/>
        <v>0.11168135845064549</v>
      </c>
      <c r="N8" s="192">
        <f t="shared" si="4"/>
        <v>8.1006547649277769E-2</v>
      </c>
    </row>
    <row r="9" spans="1:14" x14ac:dyDescent="0.25">
      <c r="E9" t="s">
        <v>218</v>
      </c>
    </row>
    <row r="10" spans="1:14" x14ac:dyDescent="0.25">
      <c r="F10" s="192"/>
      <c r="G10" s="192"/>
      <c r="H10" s="192"/>
      <c r="I10" s="192"/>
      <c r="J10" s="192"/>
      <c r="K10" s="192"/>
      <c r="L10" s="192"/>
      <c r="M10" s="192"/>
      <c r="N10" s="192"/>
    </row>
    <row r="11" spans="1:14" x14ac:dyDescent="0.25">
      <c r="E11" s="217" t="s">
        <v>219</v>
      </c>
      <c r="F11" s="192">
        <f t="shared" ref="F11:N11" si="5">SUM(F4:F10)</f>
        <v>6.7685891697545451</v>
      </c>
      <c r="G11" s="192">
        <f t="shared" si="5"/>
        <v>5.2664226158201206</v>
      </c>
      <c r="H11" s="192">
        <f t="shared" si="5"/>
        <v>4.3506249101982508</v>
      </c>
      <c r="I11" s="192">
        <f t="shared" si="5"/>
        <v>3.7645484083818337</v>
      </c>
      <c r="J11" s="192">
        <f t="shared" si="5"/>
        <v>3.3740590505577548</v>
      </c>
      <c r="K11" s="192">
        <f t="shared" si="5"/>
        <v>3.105419520901274</v>
      </c>
      <c r="L11" s="192">
        <f t="shared" si="5"/>
        <v>2.9162614464189085</v>
      </c>
      <c r="M11" s="192">
        <f t="shared" si="5"/>
        <v>2.7812997624525519</v>
      </c>
      <c r="N11" s="192">
        <f t="shared" si="5"/>
        <v>2.6849644427885102</v>
      </c>
    </row>
    <row r="12" spans="1:14" x14ac:dyDescent="0.25">
      <c r="E12" t="s">
        <v>220</v>
      </c>
      <c r="F12" s="192">
        <f>4*96485*F11/1000</f>
        <v>2612.269304175069</v>
      </c>
      <c r="G12" s="192">
        <f t="shared" ref="G12:M12" si="6">4*96485*G11/1000</f>
        <v>2032.5231443496175</v>
      </c>
      <c r="H12" s="192">
        <f t="shared" si="6"/>
        <v>1679.0801778419129</v>
      </c>
      <c r="I12" s="192">
        <f t="shared" si="6"/>
        <v>1452.8898127308848</v>
      </c>
      <c r="J12" s="192">
        <f t="shared" si="6"/>
        <v>1302.18434997226</v>
      </c>
      <c r="K12" s="192">
        <f t="shared" si="6"/>
        <v>1198.5056098966377</v>
      </c>
      <c r="L12" s="192">
        <f>4*96485*L11/1000</f>
        <v>1125.5019426309136</v>
      </c>
      <c r="M12" s="192">
        <f t="shared" si="6"/>
        <v>1073.4148303209379</v>
      </c>
      <c r="N12" s="192">
        <f>4*96485*N11/1000</f>
        <v>1036.2351770497976</v>
      </c>
    </row>
    <row r="13" spans="1:14" x14ac:dyDescent="0.25">
      <c r="E13" t="s">
        <v>221</v>
      </c>
      <c r="F13" s="192">
        <f>F12/($B$7/1000)/3600</f>
        <v>25.841537117907858</v>
      </c>
      <c r="G13" s="192">
        <f t="shared" ref="G13:M13" si="7">G12/($B$7/1000)/3600</f>
        <v>20.106473017070449</v>
      </c>
      <c r="H13" s="192">
        <f t="shared" si="7"/>
        <v>16.610084063804933</v>
      </c>
      <c r="I13" s="192">
        <f t="shared" si="7"/>
        <v>14.372525054713565</v>
      </c>
      <c r="J13" s="192">
        <f t="shared" si="7"/>
        <v>12.88169070485379</v>
      </c>
      <c r="K13" s="192">
        <f t="shared" si="7"/>
        <v>11.856062142852146</v>
      </c>
      <c r="L13" s="192">
        <f t="shared" si="7"/>
        <v>11.133882781644841</v>
      </c>
      <c r="M13" s="192">
        <f t="shared" si="7"/>
        <v>10.618617742174521</v>
      </c>
      <c r="N13" s="192">
        <f>N12/($B$7/1000)/3600</f>
        <v>10.250822818235575</v>
      </c>
    </row>
    <row r="14" spans="1:14" x14ac:dyDescent="0.25">
      <c r="E14" s="6" t="s">
        <v>222</v>
      </c>
      <c r="F14" s="192">
        <v>0.99990000000000001</v>
      </c>
      <c r="G14" s="192">
        <f>$F$14</f>
        <v>0.99990000000000001</v>
      </c>
      <c r="H14" s="192">
        <f t="shared" ref="H14:N14" si="8">$F$14</f>
        <v>0.99990000000000001</v>
      </c>
      <c r="I14" s="192">
        <f t="shared" si="8"/>
        <v>0.99990000000000001</v>
      </c>
      <c r="J14" s="192">
        <f t="shared" si="8"/>
        <v>0.99990000000000001</v>
      </c>
      <c r="K14" s="192">
        <f t="shared" si="8"/>
        <v>0.99990000000000001</v>
      </c>
      <c r="L14" s="192">
        <f t="shared" si="8"/>
        <v>0.99990000000000001</v>
      </c>
      <c r="M14" s="192">
        <f t="shared" si="8"/>
        <v>0.99990000000000001</v>
      </c>
      <c r="N14" s="192">
        <f t="shared" si="8"/>
        <v>0.99990000000000001</v>
      </c>
    </row>
    <row r="15" spans="1:14" x14ac:dyDescent="0.25">
      <c r="E15" s="217" t="s">
        <v>223</v>
      </c>
      <c r="F15" s="192">
        <f t="shared" ref="F15:M15" si="9">F13/F14</f>
        <v>25.844121530060864</v>
      </c>
      <c r="G15" s="192">
        <f t="shared" si="9"/>
        <v>20.108483865456996</v>
      </c>
      <c r="H15" s="192">
        <f t="shared" si="9"/>
        <v>16.611745238328766</v>
      </c>
      <c r="I15" s="192">
        <f t="shared" si="9"/>
        <v>14.373962450958661</v>
      </c>
      <c r="J15" s="192">
        <f t="shared" si="9"/>
        <v>12.882979002754066</v>
      </c>
      <c r="K15" s="192">
        <f t="shared" si="9"/>
        <v>11.857247867638909</v>
      </c>
      <c r="L15" s="192">
        <f t="shared" si="9"/>
        <v>11.134996281272969</v>
      </c>
      <c r="M15" s="192">
        <f t="shared" si="9"/>
        <v>10.619679710145537</v>
      </c>
      <c r="N15" s="192">
        <f>N13/N14</f>
        <v>10.251848003035878</v>
      </c>
    </row>
    <row r="17" spans="4:34" x14ac:dyDescent="0.25">
      <c r="F17" s="192"/>
      <c r="G17" s="192"/>
      <c r="H17" s="192"/>
      <c r="I17" s="192"/>
      <c r="J17" s="192"/>
      <c r="K17" s="192"/>
      <c r="L17" s="192"/>
      <c r="M17" s="192"/>
      <c r="N17" s="192"/>
    </row>
    <row r="18" spans="4:34" x14ac:dyDescent="0.25">
      <c r="E18" s="217" t="s">
        <v>224</v>
      </c>
      <c r="F18" s="192"/>
      <c r="G18" s="192"/>
      <c r="H18" s="192"/>
      <c r="I18" s="192"/>
      <c r="J18" s="192"/>
      <c r="K18" s="192"/>
      <c r="L18" s="192"/>
      <c r="M18" s="192"/>
      <c r="N18" s="192"/>
    </row>
    <row r="19" spans="4:34" x14ac:dyDescent="0.25">
      <c r="E19" t="str">
        <f>E61</f>
        <v>SiO2 Dissociation Enthalpy [kWh/kg Si]</v>
      </c>
      <c r="F19" s="192">
        <f>F61</f>
        <v>8.7212571521871443</v>
      </c>
      <c r="G19" s="192">
        <f t="shared" ref="G19:N19" si="10">G61</f>
        <v>8.6239661849350426</v>
      </c>
      <c r="H19" s="192">
        <f t="shared" si="10"/>
        <v>8.4990807861679976</v>
      </c>
      <c r="I19" s="192">
        <f t="shared" si="10"/>
        <v>8.3409409931727492</v>
      </c>
      <c r="J19" s="192">
        <f t="shared" si="10"/>
        <v>8.1431781639026593</v>
      </c>
      <c r="K19" s="192">
        <f t="shared" si="10"/>
        <v>7.8986754963499566</v>
      </c>
      <c r="L19" s="192">
        <f t="shared" si="10"/>
        <v>7.5995285479182035</v>
      </c>
      <c r="M19" s="192">
        <f t="shared" si="10"/>
        <v>7.2370057547944686</v>
      </c>
      <c r="N19" s="192">
        <f t="shared" si="10"/>
        <v>6.8015089513217646</v>
      </c>
      <c r="O19" s="192"/>
    </row>
    <row r="20" spans="4:34" x14ac:dyDescent="0.25">
      <c r="E20" t="str">
        <f>E68</f>
        <v>Total Theoretical Anode Heat Losses [kWh/kg Si]</v>
      </c>
      <c r="F20" s="192">
        <f t="shared" ref="F20:N20" si="11">F68</f>
        <v>1.2108386040078227</v>
      </c>
      <c r="G20" s="192">
        <f t="shared" si="11"/>
        <v>1.271210059770046</v>
      </c>
      <c r="H20" s="192">
        <f t="shared" si="11"/>
        <v>1.3315262597243192</v>
      </c>
      <c r="I20" s="192">
        <f t="shared" si="11"/>
        <v>1.3917943877528136</v>
      </c>
      <c r="J20" s="192">
        <f t="shared" si="11"/>
        <v>1.4520204297443422</v>
      </c>
      <c r="K20" s="192">
        <f t="shared" si="11"/>
        <v>1.5122094141287374</v>
      </c>
      <c r="L20" s="192">
        <f t="shared" si="11"/>
        <v>1.5723655965245924</v>
      </c>
      <c r="M20" s="192">
        <f t="shared" si="11"/>
        <v>1.6324926031252383</v>
      </c>
      <c r="N20" s="192">
        <f t="shared" si="11"/>
        <v>1.6925935432208812</v>
      </c>
    </row>
    <row r="21" spans="4:34" x14ac:dyDescent="0.25">
      <c r="E21" t="str">
        <f>E70</f>
        <v>Total Theoretical Cathode Heat Losses [kWh/kg Si]</v>
      </c>
      <c r="F21" s="192">
        <f t="shared" ref="F21:N21" si="12">F70</f>
        <v>1.2108386040078227</v>
      </c>
      <c r="G21" s="192">
        <f t="shared" si="12"/>
        <v>1.271210059770046</v>
      </c>
      <c r="H21" s="192">
        <f t="shared" si="12"/>
        <v>1.3315262597243192</v>
      </c>
      <c r="I21" s="192">
        <f t="shared" si="12"/>
        <v>1.3917943877528136</v>
      </c>
      <c r="J21" s="192">
        <f t="shared" si="12"/>
        <v>1.4520204297443422</v>
      </c>
      <c r="K21" s="192">
        <f t="shared" si="12"/>
        <v>1.5122094141287374</v>
      </c>
      <c r="L21" s="192">
        <f>L70</f>
        <v>1.5723655965245924</v>
      </c>
      <c r="M21" s="192">
        <f t="shared" si="12"/>
        <v>1.6324926031252383</v>
      </c>
      <c r="N21" s="192">
        <f t="shared" si="12"/>
        <v>1.6925935432208812</v>
      </c>
    </row>
    <row r="22" spans="4:34" x14ac:dyDescent="0.25">
      <c r="E22" t="str">
        <f>E72</f>
        <v>Specific Heat Silicon Oxide [kWh/kg Si]</v>
      </c>
      <c r="F22" s="192">
        <f t="shared" ref="F22:N22" si="13">F72</f>
        <v>0.26560188267495194</v>
      </c>
      <c r="G22" s="192">
        <f t="shared" si="13"/>
        <v>0.28200593652907235</v>
      </c>
      <c r="H22" s="192">
        <f t="shared" si="13"/>
        <v>0.29853482393845249</v>
      </c>
      <c r="I22" s="192">
        <f t="shared" si="13"/>
        <v>0.31515941707353157</v>
      </c>
      <c r="J22" s="192">
        <f t="shared" si="13"/>
        <v>0.33189636040834442</v>
      </c>
      <c r="K22" s="192">
        <f t="shared" si="13"/>
        <v>0.34875027740790054</v>
      </c>
      <c r="L22" s="192">
        <f t="shared" si="13"/>
        <v>0.3657415113182424</v>
      </c>
      <c r="M22" s="192">
        <f t="shared" si="13"/>
        <v>0.38294542461902648</v>
      </c>
      <c r="N22" s="192">
        <f t="shared" si="13"/>
        <v>0.40039900503032994</v>
      </c>
    </row>
    <row r="23" spans="4:34" x14ac:dyDescent="0.25">
      <c r="E23" s="6" t="s">
        <v>225</v>
      </c>
      <c r="F23" s="204">
        <f>F15-SUM(F19:F22)</f>
        <v>14.435585287183123</v>
      </c>
      <c r="G23" s="204">
        <f>G15-SUM(G19:G22)</f>
        <v>8.6600916244527877</v>
      </c>
      <c r="H23" s="204">
        <f t="shared" ref="H23:N23" si="14">H15-SUM(H19:H22)</f>
        <v>5.1510771087736789</v>
      </c>
      <c r="I23" s="204">
        <f t="shared" si="14"/>
        <v>2.9342732652067536</v>
      </c>
      <c r="J23" s="204">
        <f t="shared" si="14"/>
        <v>1.5038636189543784</v>
      </c>
      <c r="K23" s="204">
        <f t="shared" si="14"/>
        <v>0.5854032656235777</v>
      </c>
      <c r="L23" s="204">
        <f t="shared" si="14"/>
        <v>2.499502898733752E-2</v>
      </c>
      <c r="M23" s="204">
        <f t="shared" si="14"/>
        <v>-0.26525667551843313</v>
      </c>
      <c r="N23" s="204">
        <f t="shared" si="14"/>
        <v>-0.33524703975797721</v>
      </c>
    </row>
    <row r="24" spans="4:34" x14ac:dyDescent="0.25">
      <c r="F24" s="192"/>
      <c r="G24" s="192"/>
      <c r="H24" s="192"/>
      <c r="I24" s="192"/>
      <c r="J24" s="192"/>
      <c r="K24" s="192"/>
      <c r="L24" s="192"/>
      <c r="M24" s="192"/>
      <c r="N24" s="192"/>
    </row>
    <row r="25" spans="4:34" x14ac:dyDescent="0.25">
      <c r="F25" s="192"/>
      <c r="G25" s="192"/>
      <c r="H25" s="192"/>
      <c r="I25" s="192"/>
      <c r="J25" s="192"/>
      <c r="K25" s="192"/>
      <c r="L25" s="192"/>
      <c r="M25" s="192"/>
      <c r="N25" s="192"/>
    </row>
    <row r="27" spans="4:34" x14ac:dyDescent="0.25">
      <c r="D27" s="801" t="s">
        <v>226</v>
      </c>
      <c r="E27" s="801"/>
      <c r="F27">
        <v>900</v>
      </c>
      <c r="G27">
        <v>950</v>
      </c>
      <c r="H27">
        <v>1000</v>
      </c>
      <c r="I27">
        <v>1050</v>
      </c>
      <c r="J27">
        <v>1100</v>
      </c>
      <c r="K27">
        <v>1150</v>
      </c>
      <c r="L27">
        <v>1200</v>
      </c>
      <c r="M27">
        <v>1250</v>
      </c>
      <c r="N27">
        <v>1300</v>
      </c>
    </row>
    <row r="28" spans="4:34" x14ac:dyDescent="0.25">
      <c r="D28" s="801" t="s">
        <v>227</v>
      </c>
      <c r="E28" s="801"/>
      <c r="F28">
        <f t="shared" ref="F28:N28" si="15">F27+273</f>
        <v>1173</v>
      </c>
      <c r="G28">
        <f t="shared" si="15"/>
        <v>1223</v>
      </c>
      <c r="H28">
        <f t="shared" si="15"/>
        <v>1273</v>
      </c>
      <c r="I28">
        <f t="shared" si="15"/>
        <v>1323</v>
      </c>
      <c r="J28">
        <f t="shared" si="15"/>
        <v>1373</v>
      </c>
      <c r="K28">
        <f t="shared" si="15"/>
        <v>1423</v>
      </c>
      <c r="L28">
        <f t="shared" si="15"/>
        <v>1473</v>
      </c>
      <c r="M28">
        <f t="shared" si="15"/>
        <v>1523</v>
      </c>
      <c r="N28">
        <f t="shared" si="15"/>
        <v>1573</v>
      </c>
    </row>
    <row r="30" spans="4:34" x14ac:dyDescent="0.25">
      <c r="D30" s="800" t="s">
        <v>228</v>
      </c>
      <c r="E30" s="800"/>
      <c r="R30" s="192" t="s">
        <v>229</v>
      </c>
      <c r="Y30" s="192"/>
      <c r="Z30" s="192"/>
      <c r="AA30" s="192"/>
      <c r="AB30" s="192"/>
      <c r="AC30" s="192"/>
      <c r="AD30" s="192"/>
      <c r="AE30" s="192"/>
      <c r="AF30" s="192"/>
      <c r="AG30" s="192"/>
      <c r="AH30" s="192"/>
    </row>
    <row r="31" spans="4:34" x14ac:dyDescent="0.25">
      <c r="D31" s="805" t="s">
        <v>52</v>
      </c>
      <c r="E31" s="18" t="s">
        <v>230</v>
      </c>
      <c r="F31" s="201">
        <v>-831041190.61431801</v>
      </c>
      <c r="G31" s="201">
        <v>-818056124.664397</v>
      </c>
      <c r="H31" s="201">
        <v>-802263652.42664802</v>
      </c>
      <c r="I31" s="201">
        <v>-783092152.14597797</v>
      </c>
      <c r="J31" s="201">
        <v>-759898279.29416597</v>
      </c>
      <c r="K31" s="201">
        <v>-731962991.18873096</v>
      </c>
      <c r="L31" s="201">
        <v>-698487571.61181796</v>
      </c>
      <c r="M31" s="201">
        <v>-658589655.42905796</v>
      </c>
      <c r="N31" s="201">
        <v>-611299253.20845306</v>
      </c>
      <c r="R31" s="192"/>
    </row>
    <row r="32" spans="4:34" x14ac:dyDescent="0.25">
      <c r="D32" s="805"/>
      <c r="E32" s="18" t="s">
        <v>231</v>
      </c>
      <c r="F32" s="195">
        <f t="shared" ref="F32:M32" si="16">F31/1000/1000</f>
        <v>-831.041190614318</v>
      </c>
      <c r="G32" s="195">
        <f t="shared" si="16"/>
        <v>-818.05612466439698</v>
      </c>
      <c r="H32" s="195">
        <f t="shared" si="16"/>
        <v>-802.26365242664804</v>
      </c>
      <c r="I32" s="195">
        <f t="shared" si="16"/>
        <v>-783.09215214597793</v>
      </c>
      <c r="J32" s="195">
        <f t="shared" si="16"/>
        <v>-759.89827929416606</v>
      </c>
      <c r="K32" s="195">
        <f t="shared" si="16"/>
        <v>-731.96299118873094</v>
      </c>
      <c r="L32" s="195">
        <f t="shared" si="16"/>
        <v>-698.48757161181788</v>
      </c>
      <c r="M32" s="195">
        <f t="shared" si="16"/>
        <v>-658.58965542905798</v>
      </c>
      <c r="N32" s="195">
        <f>N31/1000/1000</f>
        <v>-611.29925320845302</v>
      </c>
      <c r="R32" s="192"/>
    </row>
    <row r="33" spans="4:26" x14ac:dyDescent="0.25">
      <c r="D33" s="805"/>
      <c r="E33" s="18" t="s">
        <v>232</v>
      </c>
      <c r="F33" s="202">
        <v>148133.11363954999</v>
      </c>
      <c r="G33" s="202">
        <v>158966.25673826001</v>
      </c>
      <c r="H33" s="202">
        <v>171613.93355794999</v>
      </c>
      <c r="I33" s="202">
        <v>186376.67265471999</v>
      </c>
      <c r="J33" s="202">
        <v>203574.76773039001</v>
      </c>
      <c r="K33" s="202">
        <v>223548.29363026001</v>
      </c>
      <c r="L33" s="202">
        <v>246657.11957695999</v>
      </c>
      <c r="M33" s="202">
        <v>273280.92019446997</v>
      </c>
      <c r="N33" s="202">
        <v>303819.18475065002</v>
      </c>
      <c r="R33" s="192"/>
    </row>
    <row r="34" spans="4:26" x14ac:dyDescent="0.25">
      <c r="D34" s="805"/>
      <c r="E34" s="18" t="s">
        <v>233</v>
      </c>
      <c r="F34" s="195">
        <f t="shared" ref="F34:N34" si="17">F33/1000/1000</f>
        <v>0.14813311363955001</v>
      </c>
      <c r="G34" s="195">
        <f t="shared" si="17"/>
        <v>0.15896625673826001</v>
      </c>
      <c r="H34" s="195">
        <f t="shared" si="17"/>
        <v>0.17161393355794999</v>
      </c>
      <c r="I34" s="195">
        <f t="shared" si="17"/>
        <v>0.18637667265471999</v>
      </c>
      <c r="J34" s="195">
        <f t="shared" si="17"/>
        <v>0.20357476773039002</v>
      </c>
      <c r="K34" s="195">
        <f t="shared" si="17"/>
        <v>0.22354829363026002</v>
      </c>
      <c r="L34" s="195">
        <f t="shared" si="17"/>
        <v>0.24665711957695999</v>
      </c>
      <c r="M34" s="195">
        <f t="shared" si="17"/>
        <v>0.27328092019446998</v>
      </c>
      <c r="N34" s="195">
        <f t="shared" si="17"/>
        <v>0.30381918475065006</v>
      </c>
      <c r="R34" s="192"/>
    </row>
    <row r="35" spans="4:26" x14ac:dyDescent="0.25">
      <c r="D35" s="805"/>
      <c r="E35" s="18" t="s">
        <v>234</v>
      </c>
      <c r="F35" s="201">
        <v>-1004801332.9135</v>
      </c>
      <c r="G35" s="201">
        <v>-1012471856.65528</v>
      </c>
      <c r="H35" s="201">
        <v>-1020728189.84591</v>
      </c>
      <c r="I35" s="201">
        <v>-1029668490.0681601</v>
      </c>
      <c r="J35" s="201">
        <v>-1039406435.38799</v>
      </c>
      <c r="K35" s="201">
        <v>-1050072213.02459</v>
      </c>
      <c r="L35" s="201">
        <v>-1061813508.74868</v>
      </c>
      <c r="M35" s="201">
        <v>-1074796496.8852301</v>
      </c>
      <c r="N35" s="201">
        <v>-1089206830.8212299</v>
      </c>
      <c r="R35" s="192"/>
    </row>
    <row r="36" spans="4:26" x14ac:dyDescent="0.25">
      <c r="D36" s="805"/>
      <c r="E36" s="18" t="s">
        <v>235</v>
      </c>
      <c r="F36" s="195">
        <f t="shared" ref="F36:N36" si="18">F35/1000/1000</f>
        <v>-1004.8013329134999</v>
      </c>
      <c r="G36" s="195">
        <f t="shared" si="18"/>
        <v>-1012.47185665528</v>
      </c>
      <c r="H36" s="195">
        <f t="shared" si="18"/>
        <v>-1020.7281898459099</v>
      </c>
      <c r="I36" s="195">
        <f t="shared" si="18"/>
        <v>-1029.6684900681601</v>
      </c>
      <c r="J36" s="195">
        <f t="shared" si="18"/>
        <v>-1039.4064353879899</v>
      </c>
      <c r="K36" s="195">
        <f t="shared" si="18"/>
        <v>-1050.0722130245899</v>
      </c>
      <c r="L36" s="195">
        <f t="shared" si="18"/>
        <v>-1061.8135087486799</v>
      </c>
      <c r="M36" s="195">
        <f t="shared" si="18"/>
        <v>-1074.79649688523</v>
      </c>
      <c r="N36" s="195">
        <f t="shared" si="18"/>
        <v>-1089.2068308212299</v>
      </c>
      <c r="R36" s="192"/>
    </row>
    <row r="37" spans="4:26" x14ac:dyDescent="0.25">
      <c r="D37" s="805"/>
      <c r="E37" s="198" t="s">
        <v>236</v>
      </c>
      <c r="F37" s="193">
        <v>3912.7584989692</v>
      </c>
      <c r="G37" s="193">
        <v>4759.7382111545703</v>
      </c>
      <c r="H37" s="193">
        <v>5785.4952397338602</v>
      </c>
      <c r="I37" s="193">
        <v>7013.24199878741</v>
      </c>
      <c r="J37" s="193">
        <v>8467.5141702462406</v>
      </c>
      <c r="K37" s="193">
        <v>10174.170703891899</v>
      </c>
      <c r="L37" s="193">
        <v>12160.3938173568</v>
      </c>
      <c r="M37" s="193">
        <v>14454.688996123699</v>
      </c>
      <c r="N37" s="193">
        <v>17086.884993526201</v>
      </c>
      <c r="R37" s="192"/>
    </row>
    <row r="38" spans="4:26" x14ac:dyDescent="0.25">
      <c r="D38" s="805"/>
      <c r="E38" s="198" t="s">
        <v>237</v>
      </c>
      <c r="F38" s="195">
        <f>F37/1000</f>
        <v>3.9127584989691999</v>
      </c>
      <c r="G38" s="195">
        <f t="shared" ref="G38:N38" si="19">G37/1000</f>
        <v>4.7597382111545707</v>
      </c>
      <c r="H38" s="195">
        <f t="shared" si="19"/>
        <v>5.7854952397338604</v>
      </c>
      <c r="I38" s="195">
        <f t="shared" si="19"/>
        <v>7.0132419987874099</v>
      </c>
      <c r="J38" s="195">
        <f t="shared" si="19"/>
        <v>8.4675141702462398</v>
      </c>
      <c r="K38" s="195">
        <f t="shared" si="19"/>
        <v>10.1741707038919</v>
      </c>
      <c r="L38" s="195">
        <f t="shared" si="19"/>
        <v>12.1603938173568</v>
      </c>
      <c r="M38" s="195">
        <f t="shared" si="19"/>
        <v>14.4546889961237</v>
      </c>
      <c r="N38" s="195">
        <f t="shared" si="19"/>
        <v>17.086884993526201</v>
      </c>
      <c r="R38" s="199"/>
      <c r="S38" s="199"/>
      <c r="T38" s="199"/>
      <c r="U38" s="199"/>
      <c r="V38" s="199"/>
      <c r="W38" s="199"/>
      <c r="X38" s="199"/>
      <c r="Y38" s="199"/>
      <c r="Z38" s="199"/>
    </row>
    <row r="39" spans="4:26" x14ac:dyDescent="0.25">
      <c r="D39" s="806"/>
      <c r="E39" s="11" t="s">
        <v>238</v>
      </c>
      <c r="F39" s="196">
        <f>52.3+(73)*((59.35-52.3)/(100))</f>
        <v>57.4465</v>
      </c>
      <c r="G39" s="196">
        <f>59.35+(23)*((66.5-59.35)/(100))</f>
        <v>60.994500000000002</v>
      </c>
      <c r="H39" s="196">
        <f>59.35+(73)*((66.5-59.35)/(100))</f>
        <v>64.569500000000005</v>
      </c>
      <c r="I39" s="196">
        <f>66.5+(23)*((73.74-66.5)/(100))</f>
        <v>68.165199999999999</v>
      </c>
      <c r="J39" s="196">
        <f>66.5+(73)*((73.74-66.5)/(100))</f>
        <v>71.785200000000003</v>
      </c>
      <c r="K39" s="196">
        <f>73.74+(23)*((81.09-73.74)/(100))</f>
        <v>75.430499999999995</v>
      </c>
      <c r="L39" s="196">
        <f>73.74+(73)*((81.09-73.74)/(100))</f>
        <v>79.105500000000006</v>
      </c>
      <c r="M39" s="196">
        <f>81.09+(23)*((88.64-81.09)/(100))</f>
        <v>82.826499999999996</v>
      </c>
      <c r="N39" s="196">
        <f>81.09+(73)*((88.64-81.09)/(100))</f>
        <v>86.601500000000001</v>
      </c>
      <c r="R39" s="192"/>
    </row>
    <row r="40" spans="4:26" x14ac:dyDescent="0.25">
      <c r="D40" s="804" t="s">
        <v>45</v>
      </c>
      <c r="E40" s="197" t="s">
        <v>239</v>
      </c>
      <c r="F40" s="203">
        <v>21771875.176256999</v>
      </c>
      <c r="G40" s="203">
        <v>23139820.751827799</v>
      </c>
      <c r="H40" s="203">
        <v>24517172.150946502</v>
      </c>
      <c r="I40" s="203">
        <v>25903763.3058827</v>
      </c>
      <c r="J40" s="203">
        <v>27299481.0413942</v>
      </c>
      <c r="K40" s="203">
        <v>28704250.789581198</v>
      </c>
      <c r="L40" s="203">
        <v>30118022.304740801</v>
      </c>
      <c r="M40" s="203">
        <v>31540755.378222</v>
      </c>
      <c r="N40" s="203">
        <v>32972405.553279899</v>
      </c>
    </row>
    <row r="41" spans="4:26" x14ac:dyDescent="0.25">
      <c r="D41" s="805"/>
      <c r="E41" s="18" t="s">
        <v>240</v>
      </c>
      <c r="F41" s="195">
        <f>F40/1000/1000</f>
        <v>21.771875176256998</v>
      </c>
      <c r="G41" s="195">
        <f t="shared" ref="G41:N41" si="20">G40/1000/1000</f>
        <v>23.139820751827799</v>
      </c>
      <c r="H41" s="195">
        <f t="shared" si="20"/>
        <v>24.517172150946504</v>
      </c>
      <c r="I41" s="195">
        <f t="shared" si="20"/>
        <v>25.903763305882702</v>
      </c>
      <c r="J41" s="195">
        <f t="shared" si="20"/>
        <v>27.299481041394198</v>
      </c>
      <c r="K41" s="195">
        <f t="shared" si="20"/>
        <v>28.704250789581199</v>
      </c>
      <c r="L41" s="195">
        <f t="shared" si="20"/>
        <v>30.118022304740801</v>
      </c>
      <c r="M41" s="195">
        <f t="shared" si="20"/>
        <v>31.540755378221998</v>
      </c>
      <c r="N41" s="195">
        <f t="shared" si="20"/>
        <v>32.972405553279899</v>
      </c>
    </row>
    <row r="42" spans="4:26" x14ac:dyDescent="0.25">
      <c r="D42" s="805"/>
      <c r="E42" s="18" t="s">
        <v>241</v>
      </c>
      <c r="F42" s="202">
        <v>51867.778730569997</v>
      </c>
      <c r="G42" s="202">
        <v>53009.774653760003</v>
      </c>
      <c r="H42" s="202">
        <v>54113.544351030003</v>
      </c>
      <c r="I42" s="202">
        <v>55181.905824410002</v>
      </c>
      <c r="J42" s="202">
        <v>56217.402639059997</v>
      </c>
      <c r="K42" s="202">
        <v>57222.332983009997</v>
      </c>
      <c r="L42" s="202">
        <v>58198.773706510001</v>
      </c>
      <c r="M42" s="202">
        <v>59148.600346949999</v>
      </c>
      <c r="N42" s="202">
        <v>60073.503917959999</v>
      </c>
    </row>
    <row r="43" spans="4:26" x14ac:dyDescent="0.25">
      <c r="D43" s="805"/>
      <c r="E43" s="18" t="s">
        <v>242</v>
      </c>
      <c r="F43" s="195">
        <f>F42/1000/1000</f>
        <v>5.1867778730569997E-2</v>
      </c>
      <c r="G43" s="195">
        <f t="shared" ref="G43:N43" si="21">G42/1000/1000</f>
        <v>5.3009774653760007E-2</v>
      </c>
      <c r="H43" s="195">
        <f t="shared" si="21"/>
        <v>5.4113544351030003E-2</v>
      </c>
      <c r="I43" s="195">
        <f t="shared" si="21"/>
        <v>5.5181905824410002E-2</v>
      </c>
      <c r="J43" s="195">
        <f t="shared" si="21"/>
        <v>5.6217402639059999E-2</v>
      </c>
      <c r="K43" s="195">
        <f t="shared" si="21"/>
        <v>5.7222332983010001E-2</v>
      </c>
      <c r="L43" s="195">
        <f t="shared" si="21"/>
        <v>5.8198773706510006E-2</v>
      </c>
      <c r="M43" s="195">
        <f t="shared" si="21"/>
        <v>5.9148600346949999E-2</v>
      </c>
      <c r="N43" s="195">
        <f t="shared" si="21"/>
        <v>6.007350391796E-2</v>
      </c>
    </row>
    <row r="44" spans="4:26" x14ac:dyDescent="0.25">
      <c r="D44" s="805"/>
      <c r="E44" s="18" t="s">
        <v>243</v>
      </c>
      <c r="F44" s="201">
        <v>-39069029.2747012</v>
      </c>
      <c r="G44" s="201">
        <v>-41691133.649726398</v>
      </c>
      <c r="H44" s="201">
        <v>-44369369.807912402</v>
      </c>
      <c r="I44" s="201">
        <v>-47101898.099814802</v>
      </c>
      <c r="J44" s="201">
        <v>-49887012.782032996</v>
      </c>
      <c r="K44" s="201">
        <v>-52723129.045244597</v>
      </c>
      <c r="L44" s="201">
        <v>-55608771.364954799</v>
      </c>
      <c r="M44" s="201">
        <v>-58542562.950185701</v>
      </c>
      <c r="N44" s="201">
        <v>-61523216.109664202</v>
      </c>
    </row>
    <row r="45" spans="4:26" x14ac:dyDescent="0.25">
      <c r="D45" s="805"/>
      <c r="E45" s="18" t="s">
        <v>244</v>
      </c>
      <c r="F45" s="195">
        <f t="shared" ref="F45:N45" si="22">F44/1000/1000</f>
        <v>-39.069029274701201</v>
      </c>
      <c r="G45" s="195">
        <f t="shared" si="22"/>
        <v>-41.691133649726396</v>
      </c>
      <c r="H45" s="195">
        <f t="shared" si="22"/>
        <v>-44.369369807912399</v>
      </c>
      <c r="I45" s="195">
        <f t="shared" si="22"/>
        <v>-47.101898099814804</v>
      </c>
      <c r="J45" s="195">
        <f t="shared" si="22"/>
        <v>-49.887012782032997</v>
      </c>
      <c r="K45" s="195">
        <f t="shared" si="22"/>
        <v>-52.723129045244598</v>
      </c>
      <c r="L45" s="195">
        <f t="shared" si="22"/>
        <v>-55.608771364954805</v>
      </c>
      <c r="M45" s="195">
        <f t="shared" si="22"/>
        <v>-58.542562950185705</v>
      </c>
      <c r="N45" s="195">
        <f t="shared" si="22"/>
        <v>-61.523216109664205</v>
      </c>
    </row>
    <row r="46" spans="4:26" x14ac:dyDescent="0.25">
      <c r="D46" s="805"/>
      <c r="E46" s="18" t="s">
        <v>238</v>
      </c>
      <c r="F46" s="18">
        <v>28.52</v>
      </c>
      <c r="G46" s="18">
        <v>29.73</v>
      </c>
      <c r="H46" s="18">
        <v>30.24</v>
      </c>
      <c r="I46" s="18">
        <v>31.69</v>
      </c>
      <c r="J46" s="18">
        <v>32.83</v>
      </c>
      <c r="K46" s="18">
        <v>33.74</v>
      </c>
      <c r="L46" s="18">
        <v>34.85</v>
      </c>
      <c r="M46" s="18">
        <v>35.22</v>
      </c>
      <c r="N46" s="18">
        <v>36.03</v>
      </c>
    </row>
    <row r="47" spans="4:26" x14ac:dyDescent="0.25">
      <c r="D47" s="805"/>
      <c r="E47" s="198" t="s">
        <v>245</v>
      </c>
      <c r="F47" s="18"/>
      <c r="G47" s="18"/>
      <c r="H47" s="18"/>
      <c r="I47" s="18"/>
      <c r="J47" s="18"/>
      <c r="K47" s="18" t="s">
        <v>246</v>
      </c>
      <c r="L47" s="18"/>
      <c r="M47" s="18"/>
      <c r="N47" s="18"/>
    </row>
    <row r="48" spans="4:26" x14ac:dyDescent="0.25">
      <c r="D48" s="806"/>
      <c r="E48" s="198" t="s">
        <v>247</v>
      </c>
      <c r="F48" s="209">
        <v>57.89</v>
      </c>
      <c r="G48" s="209">
        <v>73.25</v>
      </c>
      <c r="H48" s="209">
        <v>90.99</v>
      </c>
      <c r="I48" s="210">
        <v>111.1</v>
      </c>
      <c r="J48" s="210">
        <v>133.80000000000001</v>
      </c>
      <c r="K48" s="210">
        <v>159</v>
      </c>
      <c r="L48" s="210">
        <v>186.8</v>
      </c>
      <c r="M48" s="210">
        <v>217</v>
      </c>
      <c r="N48" s="210">
        <v>249.7</v>
      </c>
    </row>
    <row r="49" spans="4:14" x14ac:dyDescent="0.25">
      <c r="D49" s="805" t="s">
        <v>42</v>
      </c>
      <c r="E49" s="197" t="s">
        <v>248</v>
      </c>
      <c r="F49" s="203">
        <v>28801377.209719099</v>
      </c>
      <c r="G49" s="203">
        <v>30583548.286488701</v>
      </c>
      <c r="H49" s="203">
        <v>32374253.934555899</v>
      </c>
      <c r="I49" s="203">
        <v>34173127.665986098</v>
      </c>
      <c r="J49" s="203">
        <v>35979833.897031598</v>
      </c>
      <c r="K49" s="203">
        <v>37794066.596712202</v>
      </c>
      <c r="L49" s="203">
        <v>39615547.935396597</v>
      </c>
      <c r="M49" s="203">
        <v>41444026.933383197</v>
      </c>
      <c r="N49" s="203">
        <v>43279278.109481603</v>
      </c>
    </row>
    <row r="50" spans="4:14" x14ac:dyDescent="0.25">
      <c r="D50" s="805"/>
      <c r="E50" s="18" t="s">
        <v>249</v>
      </c>
      <c r="F50" s="195">
        <f>F49/1000/1000</f>
        <v>28.801377209719099</v>
      </c>
      <c r="G50" s="195">
        <f t="shared" ref="G50:N50" si="23">G49/1000/1000</f>
        <v>30.583548286488703</v>
      </c>
      <c r="H50" s="195">
        <f t="shared" si="23"/>
        <v>32.374253934555895</v>
      </c>
      <c r="I50" s="195">
        <f t="shared" si="23"/>
        <v>34.173127665986094</v>
      </c>
      <c r="J50" s="195">
        <f t="shared" si="23"/>
        <v>35.979833897031597</v>
      </c>
      <c r="K50" s="195">
        <f t="shared" si="23"/>
        <v>37.794066596712206</v>
      </c>
      <c r="L50" s="195">
        <f t="shared" si="23"/>
        <v>39.615547935396599</v>
      </c>
      <c r="M50" s="195">
        <f t="shared" si="23"/>
        <v>41.444026933383199</v>
      </c>
      <c r="N50" s="195">
        <f t="shared" si="23"/>
        <v>43.279278109481602</v>
      </c>
    </row>
    <row r="51" spans="4:14" x14ac:dyDescent="0.25">
      <c r="D51" s="805"/>
      <c r="E51" s="18" t="s">
        <v>250</v>
      </c>
      <c r="F51" s="194">
        <v>249206.20630468999</v>
      </c>
      <c r="G51" s="194">
        <v>250694.01889030001</v>
      </c>
      <c r="H51" s="194">
        <v>252129.04882699001</v>
      </c>
      <c r="I51" s="194">
        <v>253515.08160721001</v>
      </c>
      <c r="J51" s="194">
        <v>254855.50422445999</v>
      </c>
      <c r="K51" s="194">
        <v>256153.36124872</v>
      </c>
      <c r="L51" s="194">
        <v>257411.40121409</v>
      </c>
      <c r="M51" s="194">
        <v>258632.11526001999</v>
      </c>
      <c r="N51" s="194">
        <v>259817.76952852</v>
      </c>
    </row>
    <row r="52" spans="4:14" x14ac:dyDescent="0.25">
      <c r="D52" s="805"/>
      <c r="E52" s="18" t="s">
        <v>251</v>
      </c>
      <c r="F52" s="195">
        <f>F51/1000/1000</f>
        <v>0.24920620630469001</v>
      </c>
      <c r="G52" s="195">
        <f t="shared" ref="G52:N52" si="24">G51/1000/1000</f>
        <v>0.25069401889030002</v>
      </c>
      <c r="H52" s="195">
        <f t="shared" si="24"/>
        <v>0.25212904882699</v>
      </c>
      <c r="I52" s="195">
        <f t="shared" si="24"/>
        <v>0.25351508160721004</v>
      </c>
      <c r="J52" s="195">
        <f t="shared" si="24"/>
        <v>0.25485550422446002</v>
      </c>
      <c r="K52" s="195">
        <f t="shared" si="24"/>
        <v>0.25615336124872001</v>
      </c>
      <c r="L52" s="195">
        <f t="shared" si="24"/>
        <v>0.25741140121409001</v>
      </c>
      <c r="M52" s="195">
        <f t="shared" si="24"/>
        <v>0.25863211526002</v>
      </c>
      <c r="N52" s="195">
        <f t="shared" si="24"/>
        <v>0.25981776952851998</v>
      </c>
    </row>
    <row r="53" spans="4:14" x14ac:dyDescent="0.25">
      <c r="D53" s="805"/>
      <c r="E53" s="18" t="s">
        <v>252</v>
      </c>
      <c r="F53" s="200">
        <v>-263517502.785678</v>
      </c>
      <c r="G53" s="200">
        <v>-276015236.81634599</v>
      </c>
      <c r="H53" s="200">
        <v>-288586025.222206</v>
      </c>
      <c r="I53" s="200">
        <v>-301227325.300358</v>
      </c>
      <c r="J53" s="200">
        <v>-313936773.40314502</v>
      </c>
      <c r="K53" s="200">
        <v>-326712166.46021098</v>
      </c>
      <c r="L53" s="200">
        <v>-339551446.05295599</v>
      </c>
      <c r="M53" s="200">
        <v>-352452684.60762799</v>
      </c>
      <c r="N53" s="200">
        <v>-365414073.35887903</v>
      </c>
    </row>
    <row r="54" spans="4:14" x14ac:dyDescent="0.25">
      <c r="D54" s="806"/>
      <c r="E54" s="11" t="s">
        <v>253</v>
      </c>
      <c r="F54" s="196">
        <f>F53/1000/1000</f>
        <v>-263.517502785678</v>
      </c>
      <c r="G54" s="196">
        <f t="shared" ref="G54:N54" si="25">G53/1000/1000</f>
        <v>-276.01523681634603</v>
      </c>
      <c r="H54" s="196">
        <f t="shared" si="25"/>
        <v>-288.58602522220605</v>
      </c>
      <c r="I54" s="196">
        <f t="shared" si="25"/>
        <v>-301.22732530035802</v>
      </c>
      <c r="J54" s="196">
        <f t="shared" si="25"/>
        <v>-313.93677340314503</v>
      </c>
      <c r="K54" s="196">
        <f t="shared" si="25"/>
        <v>-326.71216646021099</v>
      </c>
      <c r="L54" s="196">
        <f t="shared" si="25"/>
        <v>-339.55144605295601</v>
      </c>
      <c r="M54" s="196">
        <f t="shared" si="25"/>
        <v>-352.45268460762799</v>
      </c>
      <c r="N54" s="196">
        <f t="shared" si="25"/>
        <v>-365.41407335887902</v>
      </c>
    </row>
    <row r="55" spans="4:14" x14ac:dyDescent="0.25">
      <c r="D55" s="803" t="s">
        <v>254</v>
      </c>
      <c r="E55" s="803"/>
    </row>
    <row r="56" spans="4:14" x14ac:dyDescent="0.25">
      <c r="E56" s="198" t="s">
        <v>255</v>
      </c>
      <c r="F56" s="192">
        <f t="shared" ref="F56:N56" si="26">F32-(F41+F50)</f>
        <v>-881.61444300029405</v>
      </c>
      <c r="G56" s="192">
        <f t="shared" si="26"/>
        <v>-871.77949370271347</v>
      </c>
      <c r="H56" s="192">
        <f t="shared" si="26"/>
        <v>-859.15507851215045</v>
      </c>
      <c r="I56" s="192">
        <f t="shared" si="26"/>
        <v>-843.16904311784674</v>
      </c>
      <c r="J56" s="192">
        <f t="shared" si="26"/>
        <v>-823.1775942325919</v>
      </c>
      <c r="K56" s="192">
        <f t="shared" si="26"/>
        <v>-798.4613085750243</v>
      </c>
      <c r="L56" s="192">
        <f t="shared" si="26"/>
        <v>-768.22114185195528</v>
      </c>
      <c r="M56" s="192">
        <f t="shared" si="26"/>
        <v>-731.57443774066314</v>
      </c>
      <c r="N56" s="192">
        <f t="shared" si="26"/>
        <v>-687.5509368712145</v>
      </c>
    </row>
    <row r="57" spans="4:14" x14ac:dyDescent="0.25">
      <c r="E57" s="198" t="s">
        <v>256</v>
      </c>
      <c r="F57" s="192">
        <f t="shared" ref="F57:N57" si="27">F34-(F43+F52)</f>
        <v>-0.15294087139571</v>
      </c>
      <c r="G57" s="192">
        <f t="shared" si="27"/>
        <v>-0.14473753680580001</v>
      </c>
      <c r="H57" s="192">
        <f t="shared" si="27"/>
        <v>-0.13462865962007001</v>
      </c>
      <c r="I57" s="192">
        <f t="shared" si="27"/>
        <v>-0.12232031477690006</v>
      </c>
      <c r="J57" s="192">
        <f t="shared" si="27"/>
        <v>-0.10749813913313</v>
      </c>
      <c r="K57" s="192">
        <f t="shared" si="27"/>
        <v>-8.9827400601469987E-2</v>
      </c>
      <c r="L57" s="192">
        <f t="shared" si="27"/>
        <v>-6.8953055343640018E-2</v>
      </c>
      <c r="M57" s="192">
        <f t="shared" si="27"/>
        <v>-4.4499795412500043E-2</v>
      </c>
      <c r="N57" s="192">
        <f t="shared" si="27"/>
        <v>-1.6072088695829934E-2</v>
      </c>
    </row>
    <row r="58" spans="4:14" x14ac:dyDescent="0.25">
      <c r="E58" s="198" t="s">
        <v>257</v>
      </c>
      <c r="F58" s="192">
        <f>F36-(F45+F54)</f>
        <v>-702.21480085312066</v>
      </c>
      <c r="G58" s="192">
        <f t="shared" ref="G58:N58" si="28">G36-(G45+G54)</f>
        <v>-694.76548618920765</v>
      </c>
      <c r="H58" s="192">
        <f t="shared" si="28"/>
        <v>-687.77279481579149</v>
      </c>
      <c r="I58" s="192">
        <f t="shared" si="28"/>
        <v>-681.3392666679872</v>
      </c>
      <c r="J58" s="192">
        <f t="shared" si="28"/>
        <v>-675.58264920281181</v>
      </c>
      <c r="K58" s="192">
        <f t="shared" si="28"/>
        <v>-670.63691751913439</v>
      </c>
      <c r="L58" s="192">
        <f t="shared" si="28"/>
        <v>-666.65329133076898</v>
      </c>
      <c r="M58" s="192">
        <f t="shared" si="28"/>
        <v>-663.80124932741637</v>
      </c>
      <c r="N58" s="192">
        <f t="shared" si="28"/>
        <v>-662.2695413526867</v>
      </c>
    </row>
    <row r="59" spans="4:14" x14ac:dyDescent="0.25">
      <c r="D59" s="800" t="s">
        <v>258</v>
      </c>
      <c r="E59" s="800"/>
    </row>
    <row r="60" spans="4:14" x14ac:dyDescent="0.25">
      <c r="E60" t="s">
        <v>259</v>
      </c>
      <c r="F60" s="192">
        <f>-F58*1000/($B$4*4)</f>
        <v>1.8194921512492113</v>
      </c>
      <c r="G60" s="192">
        <f t="shared" ref="G60:N60" si="29">-G58*1000/($B$4*4)</f>
        <v>1.8001904083256663</v>
      </c>
      <c r="H60" s="192">
        <f t="shared" si="29"/>
        <v>1.7820718112032738</v>
      </c>
      <c r="I60" s="192">
        <f t="shared" si="29"/>
        <v>1.7654020486811091</v>
      </c>
      <c r="J60" s="192">
        <f t="shared" si="29"/>
        <v>1.7504862134083323</v>
      </c>
      <c r="K60" s="192">
        <f t="shared" si="29"/>
        <v>1.7376714450928497</v>
      </c>
      <c r="L60" s="192">
        <f t="shared" si="29"/>
        <v>1.7273495655562237</v>
      </c>
      <c r="M60" s="192">
        <f t="shared" si="29"/>
        <v>1.7199597070203048</v>
      </c>
      <c r="N60" s="192">
        <f t="shared" si="29"/>
        <v>1.7159909347377487</v>
      </c>
    </row>
    <row r="61" spans="4:14" x14ac:dyDescent="0.25">
      <c r="E61" t="s">
        <v>260</v>
      </c>
      <c r="F61" s="192">
        <f>-F56/3600/($B$7/1000)</f>
        <v>8.7212571521871443</v>
      </c>
      <c r="G61" s="192">
        <f t="shared" ref="G61:N61" si="30">-G56/3600/($B$7/1000)</f>
        <v>8.6239661849350426</v>
      </c>
      <c r="H61" s="192">
        <f t="shared" si="30"/>
        <v>8.4990807861679976</v>
      </c>
      <c r="I61" s="192">
        <f t="shared" si="30"/>
        <v>8.3409409931727492</v>
      </c>
      <c r="J61" s="192">
        <f t="shared" si="30"/>
        <v>8.1431781639026593</v>
      </c>
      <c r="K61" s="192">
        <f t="shared" si="30"/>
        <v>7.8986754963499566</v>
      </c>
      <c r="L61" s="192">
        <f t="shared" si="30"/>
        <v>7.5995285479182035</v>
      </c>
      <c r="M61" s="192">
        <f t="shared" si="30"/>
        <v>7.2370057547944686</v>
      </c>
      <c r="N61" s="192">
        <f t="shared" si="30"/>
        <v>6.8015089513217646</v>
      </c>
    </row>
    <row r="62" spans="4:14" x14ac:dyDescent="0.25">
      <c r="D62" s="802" t="s">
        <v>261</v>
      </c>
      <c r="E62" s="802"/>
    </row>
    <row r="63" spans="4:14" x14ac:dyDescent="0.25">
      <c r="E63" t="s">
        <v>262</v>
      </c>
      <c r="F63" s="192">
        <f>SQRT($B$6*F28*(F28-$B$5))</f>
        <v>0.15857549463898893</v>
      </c>
      <c r="G63" s="192">
        <f t="shared" ref="G63:N63" si="31">SQRT($B$6*G28*(G28-$B$5))</f>
        <v>0.16648194346535003</v>
      </c>
      <c r="H63" s="192">
        <f t="shared" si="31"/>
        <v>0.17438115580532204</v>
      </c>
      <c r="I63" s="192">
        <f t="shared" si="31"/>
        <v>0.1822740724842675</v>
      </c>
      <c r="J63" s="192">
        <f t="shared" si="31"/>
        <v>0.19016147743431108</v>
      </c>
      <c r="K63" s="192">
        <f t="shared" si="31"/>
        <v>0.19804402919553016</v>
      </c>
      <c r="L63" s="192">
        <f t="shared" si="31"/>
        <v>0.20592228509804372</v>
      </c>
      <c r="M63" s="192">
        <f t="shared" si="31"/>
        <v>0.21379672004032241</v>
      </c>
      <c r="N63" s="192">
        <f t="shared" si="31"/>
        <v>0.22166774122546565</v>
      </c>
    </row>
    <row r="64" spans="4:14" x14ac:dyDescent="0.25">
      <c r="E64" t="s">
        <v>263</v>
      </c>
      <c r="F64" s="192">
        <f>F63</f>
        <v>0.15857549463898893</v>
      </c>
      <c r="G64" s="192">
        <f t="shared" ref="G64:N64" si="32">G63</f>
        <v>0.16648194346535003</v>
      </c>
      <c r="H64" s="192">
        <f t="shared" si="32"/>
        <v>0.17438115580532204</v>
      </c>
      <c r="I64" s="192">
        <f t="shared" si="32"/>
        <v>0.1822740724842675</v>
      </c>
      <c r="J64" s="192">
        <f t="shared" si="32"/>
        <v>0.19016147743431108</v>
      </c>
      <c r="K64" s="192">
        <f t="shared" si="32"/>
        <v>0.19804402919553016</v>
      </c>
      <c r="L64" s="192">
        <f t="shared" si="32"/>
        <v>0.20592228509804372</v>
      </c>
      <c r="M64" s="192">
        <f t="shared" si="32"/>
        <v>0.21379672004032241</v>
      </c>
      <c r="N64" s="192">
        <f t="shared" si="32"/>
        <v>0.22166774122546565</v>
      </c>
    </row>
    <row r="65" spans="4:14" x14ac:dyDescent="0.25">
      <c r="E65" t="s">
        <v>264</v>
      </c>
      <c r="F65" s="192">
        <f>F63</f>
        <v>0.15857549463898893</v>
      </c>
      <c r="G65" s="192">
        <f t="shared" ref="G65:N65" si="33">G63</f>
        <v>0.16648194346535003</v>
      </c>
      <c r="H65" s="192">
        <f t="shared" si="33"/>
        <v>0.17438115580532204</v>
      </c>
      <c r="I65" s="192">
        <f t="shared" si="33"/>
        <v>0.1822740724842675</v>
      </c>
      <c r="J65" s="192">
        <f t="shared" si="33"/>
        <v>0.19016147743431108</v>
      </c>
      <c r="K65" s="192">
        <f t="shared" si="33"/>
        <v>0.19804402919553016</v>
      </c>
      <c r="L65" s="192">
        <f t="shared" si="33"/>
        <v>0.20592228509804372</v>
      </c>
      <c r="M65" s="192">
        <f t="shared" si="33"/>
        <v>0.21379672004032241</v>
      </c>
      <c r="N65" s="192">
        <f t="shared" si="33"/>
        <v>0.22166774122546565</v>
      </c>
    </row>
    <row r="66" spans="4:14" x14ac:dyDescent="0.25">
      <c r="E66" t="s">
        <v>265</v>
      </c>
      <c r="F66" s="192">
        <f t="shared" ref="F66:N66" si="34">F65</f>
        <v>0.15857549463898893</v>
      </c>
      <c r="G66" s="192">
        <f t="shared" si="34"/>
        <v>0.16648194346535003</v>
      </c>
      <c r="H66" s="192">
        <f t="shared" si="34"/>
        <v>0.17438115580532204</v>
      </c>
      <c r="I66" s="192">
        <f t="shared" si="34"/>
        <v>0.1822740724842675</v>
      </c>
      <c r="J66" s="192">
        <f t="shared" si="34"/>
        <v>0.19016147743431108</v>
      </c>
      <c r="K66" s="192">
        <f t="shared" si="34"/>
        <v>0.19804402919553016</v>
      </c>
      <c r="L66" s="192">
        <f t="shared" si="34"/>
        <v>0.20592228509804372</v>
      </c>
      <c r="M66" s="192">
        <f t="shared" si="34"/>
        <v>0.21379672004032241</v>
      </c>
      <c r="N66" s="192">
        <f t="shared" si="34"/>
        <v>0.22166774122546565</v>
      </c>
    </row>
    <row r="67" spans="4:14" x14ac:dyDescent="0.25">
      <c r="E67" t="s">
        <v>266</v>
      </c>
      <c r="F67" s="193">
        <f>(F63+F64)*$B$4*4/1000</f>
        <v>122.40125280194277</v>
      </c>
      <c r="G67" s="193">
        <f t="shared" ref="G67:N67" si="35">(G63+G64)*$B$4*4/1000</f>
        <v>128.50408252203439</v>
      </c>
      <c r="H67" s="193">
        <f t="shared" si="35"/>
        <v>134.60132654301196</v>
      </c>
      <c r="I67" s="193">
        <f t="shared" si="35"/>
        <v>140.69371106915639</v>
      </c>
      <c r="J67" s="193">
        <f t="shared" si="35"/>
        <v>146.78184120199606</v>
      </c>
      <c r="K67" s="193">
        <f t="shared" si="35"/>
        <v>152.86622525544581</v>
      </c>
      <c r="L67" s="193">
        <f t="shared" si="35"/>
        <v>158.94729342147798</v>
      </c>
      <c r="M67" s="193">
        <f t="shared" si="35"/>
        <v>165.02541226472405</v>
      </c>
      <c r="N67" s="193">
        <f t="shared" si="35"/>
        <v>171.10089609711241</v>
      </c>
    </row>
    <row r="68" spans="4:14" x14ac:dyDescent="0.25">
      <c r="E68" t="s">
        <v>267</v>
      </c>
      <c r="F68" s="192">
        <f>F67/3600/($B$7/1000)</f>
        <v>1.2108386040078227</v>
      </c>
      <c r="G68" s="192">
        <f t="shared" ref="G68:N68" si="36">G67/3600/($B$7/1000)</f>
        <v>1.271210059770046</v>
      </c>
      <c r="H68" s="192">
        <f t="shared" si="36"/>
        <v>1.3315262597243192</v>
      </c>
      <c r="I68" s="192">
        <f t="shared" si="36"/>
        <v>1.3917943877528136</v>
      </c>
      <c r="J68" s="192">
        <f t="shared" si="36"/>
        <v>1.4520204297443422</v>
      </c>
      <c r="K68" s="192">
        <f t="shared" si="36"/>
        <v>1.5122094141287374</v>
      </c>
      <c r="L68" s="192">
        <f t="shared" si="36"/>
        <v>1.5723655965245924</v>
      </c>
      <c r="M68" s="192">
        <f t="shared" si="36"/>
        <v>1.6324926031252383</v>
      </c>
      <c r="N68" s="192">
        <f t="shared" si="36"/>
        <v>1.6925935432208812</v>
      </c>
    </row>
    <row r="69" spans="4:14" x14ac:dyDescent="0.25">
      <c r="E69" t="s">
        <v>268</v>
      </c>
      <c r="F69" s="193">
        <f t="shared" ref="F69:N69" si="37">F67</f>
        <v>122.40125280194277</v>
      </c>
      <c r="G69" s="193">
        <f t="shared" si="37"/>
        <v>128.50408252203439</v>
      </c>
      <c r="H69" s="193">
        <f t="shared" si="37"/>
        <v>134.60132654301196</v>
      </c>
      <c r="I69" s="193">
        <f t="shared" si="37"/>
        <v>140.69371106915639</v>
      </c>
      <c r="J69" s="193">
        <f t="shared" si="37"/>
        <v>146.78184120199606</v>
      </c>
      <c r="K69" s="193">
        <f t="shared" si="37"/>
        <v>152.86622525544581</v>
      </c>
      <c r="L69" s="193">
        <f t="shared" si="37"/>
        <v>158.94729342147798</v>
      </c>
      <c r="M69" s="193">
        <f t="shared" si="37"/>
        <v>165.02541226472405</v>
      </c>
      <c r="N69" s="193">
        <f t="shared" si="37"/>
        <v>171.10089609711241</v>
      </c>
    </row>
    <row r="70" spans="4:14" x14ac:dyDescent="0.25">
      <c r="E70" t="s">
        <v>269</v>
      </c>
      <c r="F70" s="192">
        <f>F69/3600/($B$7/1000)</f>
        <v>1.2108386040078227</v>
      </c>
      <c r="G70" s="192">
        <f t="shared" ref="G70:N70" si="38">G69/3600/($B$7/1000)</f>
        <v>1.271210059770046</v>
      </c>
      <c r="H70" s="192">
        <f t="shared" si="38"/>
        <v>1.3315262597243192</v>
      </c>
      <c r="I70" s="192">
        <f t="shared" si="38"/>
        <v>1.3917943877528136</v>
      </c>
      <c r="J70" s="192">
        <f t="shared" si="38"/>
        <v>1.4520204297443422</v>
      </c>
      <c r="K70" s="192">
        <f t="shared" si="38"/>
        <v>1.5122094141287374</v>
      </c>
      <c r="L70" s="192">
        <f t="shared" si="38"/>
        <v>1.5723655965245924</v>
      </c>
      <c r="M70" s="192">
        <f t="shared" si="38"/>
        <v>1.6324926031252383</v>
      </c>
      <c r="N70" s="192">
        <f t="shared" si="38"/>
        <v>1.6925935432208812</v>
      </c>
    </row>
    <row r="71" spans="4:14" x14ac:dyDescent="0.25">
      <c r="D71" s="800" t="s">
        <v>270</v>
      </c>
      <c r="E71" s="800"/>
    </row>
    <row r="72" spans="4:14" x14ac:dyDescent="0.25">
      <c r="E72" t="s">
        <v>271</v>
      </c>
      <c r="F72" s="192">
        <f>F39/($B$8/1000)/3600</f>
        <v>0.26560188267495194</v>
      </c>
      <c r="G72" s="192">
        <f t="shared" ref="G72:N72" si="39">G39/($B$8/1000)/3600</f>
        <v>0.28200593652907235</v>
      </c>
      <c r="H72" s="192">
        <f t="shared" si="39"/>
        <v>0.29853482393845249</v>
      </c>
      <c r="I72" s="192">
        <f t="shared" si="39"/>
        <v>0.31515941707353157</v>
      </c>
      <c r="J72" s="192">
        <f t="shared" si="39"/>
        <v>0.33189636040834442</v>
      </c>
      <c r="K72" s="192">
        <f t="shared" si="39"/>
        <v>0.34875027740790054</v>
      </c>
      <c r="L72" s="192">
        <f t="shared" si="39"/>
        <v>0.3657415113182424</v>
      </c>
      <c r="M72" s="192">
        <f t="shared" si="39"/>
        <v>0.38294542461902648</v>
      </c>
      <c r="N72" s="192">
        <f t="shared" si="39"/>
        <v>0.40039900503032994</v>
      </c>
    </row>
    <row r="73" spans="4:14" x14ac:dyDescent="0.25">
      <c r="E73" t="s">
        <v>272</v>
      </c>
      <c r="F73" s="192">
        <f>F39/($B$4*4)*1000</f>
        <v>0.14884826656993316</v>
      </c>
      <c r="G73" s="192">
        <f t="shared" ref="G73:N73" si="40">G39/($B$4*4)*1000</f>
        <v>0.1580414053998031</v>
      </c>
      <c r="H73" s="192">
        <f t="shared" si="40"/>
        <v>0.16730450329066696</v>
      </c>
      <c r="I73" s="192">
        <f t="shared" si="40"/>
        <v>0.17662123646162614</v>
      </c>
      <c r="J73" s="192">
        <f t="shared" si="40"/>
        <v>0.18600093278747992</v>
      </c>
      <c r="K73" s="192">
        <f t="shared" si="40"/>
        <v>0.19544618334456132</v>
      </c>
      <c r="L73" s="192">
        <f t="shared" si="40"/>
        <v>0.20496838886873611</v>
      </c>
      <c r="M73" s="192">
        <f t="shared" si="40"/>
        <v>0.2146097839042338</v>
      </c>
      <c r="N73" s="192">
        <f t="shared" si="40"/>
        <v>0.22439109706171945</v>
      </c>
    </row>
    <row r="74" spans="4:14" x14ac:dyDescent="0.25">
      <c r="E74" t="s">
        <v>273</v>
      </c>
      <c r="F74" s="192">
        <f t="shared" ref="F74:N74" si="41">F46/($B$7/1000)/3600</f>
        <v>0.28213042101930991</v>
      </c>
      <c r="G74" s="192">
        <f t="shared" si="41"/>
        <v>0.29410018993352327</v>
      </c>
      <c r="H74" s="192">
        <f t="shared" si="41"/>
        <v>0.29914529914529914</v>
      </c>
      <c r="I74" s="192">
        <f t="shared" si="41"/>
        <v>0.31348923710034826</v>
      </c>
      <c r="J74" s="192">
        <f t="shared" si="41"/>
        <v>0.32476654004431782</v>
      </c>
      <c r="K74" s="192">
        <f t="shared" si="41"/>
        <v>0.33376859765748657</v>
      </c>
      <c r="L74" s="192">
        <f t="shared" si="41"/>
        <v>0.34474912947135172</v>
      </c>
      <c r="M74" s="192">
        <f t="shared" si="41"/>
        <v>0.34840930674264009</v>
      </c>
      <c r="N74" s="192">
        <f t="shared" si="41"/>
        <v>0.35642212725546063</v>
      </c>
    </row>
    <row r="75" spans="4:14" x14ac:dyDescent="0.25">
      <c r="E75" t="s">
        <v>274</v>
      </c>
      <c r="F75" s="192">
        <f>F74/($B$4*4)*1000</f>
        <v>7.3102145675314788E-4</v>
      </c>
      <c r="G75" s="192">
        <f t="shared" ref="G75:N75" si="42">G74/($B$4*4)*1000</f>
        <v>7.6203604169954725E-4</v>
      </c>
      <c r="H75" s="192">
        <f t="shared" si="42"/>
        <v>7.7510830477612875E-4</v>
      </c>
      <c r="I75" s="192">
        <f t="shared" si="42"/>
        <v>8.122745429350373E-4</v>
      </c>
      <c r="J75" s="192">
        <f t="shared" si="42"/>
        <v>8.4149489569445462E-4</v>
      </c>
      <c r="K75" s="192">
        <f t="shared" si="42"/>
        <v>8.6481991412521787E-4</v>
      </c>
      <c r="L75" s="192">
        <f t="shared" si="42"/>
        <v>8.9327131023307182E-4</v>
      </c>
      <c r="M75" s="192">
        <f t="shared" si="42"/>
        <v>9.0275510893568977E-4</v>
      </c>
      <c r="N75" s="192">
        <f t="shared" si="42"/>
        <v>9.235169385279075E-4</v>
      </c>
    </row>
    <row r="76" spans="4:14" x14ac:dyDescent="0.25">
      <c r="D76" s="800" t="s">
        <v>275</v>
      </c>
      <c r="E76" s="800"/>
    </row>
    <row r="77" spans="4:14" x14ac:dyDescent="0.25">
      <c r="D77" t="s">
        <v>276</v>
      </c>
      <c r="E77" t="s">
        <v>277</v>
      </c>
      <c r="F77">
        <v>0.5</v>
      </c>
      <c r="G77">
        <f>$F$77</f>
        <v>0.5</v>
      </c>
      <c r="H77">
        <f t="shared" ref="H77:N77" si="43">$F$77</f>
        <v>0.5</v>
      </c>
      <c r="I77">
        <f t="shared" si="43"/>
        <v>0.5</v>
      </c>
      <c r="J77">
        <f t="shared" si="43"/>
        <v>0.5</v>
      </c>
      <c r="K77">
        <f t="shared" si="43"/>
        <v>0.5</v>
      </c>
      <c r="L77">
        <f t="shared" si="43"/>
        <v>0.5</v>
      </c>
      <c r="M77">
        <f t="shared" si="43"/>
        <v>0.5</v>
      </c>
      <c r="N77">
        <f t="shared" si="43"/>
        <v>0.5</v>
      </c>
    </row>
    <row r="78" spans="4:14" x14ac:dyDescent="0.25">
      <c r="E78" t="s">
        <v>278</v>
      </c>
      <c r="F78" s="199">
        <f>(F77*$B$7/($B$4*4*2.32))*3600</f>
        <v>5.6449725077866317E-2</v>
      </c>
      <c r="G78" s="199">
        <f t="shared" ref="G78:N78" si="44">(G77*$B$7/($B$4*4*2.32))*3600</f>
        <v>5.6449725077866317E-2</v>
      </c>
      <c r="H78" s="199">
        <f t="shared" si="44"/>
        <v>5.6449725077866317E-2</v>
      </c>
      <c r="I78" s="199">
        <f t="shared" si="44"/>
        <v>5.6449725077866317E-2</v>
      </c>
      <c r="J78" s="199">
        <f t="shared" si="44"/>
        <v>5.6449725077866317E-2</v>
      </c>
      <c r="K78" s="199">
        <f t="shared" si="44"/>
        <v>5.6449725077866317E-2</v>
      </c>
      <c r="L78" s="199">
        <f t="shared" si="44"/>
        <v>5.6449725077866317E-2</v>
      </c>
      <c r="M78" s="199">
        <f t="shared" si="44"/>
        <v>5.6449725077866317E-2</v>
      </c>
      <c r="N78" s="199">
        <f t="shared" si="44"/>
        <v>5.6449725077866317E-2</v>
      </c>
    </row>
    <row r="79" spans="4:14" x14ac:dyDescent="0.25">
      <c r="E79" t="s">
        <v>279</v>
      </c>
      <c r="F79">
        <v>2</v>
      </c>
      <c r="G79">
        <v>2</v>
      </c>
      <c r="H79">
        <v>2</v>
      </c>
      <c r="I79">
        <v>2</v>
      </c>
      <c r="J79">
        <v>2</v>
      </c>
      <c r="K79">
        <v>2</v>
      </c>
      <c r="L79">
        <v>2</v>
      </c>
      <c r="M79">
        <v>2</v>
      </c>
      <c r="N79">
        <v>2</v>
      </c>
    </row>
    <row r="80" spans="4:14" x14ac:dyDescent="0.25">
      <c r="E80" t="s">
        <v>280</v>
      </c>
      <c r="F80" t="s">
        <v>281</v>
      </c>
      <c r="G80">
        <v>-7692.37164162725</v>
      </c>
      <c r="H80" t="s">
        <v>282</v>
      </c>
      <c r="I80">
        <v>8.0033499071354424</v>
      </c>
      <c r="J80" s="790" t="s">
        <v>283</v>
      </c>
      <c r="K80" s="790"/>
      <c r="L80" s="790"/>
      <c r="M80" s="790"/>
      <c r="N80" s="790"/>
    </row>
    <row r="81" spans="4:14" x14ac:dyDescent="0.25">
      <c r="E81" t="s">
        <v>284</v>
      </c>
      <c r="F81" s="208">
        <f>1/F28</f>
        <v>8.5251491901108269E-4</v>
      </c>
      <c r="G81" s="208">
        <f t="shared" ref="G81:N81" si="45">1/G28</f>
        <v>8.1766148814390845E-4</v>
      </c>
      <c r="H81" s="208">
        <f t="shared" si="45"/>
        <v>7.855459544383347E-4</v>
      </c>
      <c r="I81" s="208">
        <f t="shared" si="45"/>
        <v>7.5585789871504159E-4</v>
      </c>
      <c r="J81" s="208">
        <f t="shared" si="45"/>
        <v>7.2833211944646763E-4</v>
      </c>
      <c r="K81" s="208">
        <f t="shared" si="45"/>
        <v>7.0274068868587491E-4</v>
      </c>
      <c r="L81" s="208">
        <f t="shared" si="45"/>
        <v>6.7888662593346908E-4</v>
      </c>
      <c r="M81" s="208">
        <f t="shared" si="45"/>
        <v>6.5659881812212733E-4</v>
      </c>
      <c r="N81" s="208">
        <f t="shared" si="45"/>
        <v>6.3572790845518119E-4</v>
      </c>
    </row>
    <row r="82" spans="4:14" x14ac:dyDescent="0.25">
      <c r="E82" t="s">
        <v>285</v>
      </c>
      <c r="F82" s="199">
        <f>EXP(F81*$G$80+$I$80)/100</f>
        <v>4.2439240301885256E-2</v>
      </c>
      <c r="G82" s="199">
        <f t="shared" ref="G82:N82" si="46">EXP(G81*$G$80+$I$80)/100</f>
        <v>5.5488675577308438E-2</v>
      </c>
      <c r="H82" s="199">
        <f t="shared" si="46"/>
        <v>7.1038613194036787E-2</v>
      </c>
      <c r="I82" s="199">
        <f t="shared" si="46"/>
        <v>8.9263720055213852E-2</v>
      </c>
      <c r="J82" s="199">
        <f t="shared" si="46"/>
        <v>0.11031431042892313</v>
      </c>
      <c r="K82" s="199">
        <f t="shared" si="46"/>
        <v>0.13431562692030383</v>
      </c>
      <c r="L82" s="199">
        <f t="shared" si="46"/>
        <v>0.16136788702950303</v>
      </c>
      <c r="M82" s="199">
        <f t="shared" si="46"/>
        <v>0.19154693532684444</v>
      </c>
      <c r="N82" s="199">
        <f t="shared" si="46"/>
        <v>0.2249053541169235</v>
      </c>
    </row>
    <row r="83" spans="4:14" x14ac:dyDescent="0.25">
      <c r="E83" t="s">
        <v>286</v>
      </c>
      <c r="F83" s="199">
        <f>F77*F79*0.1/F82</f>
        <v>2.3563098511817082</v>
      </c>
      <c r="G83" s="199">
        <f t="shared" ref="G83:N83" si="47">G77*G79*0.1/G82</f>
        <v>1.8021695230529893</v>
      </c>
      <c r="H83" s="199">
        <f t="shared" si="47"/>
        <v>1.4076851377553965</v>
      </c>
      <c r="I83" s="199">
        <f t="shared" si="47"/>
        <v>1.1202759636069979</v>
      </c>
      <c r="J83" s="199">
        <f t="shared" si="47"/>
        <v>0.90650070340992828</v>
      </c>
      <c r="K83" s="199">
        <f t="shared" si="47"/>
        <v>0.74451500761959</v>
      </c>
      <c r="L83" s="199">
        <f t="shared" si="47"/>
        <v>0.61970198557360379</v>
      </c>
      <c r="M83" s="199">
        <f t="shared" si="47"/>
        <v>0.52206525690095684</v>
      </c>
      <c r="N83" s="199">
        <f t="shared" si="47"/>
        <v>0.44463147795055219</v>
      </c>
    </row>
    <row r="84" spans="4:14" x14ac:dyDescent="0.25">
      <c r="D84" s="800" t="s">
        <v>287</v>
      </c>
      <c r="E84" s="800"/>
    </row>
    <row r="85" spans="4:14" x14ac:dyDescent="0.25">
      <c r="E85" t="s">
        <v>288</v>
      </c>
      <c r="F85" t="s">
        <v>281</v>
      </c>
      <c r="G85">
        <v>-15386</v>
      </c>
      <c r="H85" t="s">
        <v>282</v>
      </c>
      <c r="I85">
        <v>12.7</v>
      </c>
      <c r="J85" s="790" t="s">
        <v>289</v>
      </c>
      <c r="K85" s="790"/>
      <c r="L85" s="790"/>
      <c r="M85" s="790"/>
      <c r="N85" s="790"/>
    </row>
    <row r="86" spans="4:14" x14ac:dyDescent="0.25">
      <c r="E86" t="s">
        <v>290</v>
      </c>
      <c r="F86" s="192">
        <f>EXP(F81*$G$85+$I$85)</f>
        <v>0.65915633371948912</v>
      </c>
      <c r="G86" s="192">
        <f t="shared" ref="G86:N86" si="48">EXP(G81*$G$85+$I$85)</f>
        <v>1.1268885546325267</v>
      </c>
      <c r="H86" s="192">
        <f t="shared" si="48"/>
        <v>1.8470503199742225</v>
      </c>
      <c r="I86" s="192">
        <f t="shared" si="48"/>
        <v>2.916459470144301</v>
      </c>
      <c r="J86" s="192">
        <f t="shared" si="48"/>
        <v>4.4543538458788108</v>
      </c>
      <c r="K86" s="192">
        <f t="shared" si="48"/>
        <v>6.6037110008951716</v>
      </c>
      <c r="L86" s="192">
        <f t="shared" si="48"/>
        <v>9.5319601005722543</v>
      </c>
      <c r="M86" s="192">
        <f t="shared" si="48"/>
        <v>13.43106871916215</v>
      </c>
      <c r="N86" s="192">
        <f t="shared" si="48"/>
        <v>18.517021691806089</v>
      </c>
    </row>
    <row r="87" spans="4:14" x14ac:dyDescent="0.25">
      <c r="D87" t="s">
        <v>291</v>
      </c>
      <c r="E87" t="s">
        <v>292</v>
      </c>
      <c r="F87">
        <v>3</v>
      </c>
      <c r="G87">
        <f>F87</f>
        <v>3</v>
      </c>
      <c r="H87">
        <f t="shared" ref="H87:N87" si="49">G87</f>
        <v>3</v>
      </c>
      <c r="I87">
        <f t="shared" si="49"/>
        <v>3</v>
      </c>
      <c r="J87">
        <f t="shared" si="49"/>
        <v>3</v>
      </c>
      <c r="K87">
        <f t="shared" si="49"/>
        <v>3</v>
      </c>
      <c r="L87">
        <f t="shared" si="49"/>
        <v>3</v>
      </c>
      <c r="M87">
        <f t="shared" si="49"/>
        <v>3</v>
      </c>
      <c r="N87">
        <f t="shared" si="49"/>
        <v>3</v>
      </c>
    </row>
    <row r="88" spans="4:14" x14ac:dyDescent="0.25">
      <c r="D88" t="s">
        <v>276</v>
      </c>
      <c r="E88" t="s">
        <v>277</v>
      </c>
      <c r="F88">
        <v>0.5</v>
      </c>
      <c r="G88">
        <f>F88</f>
        <v>0.5</v>
      </c>
      <c r="H88">
        <f t="shared" ref="H88:N88" si="50">G88</f>
        <v>0.5</v>
      </c>
      <c r="I88">
        <f t="shared" si="50"/>
        <v>0.5</v>
      </c>
      <c r="J88">
        <f t="shared" si="50"/>
        <v>0.5</v>
      </c>
      <c r="K88">
        <f t="shared" si="50"/>
        <v>0.5</v>
      </c>
      <c r="L88">
        <f t="shared" si="50"/>
        <v>0.5</v>
      </c>
      <c r="M88">
        <f t="shared" si="50"/>
        <v>0.5</v>
      </c>
      <c r="N88">
        <f t="shared" si="50"/>
        <v>0.5</v>
      </c>
    </row>
    <row r="89" spans="4:14" x14ac:dyDescent="0.25">
      <c r="E89" t="s">
        <v>293</v>
      </c>
      <c r="F89" s="192">
        <f>F88*F87/F86</f>
        <v>2.275636178045648</v>
      </c>
      <c r="G89" s="192">
        <f t="shared" ref="G89:N89" si="51">G88*G87/G86</f>
        <v>1.3310987975107647</v>
      </c>
      <c r="H89" s="192">
        <f t="shared" si="51"/>
        <v>0.81210564962893594</v>
      </c>
      <c r="I89" s="192">
        <f t="shared" si="51"/>
        <v>0.51432225112519148</v>
      </c>
      <c r="J89" s="192">
        <f t="shared" si="51"/>
        <v>0.33674917887087197</v>
      </c>
      <c r="K89" s="192">
        <f t="shared" si="51"/>
        <v>0.22714500979777374</v>
      </c>
      <c r="L89" s="192">
        <f t="shared" si="51"/>
        <v>0.15736532509299395</v>
      </c>
      <c r="M89" s="192">
        <f t="shared" si="51"/>
        <v>0.11168135845064549</v>
      </c>
      <c r="N89" s="192">
        <f t="shared" si="51"/>
        <v>8.1006547649277769E-2</v>
      </c>
    </row>
    <row r="97" spans="3:3" x14ac:dyDescent="0.25">
      <c r="C97" t="s">
        <v>294</v>
      </c>
    </row>
    <row r="99" spans="3:3" x14ac:dyDescent="0.25">
      <c r="C99" t="s">
        <v>295</v>
      </c>
    </row>
  </sheetData>
  <mergeCells count="14">
    <mergeCell ref="D27:E27"/>
    <mergeCell ref="D28:E28"/>
    <mergeCell ref="D30:E30"/>
    <mergeCell ref="D59:E59"/>
    <mergeCell ref="D62:E62"/>
    <mergeCell ref="D55:E55"/>
    <mergeCell ref="D40:D48"/>
    <mergeCell ref="D49:D54"/>
    <mergeCell ref="D31:D39"/>
    <mergeCell ref="J80:N80"/>
    <mergeCell ref="J85:N85"/>
    <mergeCell ref="D84:E84"/>
    <mergeCell ref="D71:E71"/>
    <mergeCell ref="D76:E7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N125"/>
  <sheetViews>
    <sheetView topLeftCell="A50" zoomScaleNormal="100" workbookViewId="0">
      <selection activeCell="F21" sqref="F21"/>
    </sheetView>
  </sheetViews>
  <sheetFormatPr defaultColWidth="9.140625" defaultRowHeight="15" x14ac:dyDescent="0.25"/>
  <cols>
    <col min="1" max="1" width="9.140625" bestFit="1" customWidth="1"/>
    <col min="2" max="2" width="33.5703125" bestFit="1" customWidth="1"/>
    <col min="3" max="3" width="26.5703125" customWidth="1"/>
    <col min="4" max="4" width="20.85546875" bestFit="1" customWidth="1"/>
    <col min="5" max="5" width="19.5703125" bestFit="1" customWidth="1"/>
    <col min="6" max="6" width="21.42578125" bestFit="1" customWidth="1"/>
    <col min="7" max="7" width="40.85546875" customWidth="1"/>
    <col min="8" max="8" width="12" customWidth="1"/>
    <col min="9" max="9" width="12.85546875" customWidth="1"/>
    <col min="10" max="13" width="9.140625" bestFit="1" customWidth="1"/>
    <col min="14" max="14" width="56" bestFit="1" customWidth="1"/>
    <col min="15" max="15" width="9.140625" bestFit="1" customWidth="1"/>
  </cols>
  <sheetData>
    <row r="1" spans="2:10" x14ac:dyDescent="0.25">
      <c r="B1" t="s">
        <v>296</v>
      </c>
      <c r="D1">
        <v>2</v>
      </c>
      <c r="E1" s="6"/>
      <c r="F1" s="217" t="s">
        <v>297</v>
      </c>
      <c r="G1" s="533" t="s">
        <v>298</v>
      </c>
      <c r="H1" s="729">
        <v>0.8</v>
      </c>
      <c r="I1" s="730" t="s">
        <v>299</v>
      </c>
    </row>
    <row r="2" spans="2:10" x14ac:dyDescent="0.25">
      <c r="B2" s="638" t="s">
        <v>300</v>
      </c>
      <c r="D2" s="734">
        <v>160000</v>
      </c>
      <c r="F2" s="47"/>
      <c r="G2" s="223" t="s">
        <v>301</v>
      </c>
      <c r="H2" s="731">
        <f>D2*1.25</f>
        <v>200000</v>
      </c>
      <c r="I2" s="732" t="s">
        <v>302</v>
      </c>
      <c r="J2" t="s">
        <v>303</v>
      </c>
    </row>
    <row r="3" spans="2:10" x14ac:dyDescent="0.25">
      <c r="B3" s="211" t="s">
        <v>304</v>
      </c>
      <c r="D3" s="48"/>
      <c r="E3" s="6"/>
      <c r="G3" s="223" t="s">
        <v>305</v>
      </c>
      <c r="H3" s="733">
        <f>(D5+D6)/H2</f>
        <v>6662.5039999999999</v>
      </c>
    </row>
    <row r="4" spans="2:10" x14ac:dyDescent="0.25">
      <c r="B4" s="212" t="s">
        <v>306</v>
      </c>
      <c r="E4" s="6"/>
      <c r="F4" s="766" t="s">
        <v>307</v>
      </c>
    </row>
    <row r="5" spans="2:10" x14ac:dyDescent="0.25">
      <c r="B5" t="s">
        <v>308</v>
      </c>
      <c r="D5" s="74">
        <f>F5*D2</f>
        <v>32500800</v>
      </c>
      <c r="E5" s="51"/>
      <c r="F5" s="670">
        <v>203.13</v>
      </c>
      <c r="G5" t="s">
        <v>309</v>
      </c>
    </row>
    <row r="6" spans="2:10" x14ac:dyDescent="0.25">
      <c r="B6" s="6" t="s">
        <v>310</v>
      </c>
      <c r="C6" s="6"/>
      <c r="D6" s="74">
        <f>F6*D2</f>
        <v>1300000000</v>
      </c>
      <c r="E6" s="664"/>
      <c r="F6" s="670">
        <v>8125</v>
      </c>
      <c r="G6" t="s">
        <v>311</v>
      </c>
    </row>
    <row r="7" spans="2:10" x14ac:dyDescent="0.25">
      <c r="B7" t="s">
        <v>312</v>
      </c>
      <c r="D7" s="74">
        <f>SUM(D5:D6)</f>
        <v>1332500800</v>
      </c>
      <c r="E7" s="216"/>
      <c r="F7" s="603">
        <f>D7/D2</f>
        <v>8328.1299999999992</v>
      </c>
    </row>
    <row r="8" spans="2:10" x14ac:dyDescent="0.25">
      <c r="B8" s="6"/>
      <c r="D8" s="667"/>
      <c r="E8" s="216"/>
    </row>
    <row r="9" spans="2:10" x14ac:dyDescent="0.25">
      <c r="B9" s="640" t="s">
        <v>313</v>
      </c>
      <c r="D9" s="669">
        <f>CAPEX!F44</f>
        <v>1708736487.9451354</v>
      </c>
      <c r="E9" s="216"/>
    </row>
    <row r="11" spans="2:10" x14ac:dyDescent="0.25">
      <c r="B11" s="212" t="s">
        <v>314</v>
      </c>
    </row>
    <row r="12" spans="2:10" x14ac:dyDescent="0.25">
      <c r="B12" t="s">
        <v>315</v>
      </c>
      <c r="E12" s="6"/>
    </row>
    <row r="13" spans="2:10" x14ac:dyDescent="0.25">
      <c r="C13" s="499" t="s">
        <v>316</v>
      </c>
      <c r="D13" s="536">
        <f>ROUND(Compositions!AB11*D2*H13,-1)</f>
        <v>51705700</v>
      </c>
      <c r="E13" s="215"/>
      <c r="G13" s="491" t="s">
        <v>317</v>
      </c>
      <c r="H13" s="677">
        <f>VLOOKUP('Material Balance'!M5,Reference!AX4:AY27,2,FALSE)</f>
        <v>150</v>
      </c>
      <c r="I13" s="476" t="s">
        <v>318</v>
      </c>
      <c r="J13" s="492" t="s">
        <v>319</v>
      </c>
    </row>
    <row r="14" spans="2:10" x14ac:dyDescent="0.25">
      <c r="C14" s="499" t="s">
        <v>320</v>
      </c>
      <c r="D14" s="536">
        <f>ROUND(Compositions!AC39*D2*H14,-1)</f>
        <v>18826550</v>
      </c>
      <c r="E14" s="215"/>
      <c r="G14" s="491" t="s">
        <v>321</v>
      </c>
      <c r="H14" s="677">
        <v>1000</v>
      </c>
      <c r="I14" s="476" t="s">
        <v>318</v>
      </c>
      <c r="J14" s="492" t="s">
        <v>322</v>
      </c>
    </row>
    <row r="15" spans="2:10" x14ac:dyDescent="0.25">
      <c r="C15" s="499" t="s">
        <v>323</v>
      </c>
      <c r="D15" s="536">
        <f>ROUND(Compositions!AC40*D2*H15,-1)</f>
        <v>7530620</v>
      </c>
      <c r="E15" s="215"/>
      <c r="G15" s="491" t="s">
        <v>324</v>
      </c>
      <c r="H15" s="677">
        <v>400</v>
      </c>
      <c r="I15" s="476" t="s">
        <v>318</v>
      </c>
      <c r="J15" t="s">
        <v>325</v>
      </c>
    </row>
    <row r="16" spans="2:10" x14ac:dyDescent="0.25">
      <c r="C16" s="499" t="s">
        <v>326</v>
      </c>
      <c r="D16" s="537">
        <f>ROUND(Compositions!AC38*D2*H16,-1)</f>
        <v>808694040</v>
      </c>
      <c r="E16" s="215"/>
      <c r="G16" s="491" t="s">
        <v>327</v>
      </c>
      <c r="H16" s="677">
        <v>1000000</v>
      </c>
      <c r="I16" s="476" t="s">
        <v>318</v>
      </c>
      <c r="J16" t="s">
        <v>328</v>
      </c>
    </row>
    <row r="17" spans="2:10" x14ac:dyDescent="0.25">
      <c r="C17" s="499" t="s">
        <v>329</v>
      </c>
      <c r="D17" s="536">
        <f>ROUND(Compositions!AC41*D2*H17,-1)</f>
        <v>90830</v>
      </c>
      <c r="E17" s="215"/>
      <c r="G17" s="491" t="s">
        <v>330</v>
      </c>
      <c r="H17" s="677">
        <v>150</v>
      </c>
      <c r="I17" s="476" t="s">
        <v>318</v>
      </c>
      <c r="J17" t="s">
        <v>331</v>
      </c>
    </row>
    <row r="18" spans="2:10" x14ac:dyDescent="0.25">
      <c r="C18" s="499" t="s">
        <v>332</v>
      </c>
      <c r="D18" s="536">
        <f>ROUND(Compositions!AC37*D2*H18,-1)</f>
        <v>0</v>
      </c>
      <c r="E18" s="215"/>
      <c r="G18" s="491" t="s">
        <v>333</v>
      </c>
      <c r="H18" s="677">
        <v>5000</v>
      </c>
      <c r="I18" s="476" t="s">
        <v>318</v>
      </c>
    </row>
    <row r="19" spans="2:10" x14ac:dyDescent="0.25">
      <c r="C19" s="499" t="s">
        <v>334</v>
      </c>
      <c r="D19" s="536">
        <f>ROUND((H19)*SUM(Compositions!AC37:AC41)*D2,-1)</f>
        <v>625080</v>
      </c>
      <c r="E19" s="215"/>
      <c r="G19" s="491" t="s">
        <v>335</v>
      </c>
      <c r="H19" s="677">
        <v>16</v>
      </c>
      <c r="I19" s="476" t="s">
        <v>318</v>
      </c>
    </row>
    <row r="20" spans="2:10" x14ac:dyDescent="0.25">
      <c r="C20" s="539" t="s">
        <v>336</v>
      </c>
      <c r="D20" s="538">
        <f>SUM(D13:D19)</f>
        <v>887472820</v>
      </c>
      <c r="E20" s="213"/>
      <c r="G20" s="644" t="s">
        <v>337</v>
      </c>
      <c r="H20" s="645">
        <v>0.9</v>
      </c>
      <c r="I20" s="223"/>
    </row>
    <row r="21" spans="2:10" x14ac:dyDescent="0.25">
      <c r="B21" t="s">
        <v>338</v>
      </c>
      <c r="C21" t="s">
        <v>339</v>
      </c>
      <c r="D21" s="157">
        <f>H21*D2</f>
        <v>2290307.3782673893</v>
      </c>
      <c r="E21" s="213"/>
      <c r="G21" s="540" t="s">
        <v>340</v>
      </c>
      <c r="H21" s="678">
        <f>'Energy Balance'!$J$15/H20</f>
        <v>14.314421114171184</v>
      </c>
      <c r="I21" s="476" t="s">
        <v>341</v>
      </c>
      <c r="J21" t="s">
        <v>342</v>
      </c>
    </row>
    <row r="22" spans="2:10" x14ac:dyDescent="0.25">
      <c r="C22" t="s">
        <v>343</v>
      </c>
      <c r="D22" s="213">
        <f>D21*H22</f>
        <v>68709221.348021671</v>
      </c>
      <c r="E22" s="215"/>
      <c r="G22" s="498" t="s">
        <v>344</v>
      </c>
      <c r="H22" s="677">
        <v>30</v>
      </c>
      <c r="I22" s="476" t="s">
        <v>345</v>
      </c>
      <c r="J22" t="s">
        <v>346</v>
      </c>
    </row>
    <row r="23" spans="2:10" x14ac:dyDescent="0.25">
      <c r="B23" t="s">
        <v>347</v>
      </c>
      <c r="E23" s="6"/>
      <c r="G23" s="540" t="s">
        <v>348</v>
      </c>
      <c r="H23" s="661">
        <f>D29/D2</f>
        <v>81.25</v>
      </c>
    </row>
    <row r="24" spans="2:10" x14ac:dyDescent="0.25">
      <c r="C24" t="s">
        <v>349</v>
      </c>
      <c r="D24" s="17">
        <v>600</v>
      </c>
      <c r="E24" s="6"/>
      <c r="G24" s="660" t="s">
        <v>350</v>
      </c>
      <c r="H24" s="661">
        <f>D30/D2</f>
        <v>1606.1756875000001</v>
      </c>
    </row>
    <row r="25" spans="2:10" x14ac:dyDescent="0.25">
      <c r="C25" t="s">
        <v>351</v>
      </c>
      <c r="D25" s="213">
        <v>92634</v>
      </c>
      <c r="E25" s="215"/>
      <c r="G25" s="540" t="s">
        <v>352</v>
      </c>
      <c r="H25" s="661">
        <f>D28/D2</f>
        <v>367.315</v>
      </c>
    </row>
    <row r="26" spans="2:10" x14ac:dyDescent="0.25">
      <c r="C26" t="s">
        <v>353</v>
      </c>
      <c r="D26">
        <v>50</v>
      </c>
      <c r="E26" s="6"/>
    </row>
    <row r="27" spans="2:10" x14ac:dyDescent="0.25">
      <c r="C27" t="s">
        <v>354</v>
      </c>
      <c r="D27" s="213">
        <f>58000*1.1</f>
        <v>63800.000000000007</v>
      </c>
      <c r="E27" s="215"/>
    </row>
    <row r="28" spans="2:10" x14ac:dyDescent="0.25">
      <c r="C28" t="s">
        <v>355</v>
      </c>
      <c r="D28" s="213">
        <f>ROUND(D24*D25+D26*D27,-1)</f>
        <v>58770400</v>
      </c>
      <c r="E28" s="215"/>
      <c r="G28" t="s">
        <v>356</v>
      </c>
    </row>
    <row r="29" spans="2:10" x14ac:dyDescent="0.25">
      <c r="B29" s="6" t="s">
        <v>357</v>
      </c>
      <c r="C29" s="6"/>
      <c r="D29" s="215">
        <f>13000000</f>
        <v>13000000</v>
      </c>
      <c r="E29" s="215"/>
      <c r="G29" t="s">
        <v>358</v>
      </c>
    </row>
    <row r="30" spans="2:10" x14ac:dyDescent="0.25">
      <c r="B30" s="6" t="s">
        <v>359</v>
      </c>
      <c r="C30" s="6"/>
      <c r="D30" s="216">
        <f>ROUND((D29+D28+D22+D20)*0.25,-1)</f>
        <v>256988110</v>
      </c>
      <c r="E30" s="215"/>
      <c r="G30" t="s">
        <v>360</v>
      </c>
    </row>
    <row r="31" spans="2:10" x14ac:dyDescent="0.25">
      <c r="B31" t="s">
        <v>361</v>
      </c>
      <c r="D31" s="641">
        <f>ROUND((D29+D28+D22+D20+D30),-1)</f>
        <v>1284940550</v>
      </c>
      <c r="G31" t="s">
        <v>362</v>
      </c>
    </row>
    <row r="32" spans="2:10" x14ac:dyDescent="0.25">
      <c r="B32" t="s">
        <v>363</v>
      </c>
      <c r="D32" s="135">
        <f>ROUND(D31*((1.06^20)-1)/(0.06*(1.06^20)),-1)</f>
        <v>14738166880</v>
      </c>
      <c r="E32" s="216"/>
    </row>
    <row r="33" spans="2:14" x14ac:dyDescent="0.25">
      <c r="D33" s="135"/>
      <c r="E33" s="216"/>
    </row>
    <row r="34" spans="2:14" x14ac:dyDescent="0.25">
      <c r="N34" s="135"/>
    </row>
    <row r="35" spans="2:14" x14ac:dyDescent="0.25">
      <c r="N35" s="48"/>
    </row>
    <row r="36" spans="2:14" x14ac:dyDescent="0.25">
      <c r="B36" s="217" t="s">
        <v>364</v>
      </c>
    </row>
    <row r="37" spans="2:14" x14ac:dyDescent="0.25">
      <c r="B37" t="str">
        <f>C20</f>
        <v>Annual Raw Material</v>
      </c>
      <c r="C37" s="135">
        <f>D20</f>
        <v>887472820</v>
      </c>
      <c r="N37" s="135"/>
    </row>
    <row r="38" spans="2:14" x14ac:dyDescent="0.25">
      <c r="B38" t="str">
        <f>B21</f>
        <v>Energy Cost</v>
      </c>
      <c r="C38" s="135">
        <f>H21*D2*H22</f>
        <v>68709221.348021671</v>
      </c>
    </row>
    <row r="39" spans="2:14" x14ac:dyDescent="0.25">
      <c r="B39" t="str">
        <f>B23</f>
        <v>Labor</v>
      </c>
      <c r="C39" s="135">
        <f>H25*D2</f>
        <v>58770400</v>
      </c>
    </row>
    <row r="40" spans="2:14" x14ac:dyDescent="0.25">
      <c r="B40" t="str">
        <f>B29</f>
        <v>Utilities (other than Electricity)</v>
      </c>
      <c r="C40" s="135">
        <f>H23*D2</f>
        <v>13000000</v>
      </c>
    </row>
    <row r="41" spans="2:14" x14ac:dyDescent="0.25">
      <c r="B41" t="s">
        <v>365</v>
      </c>
      <c r="C41" s="135">
        <f>H24*D2</f>
        <v>256988110.00000003</v>
      </c>
    </row>
    <row r="42" spans="2:14" x14ac:dyDescent="0.25">
      <c r="B42" t="s">
        <v>366</v>
      </c>
      <c r="C42" s="641">
        <f>SUM(C37:C41)</f>
        <v>1284940551.3480217</v>
      </c>
    </row>
    <row r="46" spans="2:14" x14ac:dyDescent="0.25">
      <c r="C46" s="642"/>
    </row>
    <row r="53" spans="2:7" x14ac:dyDescent="0.25">
      <c r="D53" t="s">
        <v>367</v>
      </c>
      <c r="F53" s="44" t="s">
        <v>368</v>
      </c>
    </row>
    <row r="54" spans="2:7" x14ac:dyDescent="0.25">
      <c r="B54" s="217" t="s">
        <v>369</v>
      </c>
      <c r="D54" t="s">
        <v>370</v>
      </c>
      <c r="F54" s="44" t="s">
        <v>371</v>
      </c>
    </row>
    <row r="55" spans="2:7" x14ac:dyDescent="0.25">
      <c r="B55" t="s">
        <v>372</v>
      </c>
      <c r="C55" s="635">
        <v>4500</v>
      </c>
    </row>
    <row r="56" spans="2:7" x14ac:dyDescent="0.25">
      <c r="B56" t="s">
        <v>373</v>
      </c>
      <c r="C56">
        <v>0.98</v>
      </c>
      <c r="D56" t="s">
        <v>374</v>
      </c>
      <c r="E56">
        <v>1.02</v>
      </c>
    </row>
    <row r="57" spans="2:7" x14ac:dyDescent="0.25">
      <c r="B57" t="s">
        <v>375</v>
      </c>
      <c r="C57" t="s">
        <v>376</v>
      </c>
      <c r="D57" t="s">
        <v>377</v>
      </c>
      <c r="E57" t="s">
        <v>314</v>
      </c>
      <c r="F57" t="s">
        <v>378</v>
      </c>
      <c r="G57" t="s">
        <v>379</v>
      </c>
    </row>
    <row r="58" spans="2:7" x14ac:dyDescent="0.25">
      <c r="B58">
        <v>0</v>
      </c>
      <c r="C58" s="51">
        <v>0</v>
      </c>
      <c r="D58" s="74">
        <f>-1*(D5)</f>
        <v>-32500800</v>
      </c>
      <c r="E58" s="51"/>
      <c r="F58" s="74">
        <f>D58+E58</f>
        <v>-32500800</v>
      </c>
      <c r="G58" s="74">
        <f>C58+F58</f>
        <v>-32500800</v>
      </c>
    </row>
    <row r="59" spans="2:7" x14ac:dyDescent="0.25">
      <c r="B59">
        <v>1</v>
      </c>
      <c r="C59" s="51">
        <v>0</v>
      </c>
      <c r="D59" s="74">
        <f>-1*0.1*(D9-D5)</f>
        <v>-167623568.79451355</v>
      </c>
      <c r="E59" s="51"/>
      <c r="F59" s="74">
        <f t="shared" ref="F59:F63" si="0">D59+E59</f>
        <v>-167623568.79451355</v>
      </c>
      <c r="G59" s="74">
        <f>C59+F59+G58</f>
        <v>-200124368.79451355</v>
      </c>
    </row>
    <row r="60" spans="2:7" x14ac:dyDescent="0.25">
      <c r="B60">
        <v>2</v>
      </c>
      <c r="C60" s="51">
        <v>0</v>
      </c>
      <c r="D60" s="74">
        <f>-1*0.6*(D9-D5)</f>
        <v>-1005741412.7670811</v>
      </c>
      <c r="E60" s="51"/>
      <c r="F60" s="74">
        <f t="shared" si="0"/>
        <v>-1005741412.7670811</v>
      </c>
      <c r="G60" s="74">
        <f>C60+F60+G59</f>
        <v>-1205865781.5615947</v>
      </c>
    </row>
    <row r="61" spans="2:7" x14ac:dyDescent="0.25">
      <c r="B61">
        <v>3</v>
      </c>
      <c r="C61" s="51">
        <f>ROUND(($D$2/2)*$C$55,-4)</f>
        <v>360000000</v>
      </c>
      <c r="D61" s="74">
        <f>-1*0.3*(D9-D5)</f>
        <v>-502870706.38354057</v>
      </c>
      <c r="E61" s="51">
        <f>-1*ROUND(C42/2,-4)</f>
        <v>-642470000</v>
      </c>
      <c r="F61" s="74">
        <f t="shared" si="0"/>
        <v>-1145340706.3835406</v>
      </c>
      <c r="G61" s="74">
        <f>C61+F61+G60</f>
        <v>-1991206487.9451354</v>
      </c>
    </row>
    <row r="62" spans="2:7" x14ac:dyDescent="0.25">
      <c r="B62">
        <v>4</v>
      </c>
      <c r="C62" s="51">
        <f>ROUND(C61*$C$56,-4)</f>
        <v>352800000</v>
      </c>
      <c r="D62" s="74"/>
      <c r="E62" s="51">
        <f>ROUND(E61*$E$56,-4)</f>
        <v>-655320000</v>
      </c>
      <c r="F62" s="74">
        <f t="shared" si="0"/>
        <v>-655320000</v>
      </c>
      <c r="G62" s="74">
        <f t="shared" ref="G62:G78" si="1">C62+F62+G61</f>
        <v>-2293726487.9451351</v>
      </c>
    </row>
    <row r="63" spans="2:7" x14ac:dyDescent="0.25">
      <c r="B63">
        <v>5</v>
      </c>
      <c r="C63" s="51">
        <f>ROUND(C62*2*$C$56,-4)</f>
        <v>691490000</v>
      </c>
      <c r="D63" s="74"/>
      <c r="E63" s="51">
        <f>ROUND(E62*2*$E$56,-4)</f>
        <v>-1336850000</v>
      </c>
      <c r="F63" s="74">
        <f t="shared" si="0"/>
        <v>-1336850000</v>
      </c>
      <c r="G63" s="74">
        <f t="shared" si="1"/>
        <v>-2939086487.9451351</v>
      </c>
    </row>
    <row r="64" spans="2:7" x14ac:dyDescent="0.25">
      <c r="B64">
        <v>6</v>
      </c>
      <c r="C64" s="51">
        <f>ROUND(C63*$C$56,-4)</f>
        <v>677660000</v>
      </c>
      <c r="D64" s="74"/>
      <c r="E64" s="51">
        <f>ROUND(E63*$E$56,-4)</f>
        <v>-1363590000</v>
      </c>
      <c r="F64" s="74">
        <f t="shared" ref="F64:F78" si="2">D64+E64</f>
        <v>-1363590000</v>
      </c>
      <c r="G64" s="74">
        <f t="shared" si="1"/>
        <v>-3625016487.9451351</v>
      </c>
    </row>
    <row r="65" spans="2:7" x14ac:dyDescent="0.25">
      <c r="B65">
        <v>7</v>
      </c>
      <c r="C65" s="51">
        <f>ROUND(C64*$C$56,-4)</f>
        <v>664110000</v>
      </c>
      <c r="D65" s="74"/>
      <c r="E65" s="51">
        <f>ROUND(E64*$E$56,-4)</f>
        <v>-1390860000</v>
      </c>
      <c r="F65" s="74">
        <f t="shared" si="2"/>
        <v>-1390860000</v>
      </c>
      <c r="G65" s="74">
        <f t="shared" si="1"/>
        <v>-4351766487.9451351</v>
      </c>
    </row>
    <row r="66" spans="2:7" x14ac:dyDescent="0.25">
      <c r="B66">
        <v>8</v>
      </c>
      <c r="C66" s="51">
        <f t="shared" ref="C66:C78" si="3">ROUND(C65*$C$56,-4)</f>
        <v>650830000</v>
      </c>
      <c r="D66" s="74"/>
      <c r="E66" s="51">
        <f>ROUND(E65*$E$56,-4)</f>
        <v>-1418680000</v>
      </c>
      <c r="F66" s="74">
        <f t="shared" si="2"/>
        <v>-1418680000</v>
      </c>
      <c r="G66" s="74">
        <f t="shared" si="1"/>
        <v>-5119616487.9451351</v>
      </c>
    </row>
    <row r="67" spans="2:7" x14ac:dyDescent="0.25">
      <c r="B67">
        <v>9</v>
      </c>
      <c r="C67" s="51">
        <f t="shared" si="3"/>
        <v>637810000</v>
      </c>
      <c r="D67" s="74"/>
      <c r="E67" s="51">
        <f t="shared" ref="E67:E78" si="4">ROUND(E66*$E$56,-4)</f>
        <v>-1447050000</v>
      </c>
      <c r="F67" s="74">
        <f t="shared" si="2"/>
        <v>-1447050000</v>
      </c>
      <c r="G67" s="74">
        <f t="shared" si="1"/>
        <v>-5928856487.9451351</v>
      </c>
    </row>
    <row r="68" spans="2:7" x14ac:dyDescent="0.25">
      <c r="B68">
        <v>10</v>
      </c>
      <c r="C68" s="51">
        <f t="shared" si="3"/>
        <v>625050000</v>
      </c>
      <c r="D68" s="74"/>
      <c r="E68" s="51">
        <f t="shared" si="4"/>
        <v>-1475990000</v>
      </c>
      <c r="F68" s="74">
        <f t="shared" si="2"/>
        <v>-1475990000</v>
      </c>
      <c r="G68" s="74">
        <f t="shared" si="1"/>
        <v>-6779796487.9451351</v>
      </c>
    </row>
    <row r="69" spans="2:7" x14ac:dyDescent="0.25">
      <c r="B69">
        <v>11</v>
      </c>
      <c r="C69" s="51">
        <f t="shared" si="3"/>
        <v>612550000</v>
      </c>
      <c r="D69" s="74"/>
      <c r="E69" s="51">
        <f t="shared" si="4"/>
        <v>-1505510000</v>
      </c>
      <c r="F69" s="74">
        <f t="shared" si="2"/>
        <v>-1505510000</v>
      </c>
      <c r="G69" s="74">
        <f t="shared" si="1"/>
        <v>-7672756487.9451351</v>
      </c>
    </row>
    <row r="70" spans="2:7" x14ac:dyDescent="0.25">
      <c r="B70">
        <v>12</v>
      </c>
      <c r="C70" s="51">
        <f t="shared" si="3"/>
        <v>600300000</v>
      </c>
      <c r="D70" s="74"/>
      <c r="E70" s="51">
        <f t="shared" si="4"/>
        <v>-1535620000</v>
      </c>
      <c r="F70" s="74">
        <f t="shared" si="2"/>
        <v>-1535620000</v>
      </c>
      <c r="G70" s="74">
        <f t="shared" si="1"/>
        <v>-8608076487.9451351</v>
      </c>
    </row>
    <row r="71" spans="2:7" x14ac:dyDescent="0.25">
      <c r="B71">
        <v>13</v>
      </c>
      <c r="C71" s="51">
        <f t="shared" si="3"/>
        <v>588290000</v>
      </c>
      <c r="D71" s="74"/>
      <c r="E71" s="51">
        <f t="shared" si="4"/>
        <v>-1566330000</v>
      </c>
      <c r="F71" s="74">
        <f t="shared" si="2"/>
        <v>-1566330000</v>
      </c>
      <c r="G71" s="74">
        <f t="shared" si="1"/>
        <v>-9586116487.9451351</v>
      </c>
    </row>
    <row r="72" spans="2:7" x14ac:dyDescent="0.25">
      <c r="B72">
        <v>14</v>
      </c>
      <c r="C72" s="51">
        <f t="shared" si="3"/>
        <v>576520000</v>
      </c>
      <c r="D72" s="74"/>
      <c r="E72" s="51">
        <f t="shared" si="4"/>
        <v>-1597660000</v>
      </c>
      <c r="F72" s="74">
        <f t="shared" si="2"/>
        <v>-1597660000</v>
      </c>
      <c r="G72" s="74">
        <f t="shared" si="1"/>
        <v>-10607256487.945135</v>
      </c>
    </row>
    <row r="73" spans="2:7" x14ac:dyDescent="0.25">
      <c r="B73">
        <v>15</v>
      </c>
      <c r="C73" s="51">
        <f t="shared" si="3"/>
        <v>564990000</v>
      </c>
      <c r="D73" s="74"/>
      <c r="E73" s="51">
        <f t="shared" si="4"/>
        <v>-1629610000</v>
      </c>
      <c r="F73" s="74">
        <f t="shared" si="2"/>
        <v>-1629610000</v>
      </c>
      <c r="G73" s="74">
        <f t="shared" si="1"/>
        <v>-11671876487.945135</v>
      </c>
    </row>
    <row r="74" spans="2:7" x14ac:dyDescent="0.25">
      <c r="B74">
        <v>16</v>
      </c>
      <c r="C74" s="51">
        <f t="shared" si="3"/>
        <v>553690000</v>
      </c>
      <c r="D74" s="74"/>
      <c r="E74" s="51">
        <f t="shared" si="4"/>
        <v>-1662200000</v>
      </c>
      <c r="F74" s="74">
        <f t="shared" si="2"/>
        <v>-1662200000</v>
      </c>
      <c r="G74" s="74">
        <f t="shared" si="1"/>
        <v>-12780386487.945135</v>
      </c>
    </row>
    <row r="75" spans="2:7" x14ac:dyDescent="0.25">
      <c r="B75">
        <v>17</v>
      </c>
      <c r="C75" s="51">
        <f t="shared" si="3"/>
        <v>542620000</v>
      </c>
      <c r="D75" s="74"/>
      <c r="E75" s="51">
        <f t="shared" si="4"/>
        <v>-1695440000</v>
      </c>
      <c r="F75" s="74">
        <f t="shared" si="2"/>
        <v>-1695440000</v>
      </c>
      <c r="G75" s="74">
        <f t="shared" si="1"/>
        <v>-13933206487.945135</v>
      </c>
    </row>
    <row r="76" spans="2:7" x14ac:dyDescent="0.25">
      <c r="B76">
        <v>18</v>
      </c>
      <c r="C76" s="51">
        <f t="shared" si="3"/>
        <v>531770000</v>
      </c>
      <c r="D76" s="74"/>
      <c r="E76" s="51">
        <f t="shared" si="4"/>
        <v>-1729350000</v>
      </c>
      <c r="F76" s="74">
        <f t="shared" si="2"/>
        <v>-1729350000</v>
      </c>
      <c r="G76" s="74">
        <f t="shared" si="1"/>
        <v>-15130786487.945135</v>
      </c>
    </row>
    <row r="77" spans="2:7" x14ac:dyDescent="0.25">
      <c r="B77">
        <v>19</v>
      </c>
      <c r="C77" s="51">
        <f t="shared" si="3"/>
        <v>521130000</v>
      </c>
      <c r="D77" s="74"/>
      <c r="E77" s="51">
        <f t="shared" si="4"/>
        <v>-1763940000</v>
      </c>
      <c r="F77" s="74">
        <f t="shared" si="2"/>
        <v>-1763940000</v>
      </c>
      <c r="G77" s="74">
        <f t="shared" si="1"/>
        <v>-16373596487.945135</v>
      </c>
    </row>
    <row r="78" spans="2:7" x14ac:dyDescent="0.25">
      <c r="B78">
        <v>20</v>
      </c>
      <c r="C78" s="51">
        <f t="shared" si="3"/>
        <v>510710000</v>
      </c>
      <c r="D78" s="74"/>
      <c r="E78" s="51">
        <f t="shared" si="4"/>
        <v>-1799220000</v>
      </c>
      <c r="F78" s="74">
        <f t="shared" si="2"/>
        <v>-1799220000</v>
      </c>
      <c r="G78" s="74">
        <f t="shared" si="1"/>
        <v>-17662106487.945137</v>
      </c>
    </row>
    <row r="80" spans="2:7" x14ac:dyDescent="0.25">
      <c r="C80" s="214"/>
    </row>
    <row r="85" spans="2:7" x14ac:dyDescent="0.25">
      <c r="F85" s="44"/>
    </row>
    <row r="86" spans="2:7" x14ac:dyDescent="0.25">
      <c r="B86" s="217"/>
      <c r="F86" s="44"/>
    </row>
    <row r="90" spans="2:7" x14ac:dyDescent="0.25">
      <c r="C90" s="213"/>
      <c r="D90" s="135"/>
      <c r="E90" s="213"/>
      <c r="F90" s="135"/>
      <c r="G90" s="135"/>
    </row>
    <row r="91" spans="2:7" x14ac:dyDescent="0.25">
      <c r="C91" s="213"/>
      <c r="D91" s="135"/>
      <c r="E91" s="213"/>
      <c r="F91" s="135"/>
      <c r="G91" s="135"/>
    </row>
    <row r="92" spans="2:7" x14ac:dyDescent="0.25">
      <c r="C92" s="213"/>
      <c r="D92" s="135"/>
      <c r="E92" s="213"/>
      <c r="F92" s="135"/>
      <c r="G92" s="135"/>
    </row>
    <row r="93" spans="2:7" x14ac:dyDescent="0.25">
      <c r="C93" s="213"/>
      <c r="D93" s="135"/>
      <c r="E93" s="213"/>
      <c r="F93" s="135"/>
      <c r="G93" s="135"/>
    </row>
    <row r="94" spans="2:7" x14ac:dyDescent="0.25">
      <c r="C94" s="213"/>
      <c r="D94" s="135"/>
      <c r="E94" s="213"/>
      <c r="F94" s="135"/>
      <c r="G94" s="135"/>
    </row>
    <row r="95" spans="2:7" x14ac:dyDescent="0.25">
      <c r="C95" s="213"/>
      <c r="E95" s="213"/>
      <c r="F95" s="135"/>
      <c r="G95" s="135"/>
    </row>
    <row r="96" spans="2:7" x14ac:dyDescent="0.25">
      <c r="C96" s="213"/>
      <c r="E96" s="213"/>
      <c r="F96" s="135"/>
      <c r="G96" s="135"/>
    </row>
    <row r="97" spans="3:7" x14ac:dyDescent="0.25">
      <c r="C97" s="213"/>
      <c r="E97" s="213"/>
      <c r="F97" s="135"/>
      <c r="G97" s="135"/>
    </row>
    <row r="98" spans="3:7" x14ac:dyDescent="0.25">
      <c r="C98" s="213"/>
      <c r="E98" s="213"/>
      <c r="F98" s="135"/>
      <c r="G98" s="135"/>
    </row>
    <row r="99" spans="3:7" x14ac:dyDescent="0.25">
      <c r="C99" s="213"/>
      <c r="E99" s="213"/>
      <c r="F99" s="135"/>
      <c r="G99" s="135"/>
    </row>
    <row r="100" spans="3:7" x14ac:dyDescent="0.25">
      <c r="C100" s="213"/>
      <c r="E100" s="213"/>
      <c r="F100" s="135"/>
      <c r="G100" s="135"/>
    </row>
    <row r="101" spans="3:7" x14ac:dyDescent="0.25">
      <c r="C101" s="213"/>
      <c r="E101" s="213"/>
      <c r="F101" s="135"/>
      <c r="G101" s="135"/>
    </row>
    <row r="102" spans="3:7" x14ac:dyDescent="0.25">
      <c r="C102" s="213"/>
      <c r="E102" s="213"/>
      <c r="F102" s="135"/>
      <c r="G102" s="135"/>
    </row>
    <row r="103" spans="3:7" x14ac:dyDescent="0.25">
      <c r="C103" s="213"/>
      <c r="E103" s="213"/>
      <c r="F103" s="135"/>
      <c r="G103" s="135"/>
    </row>
    <row r="104" spans="3:7" x14ac:dyDescent="0.25">
      <c r="C104" s="213"/>
      <c r="E104" s="213"/>
      <c r="F104" s="135"/>
      <c r="G104" s="135"/>
    </row>
    <row r="105" spans="3:7" x14ac:dyDescent="0.25">
      <c r="C105" s="213"/>
      <c r="E105" s="213"/>
      <c r="F105" s="135"/>
      <c r="G105" s="135"/>
    </row>
    <row r="106" spans="3:7" x14ac:dyDescent="0.25">
      <c r="C106" s="213"/>
      <c r="E106" s="213"/>
      <c r="F106" s="135"/>
      <c r="G106" s="135"/>
    </row>
    <row r="107" spans="3:7" x14ac:dyDescent="0.25">
      <c r="C107" s="213"/>
      <c r="E107" s="213"/>
      <c r="F107" s="135"/>
      <c r="G107" s="135"/>
    </row>
    <row r="108" spans="3:7" x14ac:dyDescent="0.25">
      <c r="C108" s="213"/>
      <c r="E108" s="213"/>
      <c r="F108" s="135"/>
      <c r="G108" s="135"/>
    </row>
    <row r="109" spans="3:7" x14ac:dyDescent="0.25">
      <c r="C109" s="213"/>
      <c r="E109" s="213"/>
      <c r="F109" s="135"/>
      <c r="G109" s="135"/>
    </row>
    <row r="110" spans="3:7" x14ac:dyDescent="0.25">
      <c r="C110" s="213"/>
      <c r="E110" s="213"/>
      <c r="F110" s="135"/>
      <c r="G110" s="135"/>
    </row>
    <row r="113" spans="1:8" x14ac:dyDescent="0.25">
      <c r="A113" s="198"/>
      <c r="B113" s="198"/>
      <c r="C113" s="198"/>
      <c r="D113" s="198"/>
      <c r="E113" s="198"/>
      <c r="F113" s="198"/>
      <c r="G113" s="198"/>
      <c r="H113" s="198"/>
    </row>
    <row r="114" spans="1:8" x14ac:dyDescent="0.25">
      <c r="A114" s="198"/>
      <c r="B114" s="198"/>
      <c r="C114" s="198"/>
      <c r="D114" s="198"/>
      <c r="E114" s="198"/>
      <c r="F114" s="198"/>
      <c r="G114" s="198"/>
      <c r="H114" s="198"/>
    </row>
    <row r="115" spans="1:8" x14ac:dyDescent="0.25">
      <c r="A115" s="198"/>
      <c r="B115" s="808"/>
      <c r="C115" s="808"/>
      <c r="D115" s="808"/>
      <c r="E115" s="808"/>
      <c r="F115" s="808"/>
      <c r="G115" s="808"/>
      <c r="H115" s="198"/>
    </row>
    <row r="116" spans="1:8" x14ac:dyDescent="0.25">
      <c r="A116" s="198"/>
      <c r="B116" s="809"/>
      <c r="C116" s="809"/>
      <c r="D116" s="809"/>
      <c r="E116" s="810"/>
      <c r="F116" s="810"/>
      <c r="G116" s="810"/>
      <c r="H116" s="198"/>
    </row>
    <row r="117" spans="1:8" x14ac:dyDescent="0.25">
      <c r="A117" s="198"/>
      <c r="B117" s="809"/>
      <c r="C117" s="809"/>
      <c r="D117" s="809"/>
      <c r="E117" s="810"/>
      <c r="F117" s="810"/>
      <c r="G117" s="810"/>
      <c r="H117" s="198"/>
    </row>
    <row r="118" spans="1:8" x14ac:dyDescent="0.25">
      <c r="A118" s="198"/>
      <c r="B118" s="767"/>
      <c r="C118" s="767"/>
      <c r="D118" s="767"/>
      <c r="E118" s="807"/>
      <c r="F118" s="807"/>
      <c r="G118" s="807"/>
      <c r="H118" s="198"/>
    </row>
    <row r="119" spans="1:8" x14ac:dyDescent="0.25">
      <c r="A119" s="198"/>
      <c r="B119" s="767"/>
      <c r="C119" s="767"/>
      <c r="D119" s="767"/>
      <c r="E119" s="807"/>
      <c r="F119" s="807"/>
      <c r="G119" s="807"/>
      <c r="H119" s="198"/>
    </row>
    <row r="120" spans="1:8" x14ac:dyDescent="0.25">
      <c r="A120" s="198"/>
      <c r="B120" s="767"/>
      <c r="C120" s="767"/>
      <c r="D120" s="767"/>
      <c r="E120" s="807"/>
      <c r="F120" s="807"/>
      <c r="G120" s="807"/>
      <c r="H120" s="198"/>
    </row>
    <row r="121" spans="1:8" x14ac:dyDescent="0.25">
      <c r="A121" s="198"/>
      <c r="B121" s="767"/>
      <c r="C121" s="767"/>
      <c r="D121" s="767"/>
      <c r="E121" s="807"/>
      <c r="F121" s="808"/>
      <c r="G121" s="808"/>
      <c r="H121" s="198"/>
    </row>
    <row r="122" spans="1:8" x14ac:dyDescent="0.25">
      <c r="A122" s="198"/>
      <c r="B122" s="767"/>
      <c r="C122" s="767"/>
      <c r="D122" s="767"/>
      <c r="E122" s="807"/>
      <c r="F122" s="807"/>
      <c r="G122" s="807"/>
      <c r="H122" s="198"/>
    </row>
    <row r="123" spans="1:8" x14ac:dyDescent="0.25">
      <c r="A123" s="198"/>
      <c r="B123" s="767"/>
      <c r="C123" s="767"/>
      <c r="D123" s="767"/>
      <c r="E123" s="807"/>
      <c r="F123" s="807"/>
      <c r="G123" s="807"/>
      <c r="H123" s="198"/>
    </row>
    <row r="124" spans="1:8" x14ac:dyDescent="0.25">
      <c r="A124" s="198"/>
      <c r="B124" s="198"/>
      <c r="C124" s="198"/>
      <c r="D124" s="198"/>
      <c r="E124" s="198"/>
      <c r="F124" s="198"/>
      <c r="G124" s="198"/>
      <c r="H124" s="198"/>
    </row>
    <row r="125" spans="1:8" x14ac:dyDescent="0.25">
      <c r="A125" s="198"/>
      <c r="B125" s="198"/>
      <c r="C125" s="198"/>
      <c r="D125" s="198"/>
      <c r="E125" s="198"/>
      <c r="F125" s="198"/>
      <c r="G125" s="198"/>
      <c r="H125" s="198"/>
    </row>
  </sheetData>
  <mergeCells count="11">
    <mergeCell ref="B115:G115"/>
    <mergeCell ref="B116:B117"/>
    <mergeCell ref="C116:C117"/>
    <mergeCell ref="D116:D117"/>
    <mergeCell ref="E116:G117"/>
    <mergeCell ref="E123:G123"/>
    <mergeCell ref="E118:G118"/>
    <mergeCell ref="E119:G119"/>
    <mergeCell ref="E120:G120"/>
    <mergeCell ref="E121:G121"/>
    <mergeCell ref="E122:G122"/>
  </mergeCells>
  <hyperlinks>
    <hyperlink ref="F53" r:id="rId1" xr:uid="{00000000-0004-0000-0600-000000000000}"/>
    <hyperlink ref="F54" r:id="rId2" xr:uid="{00000000-0004-0000-0600-000001000000}"/>
    <hyperlink ref="J13" r:id="rId3" xr:uid="{00000000-0004-0000-0600-000002000000}"/>
    <hyperlink ref="J14" r:id="rId4" xr:uid="{00000000-0004-0000-0600-000003000000}"/>
  </hyperlinks>
  <pageMargins left="0.7" right="0.7" top="0.75" bottom="0.75" header="0.3" footer="0.3"/>
  <pageSetup orientation="portrait" verticalDpi="0" r:id="rId5"/>
  <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AE129"/>
  <sheetViews>
    <sheetView zoomScale="80" zoomScaleNormal="80" workbookViewId="0">
      <selection activeCell="H4" sqref="H4"/>
    </sheetView>
  </sheetViews>
  <sheetFormatPr defaultColWidth="9.140625" defaultRowHeight="15" x14ac:dyDescent="0.25"/>
  <cols>
    <col min="1" max="1" width="9" customWidth="1"/>
    <col min="2" max="2" width="40.85546875" customWidth="1"/>
    <col min="3" max="3" width="8.85546875" customWidth="1"/>
    <col min="4" max="4" width="8.140625" customWidth="1"/>
    <col min="5" max="5" width="16.85546875" customWidth="1"/>
    <col min="6" max="6" width="18.85546875" customWidth="1"/>
    <col min="7" max="7" width="27" customWidth="1"/>
    <col min="8" max="8" width="18.42578125" customWidth="1"/>
    <col min="9" max="9" width="17.5703125" customWidth="1"/>
    <col min="10" max="12" width="18" bestFit="1" customWidth="1"/>
    <col min="13" max="13" width="14.85546875" customWidth="1"/>
    <col min="14" max="14" width="18.5703125" customWidth="1"/>
    <col min="15" max="15" width="14.42578125" customWidth="1"/>
    <col min="16" max="16" width="44.85546875" customWidth="1"/>
    <col min="17" max="17" width="21.85546875" customWidth="1"/>
    <col min="18" max="18" width="18.140625" customWidth="1"/>
    <col min="19" max="19" width="14.140625" customWidth="1"/>
    <col min="20" max="20" width="13.85546875" customWidth="1"/>
    <col min="21" max="21" width="14.140625" customWidth="1"/>
    <col min="22" max="22" width="21.140625" customWidth="1"/>
  </cols>
  <sheetData>
    <row r="1" spans="1:31" x14ac:dyDescent="0.25">
      <c r="A1" s="699"/>
      <c r="B1" s="198"/>
      <c r="C1" s="702"/>
      <c r="D1" s="198"/>
      <c r="E1" s="198"/>
      <c r="F1" s="198"/>
      <c r="G1" s="198"/>
      <c r="H1" s="198"/>
      <c r="I1" s="198"/>
      <c r="J1" s="198"/>
      <c r="K1" s="198"/>
      <c r="L1" s="198"/>
      <c r="M1" s="198"/>
      <c r="N1" s="198"/>
      <c r="S1" s="767"/>
      <c r="T1" s="198"/>
      <c r="U1" s="198"/>
      <c r="V1" s="198"/>
      <c r="W1" s="198"/>
      <c r="X1" s="198"/>
      <c r="Y1" s="198"/>
      <c r="Z1" s="198"/>
      <c r="AA1" s="198"/>
      <c r="AB1" s="198"/>
      <c r="AC1" s="198"/>
      <c r="AD1" s="198"/>
      <c r="AE1" s="198"/>
    </row>
    <row r="2" spans="1:31" x14ac:dyDescent="0.25">
      <c r="B2" s="705" t="s">
        <v>300</v>
      </c>
      <c r="C2" s="737"/>
      <c r="D2" s="737"/>
      <c r="E2" s="706">
        <v>160000</v>
      </c>
      <c r="F2" s="49" t="s">
        <v>380</v>
      </c>
      <c r="G2" s="123"/>
      <c r="H2" s="123"/>
      <c r="I2" s="123"/>
      <c r="J2" s="123"/>
      <c r="K2" s="123"/>
      <c r="L2" s="123"/>
      <c r="M2" s="123"/>
      <c r="N2" s="123"/>
      <c r="O2" s="115"/>
      <c r="S2" s="767"/>
      <c r="T2" s="198"/>
      <c r="U2" s="198"/>
      <c r="V2" s="198"/>
      <c r="W2" s="198"/>
      <c r="X2" s="198"/>
      <c r="Y2" s="198"/>
      <c r="Z2" s="198"/>
      <c r="AA2" s="198"/>
      <c r="AB2" s="198"/>
      <c r="AC2" s="198"/>
      <c r="AD2" s="198"/>
      <c r="AE2" s="198"/>
    </row>
    <row r="3" spans="1:31" x14ac:dyDescent="0.25">
      <c r="B3" s="707" t="s">
        <v>381</v>
      </c>
      <c r="E3" s="708">
        <f>E9/(100%+C4+C5+C6+C7+C8)</f>
        <v>794629059.62401855</v>
      </c>
      <c r="H3" s="718"/>
      <c r="I3" s="718"/>
      <c r="J3" s="718"/>
      <c r="K3" s="718"/>
      <c r="L3" s="718"/>
      <c r="M3" s="718"/>
      <c r="N3" s="718"/>
      <c r="S3" s="198"/>
      <c r="T3" s="198"/>
      <c r="U3" s="198"/>
      <c r="V3" s="198"/>
      <c r="W3" s="198"/>
      <c r="X3" s="198"/>
      <c r="Y3" s="198"/>
      <c r="Z3" s="198"/>
      <c r="AA3" s="198"/>
      <c r="AB3" s="198"/>
      <c r="AC3" s="198"/>
      <c r="AD3" s="198"/>
      <c r="AE3" s="198"/>
    </row>
    <row r="4" spans="1:31" x14ac:dyDescent="0.25">
      <c r="B4" s="709" t="s">
        <v>382</v>
      </c>
      <c r="C4" s="620">
        <f>IF(Equipment!E5="no",35.3909465020485%,0)</f>
        <v>0.35390946502048498</v>
      </c>
      <c r="D4" s="621" t="s">
        <v>383</v>
      </c>
      <c r="E4" s="710">
        <f>E3*C4</f>
        <v>281226745.38126749</v>
      </c>
      <c r="H4" s="718"/>
      <c r="I4" s="718"/>
      <c r="J4" s="718"/>
      <c r="K4" s="718"/>
      <c r="L4" s="718"/>
      <c r="M4" s="718"/>
      <c r="N4" s="718"/>
      <c r="S4" s="198"/>
      <c r="T4" s="198"/>
      <c r="U4" s="198"/>
      <c r="V4" s="198"/>
      <c r="W4" s="198"/>
      <c r="X4" s="198"/>
      <c r="Y4" s="198"/>
      <c r="Z4" s="198"/>
      <c r="AA4" s="198"/>
      <c r="AB4" s="198"/>
      <c r="AC4" s="198"/>
      <c r="AD4" s="198"/>
      <c r="AE4" s="198"/>
    </row>
    <row r="5" spans="1:31" x14ac:dyDescent="0.25">
      <c r="B5" s="711" t="s">
        <v>384</v>
      </c>
      <c r="C5" s="149">
        <v>0.21399177670498548</v>
      </c>
      <c r="D5" t="s">
        <v>383</v>
      </c>
      <c r="E5" s="708">
        <f>E3*C5</f>
        <v>170044084.29035556</v>
      </c>
      <c r="I5" s="718"/>
      <c r="J5" s="718"/>
      <c r="K5" s="718"/>
      <c r="L5" s="718"/>
      <c r="M5" s="718"/>
      <c r="N5" s="718"/>
      <c r="S5" s="198"/>
      <c r="T5" s="198"/>
      <c r="U5" s="198"/>
      <c r="V5" s="198"/>
      <c r="W5" s="198"/>
      <c r="X5" s="198"/>
      <c r="Y5" s="198"/>
      <c r="Z5" s="198"/>
      <c r="AA5" s="198"/>
      <c r="AB5" s="198"/>
      <c r="AC5" s="198"/>
      <c r="AD5" s="198"/>
      <c r="AE5" s="198"/>
    </row>
    <row r="6" spans="1:31" x14ac:dyDescent="0.25">
      <c r="B6" s="709" t="s">
        <v>385</v>
      </c>
      <c r="C6" s="623">
        <v>5.3497942387202201E-2</v>
      </c>
      <c r="D6" s="621" t="s">
        <v>383</v>
      </c>
      <c r="E6" s="710">
        <f>E3*C6</f>
        <v>42511019.650962405</v>
      </c>
      <c r="G6" t="s">
        <v>386</v>
      </c>
      <c r="J6" s="718"/>
      <c r="K6" s="718"/>
      <c r="L6" s="718"/>
      <c r="M6" s="718"/>
      <c r="N6" s="718"/>
      <c r="S6" s="198"/>
      <c r="T6" s="198"/>
      <c r="U6" s="198"/>
      <c r="V6" s="198"/>
      <c r="W6" s="198"/>
      <c r="X6" s="198"/>
      <c r="Y6" s="198"/>
      <c r="Z6" s="198"/>
      <c r="AA6" s="198"/>
      <c r="AB6" s="198"/>
      <c r="AC6" s="198"/>
      <c r="AD6" s="198"/>
      <c r="AE6" s="198"/>
    </row>
    <row r="7" spans="1:31" x14ac:dyDescent="0.25">
      <c r="B7" s="711" t="s">
        <v>387</v>
      </c>
      <c r="C7" s="625">
        <v>2.4691350866641301E-2</v>
      </c>
      <c r="D7" t="s">
        <v>383</v>
      </c>
      <c r="E7" s="708">
        <f>E3*C7</f>
        <v>19620464.920005873</v>
      </c>
      <c r="G7" s="725" t="s">
        <v>388</v>
      </c>
      <c r="H7" s="726" t="s">
        <v>389</v>
      </c>
      <c r="I7" s="726" t="s">
        <v>390</v>
      </c>
      <c r="K7" s="718"/>
      <c r="M7" s="718"/>
      <c r="N7" s="718"/>
      <c r="S7" s="198"/>
      <c r="T7" s="198"/>
      <c r="U7" s="198"/>
      <c r="V7" s="198"/>
      <c r="W7" s="198"/>
      <c r="X7" s="198"/>
      <c r="Y7" s="198"/>
      <c r="Z7" s="198"/>
      <c r="AA7" s="198"/>
      <c r="AB7" s="198"/>
      <c r="AC7" s="198"/>
      <c r="AD7" s="198"/>
      <c r="AE7" s="198"/>
    </row>
    <row r="8" spans="1:31" x14ac:dyDescent="0.25">
      <c r="B8" s="709" t="s">
        <v>391</v>
      </c>
      <c r="C8" s="623">
        <v>5.0000000000000001E-3</v>
      </c>
      <c r="D8" s="621" t="s">
        <v>383</v>
      </c>
      <c r="E8" s="712">
        <f>E3*C8</f>
        <v>3973145.2981200926</v>
      </c>
      <c r="G8" s="727" t="s">
        <v>336</v>
      </c>
      <c r="H8" s="724">
        <f>-1*'Cost Analysis (Ref. Interview)'!C37</f>
        <v>-887472820</v>
      </c>
      <c r="I8" s="716">
        <f>E25+E32</f>
        <v>975532514</v>
      </c>
      <c r="J8" t="s">
        <v>392</v>
      </c>
      <c r="K8" s="718"/>
      <c r="M8" s="718"/>
      <c r="N8" s="718"/>
      <c r="S8" s="198"/>
      <c r="T8" s="198"/>
      <c r="U8" s="198"/>
      <c r="V8" s="198"/>
      <c r="W8" s="198"/>
      <c r="X8" s="198"/>
      <c r="Y8" s="198"/>
      <c r="Z8" s="198"/>
      <c r="AA8" s="198"/>
      <c r="AB8" s="198"/>
      <c r="AC8" s="198"/>
      <c r="AD8" s="198"/>
      <c r="AE8" s="198"/>
    </row>
    <row r="9" spans="1:31" x14ac:dyDescent="0.25">
      <c r="B9" s="707" t="s">
        <v>393</v>
      </c>
      <c r="C9" s="217"/>
      <c r="D9" s="217"/>
      <c r="E9" s="722">
        <f>E12/(100%+C10+C11)</f>
        <v>1312004519.1647298</v>
      </c>
      <c r="G9" s="727" t="s">
        <v>347</v>
      </c>
      <c r="H9" s="724">
        <f>-1*'Cost Analysis (Ref. Interview)'!C39</f>
        <v>-58770400</v>
      </c>
      <c r="I9" s="716">
        <f>E18+E19+E20</f>
        <v>70022124</v>
      </c>
      <c r="J9" t="s">
        <v>394</v>
      </c>
      <c r="K9" s="718"/>
      <c r="M9" s="718"/>
      <c r="N9" s="718"/>
      <c r="S9" s="198"/>
      <c r="T9" s="198"/>
      <c r="U9" s="198"/>
      <c r="V9" s="198"/>
      <c r="W9" s="198"/>
      <c r="X9" s="198"/>
      <c r="Y9" s="198"/>
      <c r="Z9" s="198"/>
      <c r="AA9" s="198"/>
      <c r="AB9" s="198"/>
      <c r="AC9" s="198"/>
      <c r="AD9" s="198"/>
      <c r="AE9" s="198"/>
    </row>
    <row r="10" spans="1:31" x14ac:dyDescent="0.25">
      <c r="B10" s="709" t="s">
        <v>395</v>
      </c>
      <c r="C10" s="620">
        <v>0.19235306721402001</v>
      </c>
      <c r="D10" s="621" t="s">
        <v>396</v>
      </c>
      <c r="E10" s="710">
        <f>E9*C10</f>
        <v>252368093.45999128</v>
      </c>
      <c r="G10" s="728" t="s">
        <v>365</v>
      </c>
      <c r="H10" s="724">
        <f>-1*'Cost Analysis (Ref. Interview)'!C41</f>
        <v>-256988110.00000003</v>
      </c>
      <c r="I10" s="716" t="e" cm="1">
        <f t="array" ref="I10">E21+E22+J13E23+E17+E34</f>
        <v>#NAME?</v>
      </c>
      <c r="J10" t="s">
        <v>397</v>
      </c>
      <c r="K10" s="718"/>
      <c r="M10" s="718"/>
      <c r="N10" s="718"/>
      <c r="S10" s="198"/>
      <c r="T10" s="198"/>
      <c r="U10" s="198"/>
      <c r="V10" s="198"/>
      <c r="W10" s="198"/>
      <c r="X10" s="198"/>
      <c r="Y10" s="198"/>
      <c r="Z10" s="198"/>
      <c r="AA10" s="198"/>
      <c r="AB10" s="198"/>
      <c r="AC10" s="198"/>
      <c r="AD10" s="198"/>
      <c r="AE10" s="198"/>
    </row>
    <row r="11" spans="1:31" x14ac:dyDescent="0.25">
      <c r="B11" s="711" t="s">
        <v>398</v>
      </c>
      <c r="C11" s="149">
        <v>0.09</v>
      </c>
      <c r="D11" t="s">
        <v>396</v>
      </c>
      <c r="E11" s="708">
        <f>E9*C11</f>
        <v>118080406.72482568</v>
      </c>
      <c r="F11" s="74"/>
      <c r="G11" s="747" t="s">
        <v>399</v>
      </c>
      <c r="H11" s="724">
        <f>-1*('Cost Analysis (Ref. Interview)'!C40+'Cost Analysis (Ref. Interview)'!C38)</f>
        <v>-81709221.348021671</v>
      </c>
      <c r="I11" s="716">
        <f>E33</f>
        <v>81709221.348021671</v>
      </c>
      <c r="J11" t="s">
        <v>400</v>
      </c>
      <c r="K11" s="718"/>
      <c r="M11" s="718"/>
      <c r="N11" s="718"/>
      <c r="S11" s="198"/>
      <c r="T11" s="198"/>
      <c r="U11" s="198"/>
      <c r="V11" s="198"/>
      <c r="W11" s="198"/>
      <c r="X11" s="198"/>
      <c r="Y11" s="198"/>
      <c r="Z11" s="198"/>
      <c r="AA11" s="198"/>
      <c r="AB11" s="198"/>
      <c r="AC11" s="198"/>
      <c r="AD11" s="198"/>
      <c r="AE11" s="198"/>
    </row>
    <row r="12" spans="1:31" x14ac:dyDescent="0.25">
      <c r="B12" s="672" t="s">
        <v>401</v>
      </c>
      <c r="C12" s="122"/>
      <c r="D12" s="122"/>
      <c r="E12" s="744">
        <f>'CAPEX1-Si'!C12</f>
        <v>1682453019.3495467</v>
      </c>
      <c r="F12" s="718"/>
      <c r="G12" s="748" t="s">
        <v>402</v>
      </c>
      <c r="H12" s="746">
        <f>'Cost Analysis (Ref. Interview)'!C42</f>
        <v>1284940551.3480217</v>
      </c>
      <c r="I12" s="746">
        <f>E35</f>
        <v>1595808860.8358388</v>
      </c>
      <c r="J12" s="718"/>
      <c r="K12" s="718"/>
      <c r="M12" s="718"/>
      <c r="N12" s="718"/>
      <c r="S12" s="198"/>
      <c r="T12" s="198"/>
      <c r="U12" s="198"/>
      <c r="V12" s="198"/>
      <c r="W12" s="198"/>
      <c r="X12" s="198"/>
      <c r="Y12" s="198"/>
      <c r="Z12" s="198"/>
      <c r="AA12" s="198"/>
      <c r="AB12" s="198"/>
      <c r="AC12" s="198"/>
      <c r="AD12" s="198"/>
      <c r="AE12" s="198"/>
    </row>
    <row r="13" spans="1:31" x14ac:dyDescent="0.25">
      <c r="B13" s="198"/>
      <c r="E13" s="697"/>
      <c r="F13" s="198"/>
      <c r="G13" s="198"/>
      <c r="H13" s="718"/>
      <c r="I13" s="718"/>
      <c r="J13" s="198"/>
      <c r="K13" s="198"/>
      <c r="L13" s="198"/>
      <c r="M13" s="198"/>
      <c r="N13" s="198"/>
      <c r="S13" s="767"/>
      <c r="T13" s="703"/>
      <c r="U13" s="198"/>
      <c r="V13" s="198"/>
      <c r="W13" s="198"/>
      <c r="X13" s="198"/>
      <c r="Y13" s="198"/>
      <c r="Z13" s="198"/>
      <c r="AA13" s="198"/>
      <c r="AB13" s="198"/>
      <c r="AC13" s="198"/>
      <c r="AD13" s="198"/>
      <c r="AE13" s="198"/>
    </row>
    <row r="14" spans="1:31" x14ac:dyDescent="0.25">
      <c r="B14" s="705" t="s">
        <v>403</v>
      </c>
      <c r="C14" s="737"/>
      <c r="D14" s="737"/>
      <c r="E14" s="745">
        <f>E2</f>
        <v>160000</v>
      </c>
      <c r="F14" s="717"/>
      <c r="G14" s="717"/>
      <c r="H14" s="717"/>
      <c r="I14" s="717"/>
      <c r="J14" s="717"/>
      <c r="K14" s="717"/>
      <c r="L14" s="717"/>
      <c r="M14" s="717"/>
      <c r="N14" s="717"/>
      <c r="S14" s="767"/>
      <c r="T14" s="703"/>
      <c r="U14" s="198"/>
      <c r="V14" s="198"/>
      <c r="W14" s="198"/>
      <c r="X14" s="198"/>
      <c r="Y14" s="198"/>
      <c r="Z14" s="198"/>
      <c r="AA14" s="198"/>
      <c r="AB14" s="198"/>
      <c r="AC14" s="198"/>
      <c r="AD14" s="198"/>
      <c r="AE14" s="198"/>
    </row>
    <row r="15" spans="1:31" x14ac:dyDescent="0.25">
      <c r="B15" s="713" t="s">
        <v>404</v>
      </c>
      <c r="E15" s="708">
        <f>E9</f>
        <v>1312004519.1647298</v>
      </c>
      <c r="F15" s="701"/>
      <c r="G15" s="701"/>
      <c r="H15" s="701"/>
      <c r="I15" s="701"/>
      <c r="J15" s="701"/>
      <c r="K15" s="701"/>
      <c r="L15" s="701"/>
      <c r="M15" s="701"/>
      <c r="N15" s="701"/>
      <c r="S15" s="767"/>
      <c r="T15" s="703"/>
      <c r="U15" s="198"/>
      <c r="V15" s="198"/>
      <c r="W15" s="198"/>
      <c r="X15" s="198"/>
      <c r="Y15" s="198"/>
      <c r="Z15" s="198"/>
      <c r="AA15" s="198"/>
      <c r="AB15" s="198"/>
      <c r="AC15" s="198"/>
      <c r="AD15" s="198"/>
      <c r="AE15" s="198"/>
    </row>
    <row r="16" spans="1:31" x14ac:dyDescent="0.25">
      <c r="B16" s="714" t="s">
        <v>405</v>
      </c>
      <c r="C16" s="735"/>
      <c r="D16" s="735"/>
      <c r="E16" s="740">
        <f>SUM(E17:E23)</f>
        <v>219405353.32064933</v>
      </c>
      <c r="F16" s="701"/>
      <c r="G16" s="701"/>
      <c r="H16" s="701"/>
      <c r="I16" s="701"/>
      <c r="J16" s="701"/>
      <c r="K16" s="701"/>
      <c r="L16" s="701"/>
      <c r="M16" s="701"/>
      <c r="N16" s="701"/>
      <c r="S16" s="767"/>
      <c r="T16" s="703"/>
      <c r="U16" s="198"/>
      <c r="V16" s="198"/>
      <c r="W16" s="198"/>
      <c r="X16" s="198"/>
      <c r="Y16" s="198"/>
      <c r="Z16" s="198"/>
      <c r="AA16" s="198"/>
      <c r="AB16" s="198"/>
      <c r="AC16" s="198"/>
      <c r="AD16" s="198"/>
      <c r="AE16" s="198"/>
    </row>
    <row r="17" spans="2:31" x14ac:dyDescent="0.25">
      <c r="B17" s="713" t="s">
        <v>406</v>
      </c>
      <c r="C17" s="75">
        <f>AVERAGE(0.05,0.1)</f>
        <v>7.5000000000000011E-2</v>
      </c>
      <c r="D17" t="s">
        <v>396</v>
      </c>
      <c r="E17" s="741">
        <f>E15*C17</f>
        <v>98400338.937354758</v>
      </c>
      <c r="F17" s="701"/>
      <c r="G17" s="701"/>
      <c r="H17" s="701"/>
      <c r="I17" s="701"/>
      <c r="J17" s="701"/>
      <c r="K17" s="701"/>
      <c r="L17" s="701"/>
      <c r="M17" s="701"/>
      <c r="N17" s="701"/>
      <c r="S17" s="767"/>
      <c r="T17" s="703"/>
      <c r="U17" s="198"/>
      <c r="V17" s="198"/>
      <c r="W17" s="198"/>
      <c r="X17" s="198"/>
      <c r="Y17" s="198"/>
      <c r="Z17" s="198"/>
      <c r="AA17" s="198"/>
      <c r="AB17" s="198"/>
      <c r="AC17" s="198"/>
      <c r="AD17" s="198"/>
      <c r="AE17" s="198"/>
    </row>
    <row r="18" spans="2:31" x14ac:dyDescent="0.25">
      <c r="B18" s="713" t="s">
        <v>407</v>
      </c>
      <c r="C18" s="13"/>
      <c r="E18" s="741">
        <f>E14*OPEX!E48*OPEX!E49</f>
        <v>49485600</v>
      </c>
      <c r="F18" s="701"/>
      <c r="G18" s="701"/>
      <c r="H18" s="701"/>
      <c r="I18" s="701"/>
      <c r="J18" s="701"/>
      <c r="K18" s="701"/>
      <c r="L18" s="701"/>
      <c r="M18" s="701"/>
      <c r="N18" s="701"/>
      <c r="S18" s="767"/>
      <c r="T18" s="703"/>
      <c r="U18" s="198"/>
      <c r="V18" s="198"/>
      <c r="W18" s="198"/>
      <c r="X18" s="198"/>
      <c r="Y18" s="198"/>
      <c r="Z18" s="198"/>
      <c r="AA18" s="198"/>
      <c r="AB18" s="198"/>
      <c r="AC18" s="198"/>
      <c r="AD18" s="198"/>
      <c r="AE18" s="198"/>
    </row>
    <row r="19" spans="2:31" x14ac:dyDescent="0.25">
      <c r="B19" s="713" t="s">
        <v>408</v>
      </c>
      <c r="C19" s="75">
        <f>AVERAGE(0.2,0.23)</f>
        <v>0.21500000000000002</v>
      </c>
      <c r="D19" t="s">
        <v>409</v>
      </c>
      <c r="E19" s="741">
        <f>E18*C19</f>
        <v>10639404.000000002</v>
      </c>
      <c r="F19" s="701"/>
      <c r="G19" s="701"/>
      <c r="H19" s="701"/>
      <c r="I19" s="701"/>
      <c r="J19" s="701"/>
      <c r="K19" s="701"/>
      <c r="L19" s="701"/>
      <c r="M19" s="701"/>
      <c r="N19" s="701"/>
      <c r="S19" s="767"/>
      <c r="T19" s="198"/>
      <c r="U19" s="198"/>
      <c r="V19" s="198"/>
      <c r="W19" s="198"/>
      <c r="X19" s="198"/>
      <c r="Y19" s="198"/>
      <c r="Z19" s="198"/>
      <c r="AA19" s="198"/>
      <c r="AB19" s="198"/>
      <c r="AC19" s="198"/>
      <c r="AD19" s="198"/>
      <c r="AE19" s="198"/>
    </row>
    <row r="20" spans="2:31" x14ac:dyDescent="0.25">
      <c r="B20" s="713" t="s">
        <v>410</v>
      </c>
      <c r="C20" s="75">
        <v>0.2</v>
      </c>
      <c r="D20" t="s">
        <v>409</v>
      </c>
      <c r="E20" s="741">
        <f>E18*C20</f>
        <v>9897120</v>
      </c>
      <c r="F20" s="701"/>
      <c r="G20" s="701"/>
      <c r="H20" s="701"/>
      <c r="I20" s="701"/>
      <c r="J20" s="701"/>
      <c r="K20" s="701"/>
      <c r="L20" s="701"/>
      <c r="M20" s="701"/>
      <c r="N20" s="701"/>
      <c r="S20" s="767"/>
      <c r="T20" s="198"/>
      <c r="U20" s="198"/>
      <c r="V20" s="198"/>
      <c r="W20" s="198"/>
      <c r="X20" s="198"/>
      <c r="Y20" s="198"/>
      <c r="Z20" s="198"/>
      <c r="AA20" s="198"/>
      <c r="AB20" s="198"/>
      <c r="AC20" s="198"/>
      <c r="AD20" s="198"/>
      <c r="AE20" s="198"/>
    </row>
    <row r="21" spans="2:31" x14ac:dyDescent="0.25">
      <c r="B21" s="713" t="s">
        <v>411</v>
      </c>
      <c r="C21" s="75">
        <v>0.5</v>
      </c>
      <c r="D21" t="s">
        <v>409</v>
      </c>
      <c r="E21" s="741">
        <f>E18*C21</f>
        <v>24742800</v>
      </c>
      <c r="F21" s="701"/>
      <c r="G21" s="701"/>
      <c r="H21" s="701"/>
      <c r="I21" s="701"/>
      <c r="J21" s="701"/>
      <c r="K21" s="701"/>
      <c r="L21" s="701"/>
      <c r="M21" s="701"/>
      <c r="N21" s="701"/>
      <c r="S21" s="767"/>
      <c r="T21" s="198"/>
      <c r="U21" s="198"/>
      <c r="V21" s="198"/>
      <c r="W21" s="198"/>
      <c r="X21" s="198"/>
      <c r="Y21" s="198"/>
      <c r="Z21" s="198"/>
      <c r="AA21" s="198"/>
      <c r="AB21" s="198"/>
      <c r="AC21" s="198"/>
      <c r="AD21" s="198"/>
      <c r="AE21" s="198"/>
    </row>
    <row r="22" spans="2:31" x14ac:dyDescent="0.25">
      <c r="B22" s="713" t="s">
        <v>412</v>
      </c>
      <c r="C22" s="75">
        <v>0.01</v>
      </c>
      <c r="D22" t="s">
        <v>396</v>
      </c>
      <c r="E22" s="741">
        <f>E15*C22</f>
        <v>13120045.191647299</v>
      </c>
      <c r="F22" s="701"/>
      <c r="G22" s="701"/>
      <c r="H22" s="701"/>
      <c r="I22" s="701"/>
      <c r="J22" s="701"/>
      <c r="K22" s="701"/>
      <c r="L22" s="701"/>
      <c r="M22" s="701"/>
      <c r="N22" s="701"/>
      <c r="S22" s="767"/>
      <c r="T22" s="198"/>
      <c r="U22" s="198"/>
      <c r="V22" s="198"/>
      <c r="W22" s="198"/>
      <c r="X22" s="198"/>
      <c r="Y22" s="198"/>
      <c r="Z22" s="198"/>
      <c r="AA22" s="198"/>
      <c r="AB22" s="198"/>
      <c r="AC22" s="198"/>
      <c r="AD22" s="198"/>
      <c r="AE22" s="198"/>
    </row>
    <row r="23" spans="2:31" x14ac:dyDescent="0.25">
      <c r="B23" s="713" t="s">
        <v>413</v>
      </c>
      <c r="C23" s="75">
        <v>0.01</v>
      </c>
      <c r="D23" t="s">
        <v>396</v>
      </c>
      <c r="E23" s="741">
        <f>E15*C23</f>
        <v>13120045.191647299</v>
      </c>
      <c r="F23" s="701"/>
      <c r="G23" s="701"/>
      <c r="H23" s="701"/>
      <c r="I23" s="701"/>
      <c r="J23" s="701"/>
      <c r="K23" s="701"/>
      <c r="L23" s="701"/>
      <c r="M23" s="701"/>
      <c r="N23" s="701"/>
      <c r="S23" s="767"/>
      <c r="T23" s="198"/>
      <c r="U23" s="198"/>
      <c r="V23" s="198"/>
      <c r="W23" s="198"/>
      <c r="X23" s="198"/>
      <c r="Y23" s="198"/>
      <c r="Z23" s="198"/>
      <c r="AA23" s="198"/>
      <c r="AB23" s="198"/>
      <c r="AC23" s="198"/>
      <c r="AD23" s="198"/>
      <c r="AE23" s="198"/>
    </row>
    <row r="24" spans="2:31" x14ac:dyDescent="0.25">
      <c r="B24" s="738" t="s">
        <v>414</v>
      </c>
      <c r="C24" s="739"/>
      <c r="D24" s="739"/>
      <c r="E24" s="742">
        <f>E25+E32+E33</f>
        <v>1057241735.3480216</v>
      </c>
      <c r="F24" s="701"/>
      <c r="G24" s="701"/>
      <c r="H24" s="701"/>
      <c r="I24" s="701"/>
      <c r="J24" s="701"/>
      <c r="K24" s="701"/>
      <c r="L24" s="701"/>
      <c r="M24" s="701"/>
      <c r="N24" s="701"/>
      <c r="S24" s="198"/>
      <c r="T24" s="198"/>
      <c r="U24" s="198"/>
      <c r="V24" s="198"/>
      <c r="W24" s="198"/>
      <c r="X24" s="198"/>
      <c r="Y24" s="198"/>
      <c r="Z24" s="198"/>
      <c r="AA24" s="198"/>
      <c r="AB24" s="198"/>
      <c r="AC24" s="198"/>
      <c r="AD24" s="198"/>
      <c r="AE24" s="198"/>
    </row>
    <row r="25" spans="2:31" x14ac:dyDescent="0.25">
      <c r="B25" s="509" t="s">
        <v>415</v>
      </c>
      <c r="E25" s="741">
        <f>SUM(E26:E31)</f>
        <v>886847740</v>
      </c>
      <c r="F25" s="701"/>
      <c r="G25" s="701"/>
      <c r="H25" s="701"/>
      <c r="I25" s="701"/>
      <c r="J25" s="701"/>
      <c r="K25" s="701"/>
      <c r="L25" s="701"/>
      <c r="M25" s="701"/>
      <c r="N25" s="701"/>
      <c r="S25" s="767"/>
      <c r="T25" s="198"/>
      <c r="U25" s="198"/>
      <c r="V25" s="198"/>
      <c r="W25" s="198"/>
      <c r="X25" s="198"/>
      <c r="Y25" s="198"/>
      <c r="Z25" s="198"/>
      <c r="AA25" s="198"/>
      <c r="AB25" s="198"/>
      <c r="AC25" s="198"/>
      <c r="AD25" s="198"/>
      <c r="AE25" s="198"/>
    </row>
    <row r="26" spans="2:31" x14ac:dyDescent="0.25">
      <c r="B26" s="715" t="s">
        <v>316</v>
      </c>
      <c r="E26" s="741">
        <f>ROUND(Compositions!$AB$11*E14*OPEX!E34,-1)</f>
        <v>51705700</v>
      </c>
      <c r="F26" s="701"/>
      <c r="G26" s="701"/>
      <c r="H26" s="701"/>
      <c r="I26" s="701"/>
      <c r="J26" s="701"/>
      <c r="K26" s="701"/>
      <c r="L26" s="701"/>
      <c r="M26" s="701"/>
      <c r="N26" s="701"/>
      <c r="S26" s="767"/>
      <c r="T26" s="198"/>
      <c r="U26" s="198"/>
      <c r="V26" s="198"/>
      <c r="W26" s="198"/>
      <c r="X26" s="198"/>
      <c r="Y26" s="198"/>
      <c r="Z26" s="198"/>
      <c r="AA26" s="198"/>
      <c r="AB26" s="198"/>
      <c r="AC26" s="198"/>
      <c r="AD26" s="198"/>
      <c r="AE26" s="198"/>
    </row>
    <row r="27" spans="2:31" x14ac:dyDescent="0.25">
      <c r="B27" s="715" t="s">
        <v>320</v>
      </c>
      <c r="E27" s="741">
        <f>ROUND(Compositions!$AC$39*E14*OPEX!$E$35,-1)</f>
        <v>18826550</v>
      </c>
      <c r="F27" s="701"/>
      <c r="G27" s="701"/>
      <c r="H27" s="701"/>
      <c r="I27" s="701"/>
      <c r="J27" s="701"/>
      <c r="K27" s="701"/>
      <c r="L27" s="701"/>
      <c r="M27" s="701"/>
      <c r="N27" s="701"/>
      <c r="S27" s="198"/>
      <c r="T27" s="198"/>
      <c r="U27" s="198"/>
      <c r="V27" s="198"/>
      <c r="W27" s="198"/>
      <c r="X27" s="198"/>
      <c r="Y27" s="198"/>
      <c r="Z27" s="198"/>
      <c r="AA27" s="198"/>
      <c r="AB27" s="198"/>
      <c r="AC27" s="198"/>
      <c r="AD27" s="198"/>
      <c r="AE27" s="198"/>
    </row>
    <row r="28" spans="2:31" x14ac:dyDescent="0.25">
      <c r="B28" s="715" t="s">
        <v>323</v>
      </c>
      <c r="E28" s="741">
        <f>ROUND(Compositions!$AC$40*E14*OPEX!E36,-1)</f>
        <v>7530620</v>
      </c>
      <c r="F28" s="701"/>
      <c r="G28" s="701"/>
      <c r="H28" s="701"/>
      <c r="I28" s="701"/>
      <c r="J28" s="701"/>
      <c r="K28" s="701"/>
      <c r="L28" s="701"/>
      <c r="M28" s="701"/>
      <c r="N28" s="701"/>
      <c r="S28" s="198"/>
      <c r="T28" s="198"/>
      <c r="U28" s="198"/>
      <c r="V28" s="198"/>
      <c r="W28" s="198"/>
      <c r="X28" s="198"/>
      <c r="Y28" s="198"/>
      <c r="Z28" s="198"/>
      <c r="AA28" s="198"/>
      <c r="AB28" s="198"/>
      <c r="AC28" s="198"/>
      <c r="AD28" s="198"/>
      <c r="AE28" s="198"/>
    </row>
    <row r="29" spans="2:31" x14ac:dyDescent="0.25">
      <c r="B29" s="715" t="s">
        <v>326</v>
      </c>
      <c r="E29" s="741">
        <f>ROUND(Compositions!$AC$38*E14*OPEX!E37,-1)</f>
        <v>808694040</v>
      </c>
      <c r="F29" s="701"/>
      <c r="G29" s="701"/>
      <c r="H29" s="701"/>
      <c r="I29" s="701"/>
      <c r="J29" s="701"/>
      <c r="K29" s="701"/>
      <c r="L29" s="701"/>
      <c r="M29" s="701"/>
      <c r="N29" s="701"/>
      <c r="S29" s="198"/>
      <c r="T29" s="198"/>
      <c r="U29" s="198"/>
      <c r="V29" s="198"/>
      <c r="W29" s="198"/>
      <c r="X29" s="198"/>
      <c r="Y29" s="198"/>
      <c r="Z29" s="198"/>
      <c r="AA29" s="198"/>
      <c r="AB29" s="198"/>
      <c r="AC29" s="198"/>
      <c r="AD29" s="198"/>
      <c r="AE29" s="198"/>
    </row>
    <row r="30" spans="2:31" x14ac:dyDescent="0.25">
      <c r="B30" s="715" t="s">
        <v>329</v>
      </c>
      <c r="E30" s="741">
        <f>ROUND(Compositions!$AC$41*E14*OPEX!E38,-1)</f>
        <v>90830</v>
      </c>
      <c r="F30" s="701"/>
      <c r="G30" s="701"/>
      <c r="H30" s="701"/>
      <c r="I30" s="701"/>
      <c r="J30" s="701"/>
      <c r="K30" s="701"/>
      <c r="L30" s="701"/>
      <c r="M30" s="701"/>
      <c r="N30" s="701"/>
      <c r="S30" s="198"/>
      <c r="T30" s="198"/>
      <c r="U30" s="198"/>
      <c r="V30" s="198"/>
      <c r="W30" s="198"/>
      <c r="X30" s="198"/>
      <c r="Y30" s="198"/>
      <c r="Z30" s="198"/>
      <c r="AA30" s="198"/>
      <c r="AB30" s="198"/>
      <c r="AC30" s="198"/>
      <c r="AD30" s="198"/>
      <c r="AE30" s="198"/>
    </row>
    <row r="31" spans="2:31" x14ac:dyDescent="0.25">
      <c r="B31" s="715" t="s">
        <v>332</v>
      </c>
      <c r="E31" s="741">
        <f>ROUND(Compositions!$AC$37*E14*OPEX!E39,-1)</f>
        <v>0</v>
      </c>
      <c r="F31" s="701"/>
      <c r="G31" s="701"/>
      <c r="H31" s="701"/>
      <c r="I31" s="701"/>
      <c r="J31" s="701"/>
      <c r="K31" s="701"/>
      <c r="L31" s="701"/>
      <c r="M31" s="701"/>
      <c r="N31" s="701"/>
      <c r="S31" s="198"/>
      <c r="T31" s="198"/>
      <c r="U31" s="198"/>
      <c r="V31" s="198"/>
      <c r="W31" s="198"/>
      <c r="X31" s="198"/>
      <c r="Y31" s="198"/>
      <c r="Z31" s="198"/>
      <c r="AA31" s="198"/>
      <c r="AB31" s="198"/>
      <c r="AC31" s="198"/>
      <c r="AD31" s="198"/>
      <c r="AE31" s="198"/>
    </row>
    <row r="32" spans="2:31" x14ac:dyDescent="0.25">
      <c r="B32" s="713" t="s">
        <v>416</v>
      </c>
      <c r="C32" s="75">
        <v>0.1</v>
      </c>
      <c r="D32" t="s">
        <v>417</v>
      </c>
      <c r="E32" s="741">
        <f>E25*C32</f>
        <v>88684774</v>
      </c>
      <c r="F32" s="701"/>
      <c r="G32" s="701"/>
      <c r="H32" s="701"/>
      <c r="I32" s="701"/>
      <c r="J32" s="701"/>
      <c r="K32" s="701"/>
      <c r="L32" s="701"/>
      <c r="M32" s="701"/>
      <c r="N32" s="701"/>
      <c r="S32" s="198"/>
      <c r="T32" s="198"/>
      <c r="U32" s="198"/>
      <c r="V32" s="198"/>
      <c r="W32" s="198"/>
      <c r="X32" s="198"/>
      <c r="Y32" s="198"/>
      <c r="Z32" s="198"/>
      <c r="AA32" s="198"/>
      <c r="AB32" s="198"/>
      <c r="AC32" s="198"/>
      <c r="AD32" s="198"/>
      <c r="AE32" s="198"/>
    </row>
    <row r="33" spans="1:31" x14ac:dyDescent="0.25">
      <c r="B33" s="713" t="s">
        <v>418</v>
      </c>
      <c r="E33" s="741">
        <f>(OPEX!$E$42*E14*OPEX!$E$43)+(OPEX!$E$45*E14)</f>
        <v>81709221.348021671</v>
      </c>
      <c r="F33" s="701"/>
      <c r="G33" s="701"/>
      <c r="H33" s="701"/>
      <c r="I33" s="701"/>
      <c r="J33" s="701"/>
      <c r="K33" s="701"/>
      <c r="L33" s="701"/>
      <c r="M33" s="701"/>
      <c r="N33" s="701"/>
      <c r="S33" s="198"/>
      <c r="T33" s="198"/>
      <c r="U33" s="198"/>
      <c r="V33" s="198"/>
      <c r="W33" s="198"/>
      <c r="X33" s="198"/>
      <c r="Y33" s="198"/>
      <c r="Z33" s="198"/>
      <c r="AA33" s="198"/>
      <c r="AB33" s="198"/>
      <c r="AC33" s="198"/>
      <c r="AD33" s="198"/>
      <c r="AE33" s="198"/>
    </row>
    <row r="34" spans="1:31" x14ac:dyDescent="0.25">
      <c r="B34" s="749" t="s">
        <v>419</v>
      </c>
      <c r="C34" s="75">
        <f>AVERAGE(0.2,0.3)</f>
        <v>0.25</v>
      </c>
      <c r="D34" t="s">
        <v>420</v>
      </c>
      <c r="E34" s="750">
        <f>(E24+E16)*C34</f>
        <v>319161772.16716772</v>
      </c>
      <c r="F34" s="701"/>
      <c r="G34" s="701"/>
      <c r="H34" s="701"/>
      <c r="I34" s="701"/>
      <c r="J34" s="701"/>
      <c r="K34" s="701"/>
      <c r="L34" s="701"/>
      <c r="M34" s="701"/>
      <c r="N34" s="701"/>
      <c r="S34" s="198"/>
      <c r="T34" s="198"/>
      <c r="U34" s="198"/>
      <c r="V34" s="198"/>
      <c r="W34" s="198"/>
      <c r="X34" s="198"/>
      <c r="Y34" s="198"/>
      <c r="Z34" s="198"/>
      <c r="AA34" s="198"/>
      <c r="AB34" s="198"/>
      <c r="AC34" s="198"/>
      <c r="AD34" s="198"/>
      <c r="AE34" s="198"/>
    </row>
    <row r="35" spans="1:31" x14ac:dyDescent="0.25">
      <c r="B35" s="723" t="s">
        <v>421</v>
      </c>
      <c r="C35" s="736"/>
      <c r="D35" s="736"/>
      <c r="E35" s="743">
        <f>E34+E24+E16</f>
        <v>1595808860.8358388</v>
      </c>
      <c r="F35" s="701"/>
      <c r="G35" s="701"/>
      <c r="H35" s="701"/>
      <c r="I35" s="701"/>
      <c r="J35" s="701"/>
      <c r="K35" s="701"/>
      <c r="L35" s="701"/>
      <c r="M35" s="701"/>
      <c r="N35" s="701"/>
      <c r="S35" s="198"/>
      <c r="T35" s="198"/>
      <c r="U35" s="198"/>
      <c r="V35" s="198"/>
      <c r="W35" s="198"/>
      <c r="X35" s="198"/>
      <c r="Y35" s="198"/>
      <c r="Z35" s="198"/>
      <c r="AA35" s="198"/>
      <c r="AB35" s="198"/>
      <c r="AC35" s="198"/>
      <c r="AD35" s="198"/>
      <c r="AE35" s="198"/>
    </row>
    <row r="36" spans="1:31" x14ac:dyDescent="0.25">
      <c r="A36" s="198"/>
      <c r="B36" s="198"/>
      <c r="C36" s="701"/>
      <c r="D36" s="701"/>
      <c r="E36" s="701"/>
      <c r="F36" s="701"/>
      <c r="G36" s="701"/>
      <c r="H36" s="701"/>
      <c r="I36" s="701"/>
      <c r="J36" s="701"/>
      <c r="K36" s="701"/>
      <c r="L36" s="701"/>
      <c r="M36" s="701"/>
      <c r="N36" s="701"/>
      <c r="R36" s="198"/>
      <c r="S36" s="198"/>
      <c r="T36" s="198"/>
      <c r="U36" s="198"/>
      <c r="V36" s="198"/>
      <c r="W36" s="198"/>
      <c r="X36" s="198"/>
      <c r="Y36" s="198"/>
      <c r="Z36" s="198"/>
      <c r="AA36" s="198"/>
      <c r="AB36" s="198"/>
      <c r="AC36" s="198"/>
      <c r="AD36" s="198"/>
      <c r="AE36" s="198"/>
    </row>
    <row r="37" spans="1:31" x14ac:dyDescent="0.25">
      <c r="A37" s="198"/>
      <c r="B37" s="198"/>
      <c r="C37" s="198"/>
      <c r="D37" s="697"/>
      <c r="E37" s="698"/>
      <c r="F37" s="198"/>
      <c r="G37" s="198"/>
      <c r="H37" s="198"/>
      <c r="I37" s="198"/>
      <c r="J37" s="198"/>
      <c r="K37" s="198"/>
      <c r="L37" s="198"/>
      <c r="M37" s="198"/>
      <c r="N37" s="198"/>
      <c r="P37" s="198"/>
      <c r="Q37" s="198"/>
      <c r="R37" s="198"/>
      <c r="S37" s="198"/>
      <c r="T37" s="198"/>
      <c r="U37" s="198"/>
      <c r="V37" s="198"/>
      <c r="W37" s="198"/>
      <c r="X37" s="198"/>
      <c r="Y37" s="198"/>
      <c r="Z37" s="198"/>
      <c r="AA37" s="198"/>
      <c r="AB37" s="198"/>
      <c r="AC37" s="198"/>
      <c r="AD37" s="198"/>
      <c r="AE37" s="198"/>
    </row>
    <row r="38" spans="1:31" x14ac:dyDescent="0.25">
      <c r="B38" s="198"/>
      <c r="C38" s="198"/>
      <c r="D38" s="198"/>
      <c r="E38" s="198"/>
    </row>
    <row r="39" spans="1:31" x14ac:dyDescent="0.25">
      <c r="B39" s="198"/>
      <c r="C39" s="198"/>
      <c r="D39" s="700"/>
      <c r="E39" s="198"/>
    </row>
    <row r="40" spans="1:31" x14ac:dyDescent="0.25">
      <c r="B40" s="198"/>
      <c r="C40" s="198"/>
      <c r="D40" s="697"/>
      <c r="E40" s="198"/>
    </row>
    <row r="41" spans="1:31" x14ac:dyDescent="0.25">
      <c r="B41" s="198"/>
      <c r="C41" s="198"/>
      <c r="D41" s="198"/>
      <c r="E41" s="198"/>
    </row>
    <row r="42" spans="1:31" x14ac:dyDescent="0.25">
      <c r="B42" s="198"/>
      <c r="C42" s="198"/>
      <c r="D42" s="697"/>
      <c r="E42" s="198"/>
    </row>
    <row r="43" spans="1:31" x14ac:dyDescent="0.25">
      <c r="B43" s="198"/>
      <c r="C43" s="198"/>
      <c r="D43" s="697"/>
      <c r="E43" s="198"/>
    </row>
    <row r="44" spans="1:31" x14ac:dyDescent="0.25">
      <c r="B44" s="198"/>
      <c r="C44" s="198"/>
      <c r="D44" s="697"/>
      <c r="E44" s="198"/>
    </row>
    <row r="45" spans="1:31" x14ac:dyDescent="0.25">
      <c r="B45" s="198"/>
      <c r="C45" s="198"/>
      <c r="D45" s="698"/>
      <c r="E45" s="198"/>
    </row>
    <row r="46" spans="1:31" x14ac:dyDescent="0.25">
      <c r="B46" s="198"/>
      <c r="C46" s="198"/>
      <c r="D46" s="698"/>
      <c r="E46" s="198"/>
    </row>
    <row r="47" spans="1:31" x14ac:dyDescent="0.25">
      <c r="B47" s="198"/>
      <c r="C47" s="198"/>
      <c r="D47" s="698"/>
      <c r="E47" s="198"/>
    </row>
    <row r="48" spans="1:31" x14ac:dyDescent="0.25">
      <c r="B48" s="198"/>
      <c r="C48" s="198"/>
      <c r="D48" s="198"/>
      <c r="E48" s="198"/>
    </row>
    <row r="49" spans="2:7" x14ac:dyDescent="0.25">
      <c r="B49" s="699"/>
      <c r="C49" s="198"/>
      <c r="D49" s="198"/>
      <c r="E49" s="198"/>
    </row>
    <row r="50" spans="2:7" x14ac:dyDescent="0.25">
      <c r="B50" s="198"/>
      <c r="C50" s="698"/>
      <c r="D50" s="198"/>
      <c r="E50" s="198"/>
    </row>
    <row r="51" spans="2:7" x14ac:dyDescent="0.25">
      <c r="B51" s="198"/>
      <c r="C51" s="698"/>
      <c r="D51" s="198"/>
      <c r="E51" s="198"/>
    </row>
    <row r="52" spans="2:7" x14ac:dyDescent="0.25">
      <c r="B52" s="198"/>
      <c r="C52" s="698"/>
      <c r="D52" s="198"/>
      <c r="E52" s="198"/>
    </row>
    <row r="53" spans="2:7" x14ac:dyDescent="0.25">
      <c r="B53" s="198"/>
      <c r="C53" s="698"/>
      <c r="D53" s="198"/>
      <c r="E53" s="198"/>
    </row>
    <row r="54" spans="2:7" x14ac:dyDescent="0.25">
      <c r="B54" s="198"/>
      <c r="C54" s="698"/>
      <c r="D54" s="198"/>
      <c r="E54" s="198"/>
    </row>
    <row r="55" spans="2:7" x14ac:dyDescent="0.25">
      <c r="B55" s="198"/>
      <c r="C55" s="698"/>
      <c r="D55" s="198"/>
      <c r="E55" s="198"/>
    </row>
    <row r="57" spans="2:7" x14ac:dyDescent="0.25">
      <c r="D57" t="s">
        <v>367</v>
      </c>
      <c r="F57" s="44" t="s">
        <v>368</v>
      </c>
    </row>
    <row r="58" spans="2:7" x14ac:dyDescent="0.25">
      <c r="B58" s="217" t="s">
        <v>369</v>
      </c>
      <c r="D58" t="s">
        <v>370</v>
      </c>
      <c r="F58" s="44" t="s">
        <v>371</v>
      </c>
    </row>
    <row r="59" spans="2:7" x14ac:dyDescent="0.25">
      <c r="B59" t="s">
        <v>372</v>
      </c>
      <c r="C59" s="635">
        <v>6000</v>
      </c>
    </row>
    <row r="60" spans="2:7" x14ac:dyDescent="0.25">
      <c r="B60" t="s">
        <v>373</v>
      </c>
      <c r="C60">
        <v>0.98</v>
      </c>
      <c r="D60" t="s">
        <v>374</v>
      </c>
      <c r="E60">
        <v>1.02</v>
      </c>
    </row>
    <row r="61" spans="2:7" x14ac:dyDescent="0.25">
      <c r="B61" t="s">
        <v>375</v>
      </c>
      <c r="C61" t="s">
        <v>376</v>
      </c>
      <c r="D61" t="s">
        <v>377</v>
      </c>
      <c r="E61" t="s">
        <v>314</v>
      </c>
      <c r="F61" t="s">
        <v>378</v>
      </c>
      <c r="G61" t="s">
        <v>379</v>
      </c>
    </row>
    <row r="62" spans="2:7" x14ac:dyDescent="0.25">
      <c r="B62">
        <v>0</v>
      </c>
      <c r="C62" s="213">
        <v>0</v>
      </c>
      <c r="D62" s="135">
        <f>-1*(E7)</f>
        <v>-19620464.920005873</v>
      </c>
      <c r="E62" s="213"/>
      <c r="F62" s="135">
        <f>D62+E62</f>
        <v>-19620464.920005873</v>
      </c>
      <c r="G62" s="135">
        <f>C62+F62</f>
        <v>-19620464.920005873</v>
      </c>
    </row>
    <row r="63" spans="2:7" x14ac:dyDescent="0.25">
      <c r="B63">
        <v>1</v>
      </c>
      <c r="C63" s="213">
        <v>0</v>
      </c>
      <c r="D63" s="135">
        <f>-1*0.1*(E12-E7)</f>
        <v>-166283255.44295409</v>
      </c>
      <c r="E63" s="213"/>
      <c r="F63" s="135">
        <f>D63+E63</f>
        <v>-166283255.44295409</v>
      </c>
      <c r="G63" s="135">
        <f>C63+F63+G62</f>
        <v>-185903720.36295998</v>
      </c>
    </row>
    <row r="64" spans="2:7" x14ac:dyDescent="0.25">
      <c r="B64">
        <v>2</v>
      </c>
      <c r="C64" s="213">
        <v>0</v>
      </c>
      <c r="D64" s="135">
        <f>-1*0.6*(E12-E7)</f>
        <v>-997699532.6577245</v>
      </c>
      <c r="E64" s="213"/>
      <c r="F64" s="135">
        <f t="shared" ref="F64:F82" si="0">D64+E64</f>
        <v>-997699532.6577245</v>
      </c>
      <c r="G64" s="135">
        <f>C64+F64+G63</f>
        <v>-1183603253.0206845</v>
      </c>
    </row>
    <row r="65" spans="2:7" x14ac:dyDescent="0.25">
      <c r="B65">
        <v>3</v>
      </c>
      <c r="C65" s="213">
        <f>ROUND(($E$2/2)*$C$59,-4)</f>
        <v>480000000</v>
      </c>
      <c r="D65" s="135">
        <f>-1*0.3*(E12-E7)</f>
        <v>-498849766.32886225</v>
      </c>
      <c r="E65" s="213">
        <f>-1*ROUND(E35/2,-4)</f>
        <v>-797900000</v>
      </c>
      <c r="F65" s="135">
        <f t="shared" si="0"/>
        <v>-1296749766.3288622</v>
      </c>
      <c r="G65" s="135">
        <f>C65+F65+G64</f>
        <v>-2000353019.3495467</v>
      </c>
    </row>
    <row r="66" spans="2:7" x14ac:dyDescent="0.25">
      <c r="B66">
        <v>4</v>
      </c>
      <c r="C66" s="213">
        <f>ROUND(C65*$C$60,-4)</f>
        <v>470400000</v>
      </c>
      <c r="D66" s="135"/>
      <c r="E66" s="213">
        <f>ROUND(E65*$E$60,-4)</f>
        <v>-813860000</v>
      </c>
      <c r="F66" s="135">
        <f t="shared" si="0"/>
        <v>-813860000</v>
      </c>
      <c r="G66" s="135">
        <f t="shared" ref="G66:G82" si="1">C66+F66+G65</f>
        <v>-2343813019.3495464</v>
      </c>
    </row>
    <row r="67" spans="2:7" x14ac:dyDescent="0.25">
      <c r="B67">
        <v>5</v>
      </c>
      <c r="C67" s="213">
        <f>ROUND(C66*2*$C$60,-4)</f>
        <v>921980000</v>
      </c>
      <c r="E67" s="213">
        <f>ROUND(E66*2*$E$60,-4)</f>
        <v>-1660270000</v>
      </c>
      <c r="F67" s="135">
        <f t="shared" si="0"/>
        <v>-1660270000</v>
      </c>
      <c r="G67" s="135">
        <f t="shared" si="1"/>
        <v>-3082103019.3495464</v>
      </c>
    </row>
    <row r="68" spans="2:7" x14ac:dyDescent="0.25">
      <c r="B68">
        <v>6</v>
      </c>
      <c r="C68" s="213">
        <f>ROUND(C67*$C$60,-4)</f>
        <v>903540000</v>
      </c>
      <c r="E68" s="213">
        <f>ROUND(E67*$E$60,-4)</f>
        <v>-1693480000</v>
      </c>
      <c r="F68" s="135">
        <f t="shared" si="0"/>
        <v>-1693480000</v>
      </c>
      <c r="G68" s="135">
        <f t="shared" si="1"/>
        <v>-3872043019.3495464</v>
      </c>
    </row>
    <row r="69" spans="2:7" x14ac:dyDescent="0.25">
      <c r="B69">
        <v>7</v>
      </c>
      <c r="C69" s="213">
        <f>ROUND(C68*$C$60,-4)</f>
        <v>885470000</v>
      </c>
      <c r="E69" s="213">
        <f>ROUND(E68*$E$60,-4)</f>
        <v>-1727350000</v>
      </c>
      <c r="F69" s="135">
        <f t="shared" si="0"/>
        <v>-1727350000</v>
      </c>
      <c r="G69" s="135">
        <f t="shared" si="1"/>
        <v>-4713923019.3495464</v>
      </c>
    </row>
    <row r="70" spans="2:7" x14ac:dyDescent="0.25">
      <c r="B70">
        <v>8</v>
      </c>
      <c r="C70" s="213">
        <f t="shared" ref="C70:C82" si="2">ROUND(C69*$C$60,-4)</f>
        <v>867760000</v>
      </c>
      <c r="E70" s="213">
        <f>ROUND(E69*$E$60,-4)</f>
        <v>-1761900000</v>
      </c>
      <c r="F70" s="135">
        <f t="shared" si="0"/>
        <v>-1761900000</v>
      </c>
      <c r="G70" s="135">
        <f t="shared" si="1"/>
        <v>-5608063019.3495464</v>
      </c>
    </row>
    <row r="71" spans="2:7" x14ac:dyDescent="0.25">
      <c r="B71">
        <v>9</v>
      </c>
      <c r="C71" s="213">
        <f t="shared" si="2"/>
        <v>850400000</v>
      </c>
      <c r="E71" s="213">
        <f t="shared" ref="E71:E82" si="3">ROUND(E70*$E$60,-4)</f>
        <v>-1797140000</v>
      </c>
      <c r="F71" s="135">
        <f t="shared" si="0"/>
        <v>-1797140000</v>
      </c>
      <c r="G71" s="135">
        <f t="shared" si="1"/>
        <v>-6554803019.3495464</v>
      </c>
    </row>
    <row r="72" spans="2:7" x14ac:dyDescent="0.25">
      <c r="B72">
        <v>10</v>
      </c>
      <c r="C72" s="213">
        <f t="shared" si="2"/>
        <v>833390000</v>
      </c>
      <c r="E72" s="213">
        <f t="shared" si="3"/>
        <v>-1833080000</v>
      </c>
      <c r="F72" s="135">
        <f t="shared" si="0"/>
        <v>-1833080000</v>
      </c>
      <c r="G72" s="135">
        <f t="shared" si="1"/>
        <v>-7554493019.3495464</v>
      </c>
    </row>
    <row r="73" spans="2:7" x14ac:dyDescent="0.25">
      <c r="B73">
        <v>11</v>
      </c>
      <c r="C73" s="213">
        <f t="shared" si="2"/>
        <v>816720000</v>
      </c>
      <c r="E73" s="213">
        <f t="shared" si="3"/>
        <v>-1869740000</v>
      </c>
      <c r="F73" s="135">
        <f t="shared" si="0"/>
        <v>-1869740000</v>
      </c>
      <c r="G73" s="135">
        <f t="shared" si="1"/>
        <v>-8607513019.3495464</v>
      </c>
    </row>
    <row r="74" spans="2:7" x14ac:dyDescent="0.25">
      <c r="B74">
        <v>12</v>
      </c>
      <c r="C74" s="213">
        <f t="shared" si="2"/>
        <v>800390000</v>
      </c>
      <c r="E74" s="213">
        <f t="shared" si="3"/>
        <v>-1907130000</v>
      </c>
      <c r="F74" s="135">
        <f t="shared" si="0"/>
        <v>-1907130000</v>
      </c>
      <c r="G74" s="135">
        <f t="shared" si="1"/>
        <v>-9714253019.3495464</v>
      </c>
    </row>
    <row r="75" spans="2:7" x14ac:dyDescent="0.25">
      <c r="B75">
        <v>13</v>
      </c>
      <c r="C75" s="213">
        <f t="shared" si="2"/>
        <v>784380000</v>
      </c>
      <c r="E75" s="213">
        <f t="shared" si="3"/>
        <v>-1945270000</v>
      </c>
      <c r="F75" s="135">
        <f t="shared" si="0"/>
        <v>-1945270000</v>
      </c>
      <c r="G75" s="135">
        <f t="shared" si="1"/>
        <v>-10875143019.349546</v>
      </c>
    </row>
    <row r="76" spans="2:7" x14ac:dyDescent="0.25">
      <c r="B76">
        <v>14</v>
      </c>
      <c r="C76" s="213">
        <f t="shared" si="2"/>
        <v>768690000</v>
      </c>
      <c r="E76" s="213">
        <f t="shared" si="3"/>
        <v>-1984180000</v>
      </c>
      <c r="F76" s="135">
        <f t="shared" si="0"/>
        <v>-1984180000</v>
      </c>
      <c r="G76" s="135">
        <f t="shared" si="1"/>
        <v>-12090633019.349546</v>
      </c>
    </row>
    <row r="77" spans="2:7" x14ac:dyDescent="0.25">
      <c r="B77">
        <v>15</v>
      </c>
      <c r="C77" s="213">
        <f t="shared" si="2"/>
        <v>753320000</v>
      </c>
      <c r="E77" s="213">
        <f t="shared" si="3"/>
        <v>-2023860000</v>
      </c>
      <c r="F77" s="135">
        <f t="shared" si="0"/>
        <v>-2023860000</v>
      </c>
      <c r="G77" s="135">
        <f t="shared" si="1"/>
        <v>-13361173019.349546</v>
      </c>
    </row>
    <row r="78" spans="2:7" x14ac:dyDescent="0.25">
      <c r="B78">
        <v>16</v>
      </c>
      <c r="C78" s="213">
        <f t="shared" si="2"/>
        <v>738250000</v>
      </c>
      <c r="E78" s="213">
        <f t="shared" si="3"/>
        <v>-2064340000</v>
      </c>
      <c r="F78" s="135">
        <f t="shared" si="0"/>
        <v>-2064340000</v>
      </c>
      <c r="G78" s="135">
        <f t="shared" si="1"/>
        <v>-14687263019.349546</v>
      </c>
    </row>
    <row r="79" spans="2:7" x14ac:dyDescent="0.25">
      <c r="B79">
        <v>17</v>
      </c>
      <c r="C79" s="213">
        <f t="shared" si="2"/>
        <v>723490000</v>
      </c>
      <c r="E79" s="213">
        <f t="shared" si="3"/>
        <v>-2105630000</v>
      </c>
      <c r="F79" s="135">
        <f t="shared" si="0"/>
        <v>-2105630000</v>
      </c>
      <c r="G79" s="135">
        <f t="shared" si="1"/>
        <v>-16069403019.349546</v>
      </c>
    </row>
    <row r="80" spans="2:7" x14ac:dyDescent="0.25">
      <c r="B80">
        <v>18</v>
      </c>
      <c r="C80" s="213">
        <f t="shared" si="2"/>
        <v>709020000</v>
      </c>
      <c r="E80" s="213">
        <f t="shared" si="3"/>
        <v>-2147740000</v>
      </c>
      <c r="F80" s="135">
        <f t="shared" si="0"/>
        <v>-2147740000</v>
      </c>
      <c r="G80" s="135">
        <f t="shared" si="1"/>
        <v>-17508123019.349548</v>
      </c>
    </row>
    <row r="81" spans="2:7" x14ac:dyDescent="0.25">
      <c r="B81">
        <v>19</v>
      </c>
      <c r="C81" s="213">
        <f t="shared" si="2"/>
        <v>694840000</v>
      </c>
      <c r="E81" s="213">
        <f t="shared" si="3"/>
        <v>-2190690000</v>
      </c>
      <c r="F81" s="135">
        <f t="shared" si="0"/>
        <v>-2190690000</v>
      </c>
      <c r="G81" s="135">
        <f t="shared" si="1"/>
        <v>-19003973019.349548</v>
      </c>
    </row>
    <row r="82" spans="2:7" x14ac:dyDescent="0.25">
      <c r="B82">
        <v>20</v>
      </c>
      <c r="C82" s="213">
        <f t="shared" si="2"/>
        <v>680940000</v>
      </c>
      <c r="E82" s="213">
        <f t="shared" si="3"/>
        <v>-2234500000</v>
      </c>
      <c r="F82" s="135">
        <f t="shared" si="0"/>
        <v>-2234500000</v>
      </c>
      <c r="G82" s="135">
        <f t="shared" si="1"/>
        <v>-20557533019.349548</v>
      </c>
    </row>
    <row r="84" spans="2:7" x14ac:dyDescent="0.25">
      <c r="C84" s="214"/>
    </row>
    <row r="89" spans="2:7" x14ac:dyDescent="0.25">
      <c r="F89" s="44"/>
    </row>
    <row r="90" spans="2:7" x14ac:dyDescent="0.25">
      <c r="B90" s="217"/>
      <c r="F90" s="44"/>
    </row>
    <row r="94" spans="2:7" x14ac:dyDescent="0.25">
      <c r="C94" s="213"/>
      <c r="D94" s="135"/>
      <c r="E94" s="213"/>
      <c r="F94" s="135"/>
      <c r="G94" s="135"/>
    </row>
    <row r="95" spans="2:7" x14ac:dyDescent="0.25">
      <c r="C95" s="213"/>
      <c r="D95" s="135"/>
      <c r="E95" s="213"/>
      <c r="F95" s="135"/>
      <c r="G95" s="135"/>
    </row>
    <row r="96" spans="2:7" x14ac:dyDescent="0.25">
      <c r="C96" s="213"/>
      <c r="D96" s="135"/>
      <c r="E96" s="213"/>
      <c r="F96" s="135"/>
      <c r="G96" s="135"/>
    </row>
    <row r="97" spans="3:7" x14ac:dyDescent="0.25">
      <c r="C97" s="213"/>
      <c r="D97" s="135"/>
      <c r="E97" s="213"/>
      <c r="F97" s="135"/>
      <c r="G97" s="135"/>
    </row>
    <row r="98" spans="3:7" x14ac:dyDescent="0.25">
      <c r="C98" s="213"/>
      <c r="D98" s="135"/>
      <c r="E98" s="213"/>
      <c r="F98" s="135"/>
      <c r="G98" s="135"/>
    </row>
    <row r="99" spans="3:7" x14ac:dyDescent="0.25">
      <c r="C99" s="213"/>
      <c r="E99" s="213"/>
      <c r="F99" s="135"/>
      <c r="G99" s="135"/>
    </row>
    <row r="100" spans="3:7" x14ac:dyDescent="0.25">
      <c r="C100" s="213"/>
      <c r="E100" s="213"/>
      <c r="F100" s="135"/>
      <c r="G100" s="135"/>
    </row>
    <row r="101" spans="3:7" x14ac:dyDescent="0.25">
      <c r="C101" s="213"/>
      <c r="E101" s="213"/>
      <c r="F101" s="135"/>
      <c r="G101" s="135"/>
    </row>
    <row r="102" spans="3:7" x14ac:dyDescent="0.25">
      <c r="C102" s="213"/>
      <c r="E102" s="213"/>
      <c r="F102" s="135"/>
      <c r="G102" s="135"/>
    </row>
    <row r="103" spans="3:7" x14ac:dyDescent="0.25">
      <c r="C103" s="213"/>
      <c r="E103" s="213"/>
      <c r="F103" s="135"/>
      <c r="G103" s="135"/>
    </row>
    <row r="104" spans="3:7" x14ac:dyDescent="0.25">
      <c r="C104" s="213"/>
      <c r="E104" s="213"/>
      <c r="F104" s="135"/>
      <c r="G104" s="135"/>
    </row>
    <row r="105" spans="3:7" x14ac:dyDescent="0.25">
      <c r="C105" s="213"/>
      <c r="E105" s="213"/>
      <c r="F105" s="135"/>
      <c r="G105" s="135"/>
    </row>
    <row r="106" spans="3:7" x14ac:dyDescent="0.25">
      <c r="C106" s="213"/>
      <c r="E106" s="213"/>
      <c r="F106" s="135"/>
      <c r="G106" s="135"/>
    </row>
    <row r="107" spans="3:7" x14ac:dyDescent="0.25">
      <c r="C107" s="213"/>
      <c r="E107" s="213"/>
      <c r="F107" s="135"/>
      <c r="G107" s="135"/>
    </row>
    <row r="108" spans="3:7" x14ac:dyDescent="0.25">
      <c r="C108" s="213"/>
      <c r="E108" s="213"/>
      <c r="F108" s="135"/>
      <c r="G108" s="135"/>
    </row>
    <row r="109" spans="3:7" x14ac:dyDescent="0.25">
      <c r="C109" s="213"/>
      <c r="E109" s="213"/>
      <c r="F109" s="135"/>
      <c r="G109" s="135"/>
    </row>
    <row r="110" spans="3:7" x14ac:dyDescent="0.25">
      <c r="C110" s="213"/>
      <c r="E110" s="213"/>
      <c r="F110" s="135"/>
      <c r="G110" s="135"/>
    </row>
    <row r="111" spans="3:7" x14ac:dyDescent="0.25">
      <c r="C111" s="213"/>
      <c r="E111" s="213"/>
      <c r="F111" s="135"/>
      <c r="G111" s="135"/>
    </row>
    <row r="112" spans="3:7" x14ac:dyDescent="0.25">
      <c r="C112" s="213"/>
      <c r="E112" s="213"/>
      <c r="F112" s="135"/>
      <c r="G112" s="135"/>
    </row>
    <row r="113" spans="1:8" x14ac:dyDescent="0.25">
      <c r="C113" s="213"/>
      <c r="E113" s="213"/>
      <c r="F113" s="135"/>
      <c r="G113" s="135"/>
    </row>
    <row r="114" spans="1:8" x14ac:dyDescent="0.25">
      <c r="C114" s="213"/>
      <c r="E114" s="213"/>
      <c r="F114" s="135"/>
      <c r="G114" s="135"/>
    </row>
    <row r="117" spans="1:8" x14ac:dyDescent="0.25">
      <c r="A117" s="198"/>
      <c r="B117" s="198"/>
      <c r="C117" s="198"/>
      <c r="D117" s="198"/>
      <c r="E117" s="198"/>
      <c r="F117" s="198"/>
      <c r="G117" s="198"/>
      <c r="H117" s="198"/>
    </row>
    <row r="118" spans="1:8" x14ac:dyDescent="0.25">
      <c r="A118" s="198"/>
      <c r="B118" s="198"/>
      <c r="C118" s="198"/>
      <c r="D118" s="198"/>
      <c r="E118" s="198"/>
      <c r="F118" s="198"/>
      <c r="G118" s="198"/>
      <c r="H118" s="198"/>
    </row>
    <row r="119" spans="1:8" x14ac:dyDescent="0.25">
      <c r="A119" s="198"/>
      <c r="B119" s="808"/>
      <c r="C119" s="808"/>
      <c r="D119" s="808"/>
      <c r="E119" s="808"/>
      <c r="F119" s="808"/>
      <c r="G119" s="808"/>
      <c r="H119" s="198"/>
    </row>
    <row r="120" spans="1:8" x14ac:dyDescent="0.25">
      <c r="A120" s="198"/>
      <c r="B120" s="809"/>
      <c r="C120" s="809"/>
      <c r="D120" s="809"/>
      <c r="E120" s="810"/>
      <c r="F120" s="810"/>
      <c r="G120" s="810"/>
      <c r="H120" s="198"/>
    </row>
    <row r="121" spans="1:8" x14ac:dyDescent="0.25">
      <c r="A121" s="198"/>
      <c r="B121" s="809"/>
      <c r="C121" s="809"/>
      <c r="D121" s="809"/>
      <c r="E121" s="810"/>
      <c r="F121" s="810"/>
      <c r="G121" s="810"/>
      <c r="H121" s="198"/>
    </row>
    <row r="122" spans="1:8" x14ac:dyDescent="0.25">
      <c r="A122" s="198"/>
      <c r="B122" s="767"/>
      <c r="C122" s="767"/>
      <c r="D122" s="767"/>
      <c r="E122" s="807"/>
      <c r="F122" s="807"/>
      <c r="G122" s="807"/>
      <c r="H122" s="198"/>
    </row>
    <row r="123" spans="1:8" x14ac:dyDescent="0.25">
      <c r="A123" s="198"/>
      <c r="B123" s="767"/>
      <c r="C123" s="767"/>
      <c r="D123" s="767"/>
      <c r="E123" s="807"/>
      <c r="F123" s="807"/>
      <c r="G123" s="807"/>
      <c r="H123" s="198"/>
    </row>
    <row r="124" spans="1:8" x14ac:dyDescent="0.25">
      <c r="A124" s="198"/>
      <c r="B124" s="767"/>
      <c r="C124" s="767"/>
      <c r="D124" s="767"/>
      <c r="E124" s="807"/>
      <c r="F124" s="807"/>
      <c r="G124" s="807"/>
      <c r="H124" s="198"/>
    </row>
    <row r="125" spans="1:8" x14ac:dyDescent="0.25">
      <c r="A125" s="198"/>
      <c r="B125" s="767"/>
      <c r="C125" s="767"/>
      <c r="D125" s="767"/>
      <c r="E125" s="807"/>
      <c r="F125" s="808"/>
      <c r="G125" s="808"/>
      <c r="H125" s="198"/>
    </row>
    <row r="126" spans="1:8" x14ac:dyDescent="0.25">
      <c r="A126" s="198"/>
      <c r="B126" s="767"/>
      <c r="C126" s="767"/>
      <c r="D126" s="767"/>
      <c r="E126" s="807"/>
      <c r="F126" s="807"/>
      <c r="G126" s="807"/>
      <c r="H126" s="198"/>
    </row>
    <row r="127" spans="1:8" x14ac:dyDescent="0.25">
      <c r="A127" s="198"/>
      <c r="B127" s="767"/>
      <c r="C127" s="767"/>
      <c r="D127" s="767"/>
      <c r="E127" s="807"/>
      <c r="F127" s="807"/>
      <c r="G127" s="807"/>
      <c r="H127" s="198"/>
    </row>
    <row r="128" spans="1:8" x14ac:dyDescent="0.25">
      <c r="A128" s="198"/>
      <c r="B128" s="198"/>
      <c r="C128" s="198"/>
      <c r="D128" s="198"/>
      <c r="E128" s="198"/>
      <c r="F128" s="198"/>
      <c r="G128" s="198"/>
      <c r="H128" s="198"/>
    </row>
    <row r="129" spans="1:8" x14ac:dyDescent="0.25">
      <c r="A129" s="198"/>
      <c r="B129" s="198"/>
      <c r="C129" s="198"/>
      <c r="D129" s="198"/>
      <c r="E129" s="198"/>
      <c r="F129" s="198"/>
      <c r="G129" s="198"/>
      <c r="H129" s="198"/>
    </row>
  </sheetData>
  <mergeCells count="11">
    <mergeCell ref="E122:G122"/>
    <mergeCell ref="B119:G119"/>
    <mergeCell ref="B120:B121"/>
    <mergeCell ref="C120:C121"/>
    <mergeCell ref="D120:D121"/>
    <mergeCell ref="E120:G121"/>
    <mergeCell ref="E123:G123"/>
    <mergeCell ref="E124:G124"/>
    <mergeCell ref="E125:G125"/>
    <mergeCell ref="E126:G126"/>
    <mergeCell ref="E127:G127"/>
  </mergeCells>
  <hyperlinks>
    <hyperlink ref="F57" r:id="rId1" xr:uid="{00000000-0004-0000-0700-000000000000}"/>
    <hyperlink ref="F58" r:id="rId2" xr:uid="{00000000-0004-0000-0700-000001000000}"/>
  </hyperlinks>
  <pageMargins left="0.7" right="0.7" top="0.75" bottom="0.75" header="0.3" footer="0.3"/>
  <pageSetup orientation="portrait" verticalDpi="0" r:id="rId3"/>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66"/>
  <sheetViews>
    <sheetView topLeftCell="D37" zoomScale="70" zoomScaleNormal="70" workbookViewId="0">
      <selection activeCell="I65" sqref="I65"/>
    </sheetView>
  </sheetViews>
  <sheetFormatPr defaultRowHeight="15" x14ac:dyDescent="0.25"/>
  <cols>
    <col min="1" max="1" width="12" customWidth="1"/>
    <col min="2" max="2" width="52.85546875" customWidth="1"/>
    <col min="3" max="4" width="46.42578125" customWidth="1"/>
    <col min="5" max="5" width="39.140625" customWidth="1"/>
    <col min="6" max="6" width="35.85546875" customWidth="1"/>
    <col min="7" max="7" width="37.85546875" customWidth="1"/>
    <col min="8" max="8" width="34.85546875" customWidth="1"/>
    <col min="9" max="9" width="18.140625" customWidth="1"/>
    <col min="10" max="10" width="34.85546875" customWidth="1"/>
    <col min="11" max="11" width="17.85546875" customWidth="1"/>
    <col min="12" max="12" width="22.140625" customWidth="1"/>
    <col min="13" max="13" width="14.140625" bestFit="1" customWidth="1"/>
  </cols>
  <sheetData>
    <row r="1" spans="1:13" ht="21" x14ac:dyDescent="0.35">
      <c r="A1" s="1" t="s">
        <v>422</v>
      </c>
    </row>
    <row r="3" spans="1:13" x14ac:dyDescent="0.25">
      <c r="F3" s="584" t="s">
        <v>438</v>
      </c>
      <c r="G3" s="585"/>
      <c r="H3" s="198"/>
      <c r="I3" s="198"/>
    </row>
    <row r="4" spans="1:13" x14ac:dyDescent="0.25">
      <c r="F4" s="586" t="s">
        <v>439</v>
      </c>
      <c r="G4" s="587"/>
      <c r="H4" s="198"/>
      <c r="I4" s="327"/>
      <c r="M4" s="581"/>
    </row>
    <row r="5" spans="1:13" x14ac:dyDescent="0.25">
      <c r="F5" s="586" t="s">
        <v>440</v>
      </c>
      <c r="G5" s="587"/>
      <c r="H5" s="198"/>
      <c r="I5" s="198"/>
    </row>
    <row r="6" spans="1:13" x14ac:dyDescent="0.25">
      <c r="F6" s="599" t="s">
        <v>441</v>
      </c>
      <c r="G6" s="600"/>
      <c r="H6" s="198"/>
      <c r="I6" s="198"/>
      <c r="J6" s="18"/>
    </row>
    <row r="7" spans="1:13" x14ac:dyDescent="0.25">
      <c r="G7" s="18"/>
      <c r="H7" s="18"/>
      <c r="I7" s="18"/>
      <c r="J7" s="198"/>
    </row>
    <row r="8" spans="1:13" x14ac:dyDescent="0.25">
      <c r="G8" s="198"/>
      <c r="H8" s="198"/>
      <c r="I8" s="198"/>
      <c r="J8" s="198"/>
    </row>
    <row r="9" spans="1:13" x14ac:dyDescent="0.25">
      <c r="B9" s="576"/>
      <c r="C9" s="576"/>
      <c r="D9" s="576"/>
      <c r="E9" s="576"/>
      <c r="F9" s="576"/>
      <c r="G9" s="576"/>
      <c r="H9" s="576"/>
      <c r="I9" s="576"/>
    </row>
    <row r="11" spans="1:13" x14ac:dyDescent="0.25">
      <c r="B11" s="383"/>
      <c r="C11" s="617" t="s">
        <v>442</v>
      </c>
      <c r="D11" s="597" t="s">
        <v>443</v>
      </c>
      <c r="E11" s="617" t="s">
        <v>444</v>
      </c>
      <c r="F11" s="320" t="s">
        <v>445</v>
      </c>
      <c r="G11" s="320" t="s">
        <v>446</v>
      </c>
    </row>
    <row r="12" spans="1:13" x14ac:dyDescent="0.25">
      <c r="B12" s="595" t="s">
        <v>447</v>
      </c>
      <c r="C12" s="639">
        <f>(51010/(1+EXP(-3.823*10^(-3)*(C26-631))))*(C23^0.8)+(5634000/(1+EXP(-7.813*10^(-3)*(C26-349))))*((C24*C28*C19)/(C20*C17*C18*C21))^0.9+(750000*C25*(C27^0.15)*(C22^0.5))</f>
        <v>3225626725.1011252</v>
      </c>
      <c r="D12" s="601">
        <f>C12/C23</f>
        <v>7772.5945183159647</v>
      </c>
      <c r="E12" s="305">
        <v>517</v>
      </c>
      <c r="F12" s="305">
        <v>500</v>
      </c>
      <c r="G12" s="305">
        <f>C27*F12/1000</f>
        <v>2.09</v>
      </c>
    </row>
    <row r="13" spans="1:13" x14ac:dyDescent="0.25">
      <c r="B13" s="398" t="s">
        <v>448</v>
      </c>
    </row>
    <row r="14" spans="1:13" x14ac:dyDescent="0.25">
      <c r="B14" s="583" t="s">
        <v>449</v>
      </c>
    </row>
    <row r="15" spans="1:13" x14ac:dyDescent="0.25">
      <c r="B15" s="583"/>
    </row>
    <row r="16" spans="1:13" ht="14.1" customHeight="1" x14ac:dyDescent="0.25">
      <c r="B16" s="578" t="s">
        <v>450</v>
      </c>
      <c r="C16" s="602" t="s">
        <v>451</v>
      </c>
      <c r="D16" t="s">
        <v>452</v>
      </c>
      <c r="F16" s="637"/>
      <c r="G16" s="637"/>
    </row>
    <row r="17" spans="1:9" x14ac:dyDescent="0.25">
      <c r="B17" s="8" t="s">
        <v>453</v>
      </c>
      <c r="C17" s="476">
        <v>30</v>
      </c>
      <c r="F17" s="637"/>
      <c r="G17" s="637"/>
    </row>
    <row r="18" spans="1:9" x14ac:dyDescent="0.25">
      <c r="B18" s="8" t="s">
        <v>454</v>
      </c>
      <c r="C18" s="476">
        <v>0.95</v>
      </c>
      <c r="F18" s="637"/>
      <c r="G18" s="637"/>
    </row>
    <row r="19" spans="1:9" x14ac:dyDescent="0.25">
      <c r="B19" s="579" t="s">
        <v>455</v>
      </c>
      <c r="C19" s="476">
        <v>96485.332120000006</v>
      </c>
      <c r="F19" s="637"/>
      <c r="G19" s="637"/>
    </row>
    <row r="20" spans="1:9" s="580" customFormat="1" ht="16.350000000000001" customHeight="1" x14ac:dyDescent="0.25">
      <c r="A20" s="17"/>
      <c r="B20" s="8" t="s">
        <v>456</v>
      </c>
      <c r="C20" s="476">
        <f>1000*F12/C17</f>
        <v>16666.666666666668</v>
      </c>
      <c r="F20" s="637"/>
      <c r="G20" s="637"/>
    </row>
    <row r="21" spans="1:9" x14ac:dyDescent="0.25">
      <c r="A21" s="17"/>
      <c r="B21" s="8" t="s">
        <v>457</v>
      </c>
      <c r="C21" s="476">
        <v>2.7E-2</v>
      </c>
      <c r="F21" s="637"/>
      <c r="G21" s="637"/>
    </row>
    <row r="22" spans="1:9" x14ac:dyDescent="0.25">
      <c r="A22" s="17"/>
      <c r="B22" s="8" t="s">
        <v>458</v>
      </c>
      <c r="C22" s="476">
        <v>1</v>
      </c>
      <c r="D22" s="9"/>
      <c r="F22" s="637"/>
      <c r="G22" s="637"/>
    </row>
    <row r="23" spans="1:9" x14ac:dyDescent="0.25">
      <c r="A23" s="17"/>
      <c r="B23" s="8" t="s">
        <v>459</v>
      </c>
      <c r="C23" s="476">
        <v>415000</v>
      </c>
      <c r="D23" s="9"/>
      <c r="F23" s="637"/>
      <c r="G23" s="637"/>
    </row>
    <row r="24" spans="1:9" x14ac:dyDescent="0.25">
      <c r="A24" s="17"/>
      <c r="B24" s="8" t="s">
        <v>460</v>
      </c>
      <c r="C24" s="476">
        <f>(C23*1000)/(365*24*3600)</f>
        <v>13.159563673262303</v>
      </c>
      <c r="F24" s="637"/>
      <c r="G24" s="637"/>
    </row>
    <row r="25" spans="1:9" x14ac:dyDescent="0.25">
      <c r="A25" s="17"/>
      <c r="B25" s="635" t="s">
        <v>461</v>
      </c>
      <c r="C25" s="476">
        <f>$G$12*E12</f>
        <v>1080.53</v>
      </c>
      <c r="F25" s="637"/>
      <c r="G25" s="637"/>
    </row>
    <row r="26" spans="1:9" x14ac:dyDescent="0.25">
      <c r="A26" s="17"/>
      <c r="B26" s="8" t="s">
        <v>462</v>
      </c>
      <c r="C26" s="476">
        <v>1000</v>
      </c>
      <c r="F26" s="637"/>
      <c r="G26" s="637"/>
    </row>
    <row r="27" spans="1:9" x14ac:dyDescent="0.25">
      <c r="A27" s="17"/>
      <c r="B27" s="8" t="s">
        <v>463</v>
      </c>
      <c r="C27" s="476">
        <v>4.18</v>
      </c>
    </row>
    <row r="28" spans="1:9" x14ac:dyDescent="0.25">
      <c r="A28" s="17"/>
      <c r="B28" s="8" t="s">
        <v>464</v>
      </c>
      <c r="C28" s="476">
        <v>3</v>
      </c>
    </row>
    <row r="31" spans="1:9" x14ac:dyDescent="0.25">
      <c r="B31" s="761" t="s">
        <v>465</v>
      </c>
      <c r="C31" s="617" t="s">
        <v>466</v>
      </c>
      <c r="D31" s="634" t="s">
        <v>461</v>
      </c>
      <c r="E31" s="320" t="s">
        <v>460</v>
      </c>
      <c r="F31" s="617" t="s">
        <v>444</v>
      </c>
      <c r="G31" s="617" t="s">
        <v>467</v>
      </c>
      <c r="H31" s="597" t="s">
        <v>468</v>
      </c>
      <c r="I31" s="761" t="s">
        <v>469</v>
      </c>
    </row>
    <row r="32" spans="1:9" x14ac:dyDescent="0.25">
      <c r="B32" s="305">
        <v>415000</v>
      </c>
      <c r="C32" s="639">
        <f>(51010/(1+EXP(-3.823*10^(-3)*(C26-631))))*(B32^0.8)+(5634000/(1+EXP(-7.813*10^(-3)*(C26-349))))*((E32*C28*C19)/(C20*C17*C18*C21))^0.9+(750000*D32*(C27^0.15)*(G32^0.5))</f>
        <v>3225626725.1011252</v>
      </c>
      <c r="D32" s="305">
        <f>$G$12*F32</f>
        <v>1080.53</v>
      </c>
      <c r="E32" s="305">
        <f>(B32*1000)/(365*24*3600)</f>
        <v>13.159563673262303</v>
      </c>
      <c r="F32" s="305">
        <v>517</v>
      </c>
      <c r="G32" s="305">
        <v>1</v>
      </c>
      <c r="H32" s="601">
        <v>3095647794</v>
      </c>
      <c r="I32" s="598">
        <f>C32/H32</f>
        <v>1.0419876354645548</v>
      </c>
    </row>
    <row r="33" spans="2:12" x14ac:dyDescent="0.25">
      <c r="B33" s="305">
        <v>415000</v>
      </c>
      <c r="C33" s="639">
        <f>(51010/(1+EXP(-3.823*10^(-3)*(C26-631))))*(B33^0.8)+(5634000/(1+EXP(-7.813*10^(-3)*(C26-349))))*((E33*C28*C19)/(C20*C17*C18*C21))^0.9+(750000*D33*(C27^0.15)*(G33^0.5))</f>
        <v>3225626725.1011252</v>
      </c>
      <c r="D33" s="305">
        <f>$G$12*F33</f>
        <v>1080.53</v>
      </c>
      <c r="E33" s="305">
        <f>(B33*1000)/(365*3600*24)</f>
        <v>13.159563673262303</v>
      </c>
      <c r="F33" s="305">
        <v>517</v>
      </c>
      <c r="G33" s="305">
        <v>1</v>
      </c>
      <c r="H33" s="601">
        <v>3078133521</v>
      </c>
      <c r="I33" s="598">
        <f t="shared" ref="I33:I44" si="0">C33/H33</f>
        <v>1.0479164412767932</v>
      </c>
    </row>
    <row r="34" spans="2:12" x14ac:dyDescent="0.25">
      <c r="B34" s="305">
        <v>588000</v>
      </c>
      <c r="C34" s="639">
        <f>(51010/(1+EXP(-3.823*10^(-3)*(C26-631))))*(B34^0.8)+(5634000/(1+EXP(-7.813*10^(-3)*(C26-349))))*((E34*C28*C19)/(C20*C17*C18*C21))^0.9+(750000*D34*(C27^0.15)*(G34^0.5))</f>
        <v>4401507259.4722338</v>
      </c>
      <c r="D34" s="305">
        <f>$G$12*F34</f>
        <v>1529.8799999999999</v>
      </c>
      <c r="E34" s="305">
        <f>(B34*1000)/(3600*24*365)</f>
        <v>18.645357686453575</v>
      </c>
      <c r="F34" s="305">
        <v>732</v>
      </c>
      <c r="G34" s="305">
        <v>1</v>
      </c>
      <c r="H34" s="601">
        <v>3890338568</v>
      </c>
      <c r="I34" s="598">
        <f t="shared" si="0"/>
        <v>1.1313943973094924</v>
      </c>
    </row>
    <row r="35" spans="2:12" x14ac:dyDescent="0.25">
      <c r="B35" s="305">
        <v>588000</v>
      </c>
      <c r="C35" s="639">
        <f>(51010/(1+EXP(-3.823*10^(-3)*(C26-631))))*(B35^0.8)+(5634000/(1+EXP(-7.813*10^(-3)*(C26-349))))*((E35*C28*C19)/(C20*C17*C18*C21))^0.9+(750000*D35*(C27^0.15)*(G35^0.5))</f>
        <v>4401507259.4722338</v>
      </c>
      <c r="D35" s="305">
        <f>$G$12*F35</f>
        <v>1529.8799999999999</v>
      </c>
      <c r="E35" s="305">
        <f t="shared" ref="E35" si="1">(B35*1000)/(365*24*3600)</f>
        <v>18.645357686453575</v>
      </c>
      <c r="F35" s="305">
        <v>732</v>
      </c>
      <c r="G35" s="305">
        <v>1</v>
      </c>
      <c r="H35" s="601">
        <v>3955435866</v>
      </c>
      <c r="I35" s="598">
        <f t="shared" si="0"/>
        <v>1.1127742702913119</v>
      </c>
    </row>
    <row r="36" spans="2:12" x14ac:dyDescent="0.25">
      <c r="B36" s="305">
        <v>735000</v>
      </c>
      <c r="C36" s="639">
        <f>(51010/(1+EXP(-3.823*10^(-3)*(C26-631))))*(B36^0.8)+(5634000/(1+EXP(-7.813*10^(-3)*(C26-349))))*((E36*C28*C19)/(C20*C17*C18*C21))^0.9+(750000*D36*(C27^0.15)*(G36^0.5))</f>
        <v>5374060336.1747646</v>
      </c>
      <c r="D36" s="305">
        <f t="shared" ref="D36:D44" si="2">$G$12*F36</f>
        <v>1912.35</v>
      </c>
      <c r="E36" s="305">
        <f t="shared" ref="E36" si="3">(B36*1000)/(365*3600*24)</f>
        <v>23.30669710806697</v>
      </c>
      <c r="F36" s="305">
        <v>915</v>
      </c>
      <c r="G36" s="305">
        <v>1</v>
      </c>
      <c r="H36" s="601">
        <v>5157410990</v>
      </c>
      <c r="I36" s="598">
        <f t="shared" si="0"/>
        <v>1.042007384440534</v>
      </c>
    </row>
    <row r="37" spans="2:12" x14ac:dyDescent="0.25">
      <c r="B37" s="305">
        <v>735000</v>
      </c>
      <c r="C37" s="639">
        <f>(51010/(1+EXP(-3.823*10^(-3)*(C26-631))))*(B37^0.8)+(5634000/(1+EXP(-7.813*10^(-3)*(C26-349))))*((E37*C28*C19)/(C20*C17*C18*C21))^0.9+(750000*D37*(C27^0.15)*(G37^0.5))</f>
        <v>6110317274.4769821</v>
      </c>
      <c r="D37" s="305">
        <f t="shared" si="2"/>
        <v>1912.35</v>
      </c>
      <c r="E37" s="305">
        <f t="shared" ref="E37" si="4">(B37*1000)/(3600*24*365)</f>
        <v>23.30669710806697</v>
      </c>
      <c r="F37" s="305">
        <v>915</v>
      </c>
      <c r="G37" s="305">
        <v>2</v>
      </c>
      <c r="H37" s="601">
        <v>4595559304</v>
      </c>
      <c r="I37" s="598">
        <f t="shared" si="0"/>
        <v>1.329613409440398</v>
      </c>
    </row>
    <row r="38" spans="2:12" x14ac:dyDescent="0.25">
      <c r="B38" s="305">
        <v>882000</v>
      </c>
      <c r="C38" s="639">
        <f>(51010/(1+EXP(-3.823*10^(-3)*(C26-631))))*(B38^0.8)+(5634000/(1+EXP(-7.813*10^(-3)*(C26-349))))*((E38*C28*C19)/(C20*C17*C18*C21))^0.9+(750000*D38*(C27^0.15)*(G38^0.5))</f>
        <v>7211350868.8080177</v>
      </c>
      <c r="D38" s="305">
        <f t="shared" si="2"/>
        <v>2294.8199999999997</v>
      </c>
      <c r="E38" s="305">
        <f t="shared" ref="E38" si="5">(B38*1000)/(365*24*3600)</f>
        <v>27.968036529680365</v>
      </c>
      <c r="F38" s="305">
        <v>1098</v>
      </c>
      <c r="G38" s="305">
        <v>2</v>
      </c>
      <c r="H38" s="601">
        <v>5263581584</v>
      </c>
      <c r="I38" s="598">
        <f t="shared" si="0"/>
        <v>1.3700463750250893</v>
      </c>
    </row>
    <row r="39" spans="2:12" x14ac:dyDescent="0.25">
      <c r="B39" s="305">
        <v>882000</v>
      </c>
      <c r="C39" s="639">
        <f>(51010/(1+EXP(-3.823*10^(-3)*(C26-631))))*(B39^0.8)+(5634000/(1+EXP(-7.813*10^(-3)*(C26-349))))*((E39*C28*C19)/(C20*C17*C18*C21))^0.9+(750000*D39*(C27^0.15)*(G39^0.5))</f>
        <v>6327842542.845356</v>
      </c>
      <c r="D39" s="305">
        <f t="shared" si="2"/>
        <v>2294.8199999999997</v>
      </c>
      <c r="E39" s="305">
        <f t="shared" ref="E39" si="6">(B39*1000)/(365*3600*24)</f>
        <v>27.968036529680365</v>
      </c>
      <c r="F39" s="305">
        <v>1098</v>
      </c>
      <c r="G39" s="305">
        <v>1</v>
      </c>
      <c r="H39" s="601">
        <v>5900605150</v>
      </c>
      <c r="I39" s="598">
        <f t="shared" si="0"/>
        <v>1.0724056909392345</v>
      </c>
    </row>
    <row r="40" spans="2:12" x14ac:dyDescent="0.25">
      <c r="B40" s="305">
        <v>1177000</v>
      </c>
      <c r="C40" s="639">
        <f>(51010/(1+EXP(-3.823*10^(-3)*(C26-631))))*(B40^0.8)+(5634000/(1+EXP(-7.813*10^(-3)*(C26-349))))*((E40*C28*C19)/(C20*C17*C18*C21))^0.9+(750000*D40*(C27^0.15)*(G40^0.5))</f>
        <v>9377142346.4355125</v>
      </c>
      <c r="D40" s="305">
        <f t="shared" si="2"/>
        <v>3061.85</v>
      </c>
      <c r="E40" s="305">
        <f t="shared" ref="E40" si="7">(B40*1000)/(3600*24*365)</f>
        <v>37.322425164890916</v>
      </c>
      <c r="F40" s="596">
        <v>1465</v>
      </c>
      <c r="G40" s="596">
        <v>2</v>
      </c>
      <c r="H40" s="601">
        <v>7073906463</v>
      </c>
      <c r="I40" s="598">
        <f t="shared" si="0"/>
        <v>1.3255960331794838</v>
      </c>
    </row>
    <row r="41" spans="2:12" x14ac:dyDescent="0.25">
      <c r="B41" s="305">
        <v>1177000</v>
      </c>
      <c r="C41" s="639">
        <f>(51010/(1+EXP(-3.823*10^(-3)*(C26-631))))*(B41^0.8)+(5634000/(1+EXP(-7.813*10^(-3)*(C26-349))))*((E41*C28*C19)/(C20*C17*C18*C21))^0.9+(750000*D41*(C27^0.15)*(G41^0.5))</f>
        <v>9377142346.4355125</v>
      </c>
      <c r="D41" s="305">
        <f t="shared" si="2"/>
        <v>3061.85</v>
      </c>
      <c r="E41" s="305">
        <f t="shared" ref="E41" si="8">(B41*1000)/(365*24*3600)</f>
        <v>37.322425164890916</v>
      </c>
      <c r="F41" s="305">
        <v>1465</v>
      </c>
      <c r="G41" s="305">
        <v>2</v>
      </c>
      <c r="H41" s="601">
        <v>6869314953</v>
      </c>
      <c r="I41" s="598">
        <f t="shared" si="0"/>
        <v>1.3650767813958338</v>
      </c>
    </row>
    <row r="42" spans="2:12" x14ac:dyDescent="0.25">
      <c r="B42" s="305">
        <v>1691000</v>
      </c>
      <c r="C42" s="639">
        <f>(51010/(1+EXP(-3.823*10^(-3)*(C26-631))))*(B42^0.8)+(5634000/(1+EXP(-7.813*10^(-3)*(C26-349))))*((E42*C28*C19)/(C20*C17*C18*C21))^0.9+(750000*D42*(C27^0.15)*(G42^0.5))</f>
        <v>13053810834.707153</v>
      </c>
      <c r="D42" s="305">
        <f t="shared" si="2"/>
        <v>4399.45</v>
      </c>
      <c r="E42" s="305">
        <f t="shared" ref="E42" si="9">(B42*1000)/(365*3600*24)</f>
        <v>53.621258244545913</v>
      </c>
      <c r="F42" s="305">
        <v>2105</v>
      </c>
      <c r="G42" s="305">
        <v>2</v>
      </c>
      <c r="H42" s="601">
        <v>9143845570</v>
      </c>
      <c r="I42" s="598">
        <f t="shared" si="0"/>
        <v>1.4276062226526813</v>
      </c>
    </row>
    <row r="43" spans="2:12" x14ac:dyDescent="0.25">
      <c r="B43" s="305">
        <v>500000</v>
      </c>
      <c r="C43" s="639">
        <f>(51010/(1+EXP(-3.823*10^(-3)*(C26-631))))*(B43^0.8)+(5634000/(1+EXP(-7.813*10^(-3)*(C26-349))))*((E43*C28*C19)/(C20*C17*C18*C21))^0.9+(750000*D43*(C27^0.15)*(G43^0.5))</f>
        <v>4307705852.1320343</v>
      </c>
      <c r="D43" s="305">
        <f t="shared" si="2"/>
        <v>1299.98</v>
      </c>
      <c r="E43" s="305">
        <f t="shared" ref="E43" si="10">(B43*1000)/(3600*24*365)</f>
        <v>15.854895991882293</v>
      </c>
      <c r="F43" s="305">
        <v>622</v>
      </c>
      <c r="G43" s="305">
        <v>2</v>
      </c>
      <c r="H43" s="601">
        <v>5006979695</v>
      </c>
      <c r="I43" s="598">
        <f t="shared" si="0"/>
        <v>0.8603401880047038</v>
      </c>
    </row>
    <row r="44" spans="2:12" x14ac:dyDescent="0.25">
      <c r="B44" s="305">
        <v>353000</v>
      </c>
      <c r="C44" s="639">
        <f>(51010/(1+EXP(-3.823*10^(-3)*(C26-631))))*(B44^0.8)+(5634000/(1+EXP(-7.813*10^(-3)*(C26-349))))*((E44*C28*C19)/(C20*C17*C18*C21))^0.9+(750000*D44*(C27^0.15)*(G44^0.5))</f>
        <v>2791122031.598875</v>
      </c>
      <c r="D44" s="305">
        <f t="shared" si="2"/>
        <v>917.51</v>
      </c>
      <c r="E44" s="305">
        <f t="shared" ref="E44" si="11">(B44*1000)/(365*24*3600)</f>
        <v>11.1935565702689</v>
      </c>
      <c r="F44" s="305">
        <v>439</v>
      </c>
      <c r="G44" s="305">
        <v>1</v>
      </c>
      <c r="H44" s="601">
        <v>2005393000</v>
      </c>
      <c r="I44" s="598">
        <f t="shared" si="0"/>
        <v>1.3918080055125728</v>
      </c>
    </row>
    <row r="48" spans="2:12" x14ac:dyDescent="0.25">
      <c r="B48" s="811" t="s">
        <v>470</v>
      </c>
      <c r="C48" s="811"/>
      <c r="D48" s="811"/>
      <c r="E48" s="811"/>
      <c r="F48" s="811"/>
      <c r="G48" s="811"/>
      <c r="H48" s="811"/>
      <c r="I48" s="811"/>
      <c r="J48" s="811"/>
      <c r="K48" s="811"/>
      <c r="L48" s="811"/>
    </row>
    <row r="49" spans="2:12" x14ac:dyDescent="0.25">
      <c r="B49" s="612"/>
      <c r="C49" s="613" t="s">
        <v>471</v>
      </c>
      <c r="D49" s="610" t="s">
        <v>472</v>
      </c>
      <c r="E49" s="613" t="s">
        <v>473</v>
      </c>
      <c r="F49" s="610" t="s">
        <v>474</v>
      </c>
      <c r="G49" s="613" t="s">
        <v>475</v>
      </c>
      <c r="H49" s="613" t="s">
        <v>476</v>
      </c>
      <c r="I49" s="613" t="s">
        <v>477</v>
      </c>
      <c r="J49" s="613" t="s">
        <v>478</v>
      </c>
      <c r="K49" s="604" t="s">
        <v>479</v>
      </c>
      <c r="L49" s="613" t="s">
        <v>480</v>
      </c>
    </row>
    <row r="50" spans="2:12" x14ac:dyDescent="0.25">
      <c r="B50" s="590" t="s">
        <v>46</v>
      </c>
      <c r="C50" s="305">
        <v>415</v>
      </c>
      <c r="D50" s="305">
        <f t="shared" ref="D50:D62" si="12">C50/K50</f>
        <v>0.80270793036750487</v>
      </c>
      <c r="E50" s="605">
        <v>3095647794</v>
      </c>
      <c r="F50" s="605">
        <f t="shared" ref="F50:F62" si="13">E50/K50</f>
        <v>5987713.3346228236</v>
      </c>
      <c r="G50" s="569">
        <v>7451</v>
      </c>
      <c r="H50" s="649">
        <f>C32</f>
        <v>3225626725.1011252</v>
      </c>
      <c r="I50" s="601">
        <v>7451</v>
      </c>
      <c r="J50" s="603">
        <f>H50/C50/1000</f>
        <v>7772.5945183159647</v>
      </c>
      <c r="K50" s="608">
        <v>517</v>
      </c>
      <c r="L50" s="614">
        <v>1</v>
      </c>
    </row>
    <row r="51" spans="2:12" x14ac:dyDescent="0.25">
      <c r="B51" s="590"/>
      <c r="C51" s="607">
        <v>415</v>
      </c>
      <c r="D51" s="607">
        <f t="shared" si="12"/>
        <v>0.80270793036750487</v>
      </c>
      <c r="E51" s="606">
        <v>3078133521</v>
      </c>
      <c r="F51" s="611">
        <f t="shared" si="13"/>
        <v>5953836.5976789165</v>
      </c>
      <c r="G51" s="593">
        <v>7408</v>
      </c>
      <c r="H51" s="649">
        <f>C33</f>
        <v>3225626725.1011252</v>
      </c>
      <c r="I51" s="616">
        <v>7408</v>
      </c>
      <c r="J51" s="606">
        <f t="shared" ref="J51:J60" si="14">H51/C51/1000</f>
        <v>7772.5945183159647</v>
      </c>
      <c r="K51" s="609">
        <v>517</v>
      </c>
      <c r="L51" s="615">
        <v>1</v>
      </c>
    </row>
    <row r="52" spans="2:12" x14ac:dyDescent="0.25">
      <c r="B52" s="590"/>
      <c r="C52" s="305">
        <v>588</v>
      </c>
      <c r="D52" s="305">
        <f t="shared" si="12"/>
        <v>0.80327868852459017</v>
      </c>
      <c r="E52" s="603">
        <v>3890338568</v>
      </c>
      <c r="F52" s="605">
        <f t="shared" si="13"/>
        <v>5314670.1748633878</v>
      </c>
      <c r="G52" s="569">
        <v>6613</v>
      </c>
      <c r="H52" s="649">
        <f t="shared" ref="H52:H62" si="15">C34</f>
        <v>4401507259.4722338</v>
      </c>
      <c r="I52" s="601">
        <v>6613</v>
      </c>
      <c r="J52" s="603">
        <f t="shared" si="14"/>
        <v>7485.5565637282889</v>
      </c>
      <c r="K52" s="608">
        <v>732</v>
      </c>
      <c r="L52" s="614">
        <v>1</v>
      </c>
    </row>
    <row r="53" spans="2:12" x14ac:dyDescent="0.25">
      <c r="B53" s="590"/>
      <c r="C53" s="607">
        <v>588</v>
      </c>
      <c r="D53" s="607">
        <f t="shared" si="12"/>
        <v>0.80327868852459017</v>
      </c>
      <c r="E53" s="606">
        <v>3955435866</v>
      </c>
      <c r="F53" s="611">
        <f t="shared" si="13"/>
        <v>5403600.909836066</v>
      </c>
      <c r="G53" s="593">
        <v>6723</v>
      </c>
      <c r="H53" s="649">
        <f>C35</f>
        <v>4401507259.4722338</v>
      </c>
      <c r="I53" s="616">
        <v>6723</v>
      </c>
      <c r="J53" s="606">
        <f t="shared" si="14"/>
        <v>7485.5565637282889</v>
      </c>
      <c r="K53" s="609">
        <v>732</v>
      </c>
      <c r="L53" s="615">
        <v>1</v>
      </c>
    </row>
    <row r="54" spans="2:12" x14ac:dyDescent="0.25">
      <c r="B54" s="590"/>
      <c r="C54" s="305">
        <v>735</v>
      </c>
      <c r="D54" s="305">
        <f t="shared" si="12"/>
        <v>0.80327868852459017</v>
      </c>
      <c r="E54" s="603">
        <v>5157410990</v>
      </c>
      <c r="F54" s="605">
        <f t="shared" si="13"/>
        <v>5636514.743169399</v>
      </c>
      <c r="G54" s="569">
        <v>7013</v>
      </c>
      <c r="H54" s="649">
        <f t="shared" si="15"/>
        <v>5374060336.1747646</v>
      </c>
      <c r="I54" s="601">
        <v>7013</v>
      </c>
      <c r="J54" s="603">
        <f t="shared" si="14"/>
        <v>7311.6467158840333</v>
      </c>
      <c r="K54" s="608">
        <v>915</v>
      </c>
      <c r="L54" s="614">
        <v>1</v>
      </c>
    </row>
    <row r="55" spans="2:12" x14ac:dyDescent="0.25">
      <c r="B55" s="590"/>
      <c r="C55" s="607">
        <v>735</v>
      </c>
      <c r="D55" s="607">
        <f t="shared" si="12"/>
        <v>0.80327868852459017</v>
      </c>
      <c r="E55" s="606">
        <v>4595559304</v>
      </c>
      <c r="F55" s="611">
        <f t="shared" si="13"/>
        <v>5022469.1846994534</v>
      </c>
      <c r="G55" s="593">
        <v>6249</v>
      </c>
      <c r="H55" s="649">
        <f t="shared" si="15"/>
        <v>6110317274.4769821</v>
      </c>
      <c r="I55" s="616">
        <v>6249</v>
      </c>
      <c r="J55" s="606">
        <f t="shared" si="14"/>
        <v>8313.3568360231056</v>
      </c>
      <c r="K55" s="609">
        <v>915</v>
      </c>
      <c r="L55" s="615">
        <v>2</v>
      </c>
    </row>
    <row r="56" spans="2:12" x14ac:dyDescent="0.25">
      <c r="B56" s="590"/>
      <c r="C56" s="305">
        <v>882</v>
      </c>
      <c r="D56" s="305">
        <f t="shared" si="12"/>
        <v>0.80327868852459017</v>
      </c>
      <c r="E56" s="603">
        <v>5263581584</v>
      </c>
      <c r="F56" s="605">
        <f t="shared" si="13"/>
        <v>4793790.1493624775</v>
      </c>
      <c r="G56" s="569">
        <v>5965</v>
      </c>
      <c r="H56" s="649">
        <f t="shared" si="15"/>
        <v>7211350868.8080177</v>
      </c>
      <c r="I56" s="601">
        <v>5965</v>
      </c>
      <c r="J56" s="603">
        <f t="shared" si="14"/>
        <v>8176.1347718911766</v>
      </c>
      <c r="K56" s="608">
        <v>1098</v>
      </c>
      <c r="L56" s="614">
        <v>2</v>
      </c>
    </row>
    <row r="57" spans="2:12" x14ac:dyDescent="0.25">
      <c r="B57" s="590"/>
      <c r="C57" s="607">
        <v>882</v>
      </c>
      <c r="D57" s="607">
        <f t="shared" si="12"/>
        <v>0.80327868852459017</v>
      </c>
      <c r="E57" s="606">
        <v>5900605150</v>
      </c>
      <c r="F57" s="611">
        <f t="shared" si="13"/>
        <v>5373957.3315118393</v>
      </c>
      <c r="G57" s="593">
        <v>6686</v>
      </c>
      <c r="H57" s="649">
        <f t="shared" si="15"/>
        <v>6327842542.845356</v>
      </c>
      <c r="I57" s="616">
        <v>6686</v>
      </c>
      <c r="J57" s="606">
        <f t="shared" si="14"/>
        <v>7174.4246517521042</v>
      </c>
      <c r="K57" s="609">
        <v>1098</v>
      </c>
      <c r="L57" s="615">
        <v>1</v>
      </c>
    </row>
    <row r="58" spans="2:12" x14ac:dyDescent="0.25">
      <c r="B58" s="590"/>
      <c r="C58" s="305">
        <v>1177</v>
      </c>
      <c r="D58" s="305">
        <f t="shared" si="12"/>
        <v>0.80341296928327643</v>
      </c>
      <c r="E58" s="603">
        <v>7073906463</v>
      </c>
      <c r="F58" s="605">
        <f t="shared" si="13"/>
        <v>4828605.0941979522</v>
      </c>
      <c r="G58" s="569">
        <v>6012</v>
      </c>
      <c r="H58" s="649">
        <f t="shared" si="15"/>
        <v>9377142346.4355125</v>
      </c>
      <c r="I58" s="601">
        <v>6012</v>
      </c>
      <c r="J58" s="603">
        <f t="shared" si="14"/>
        <v>7966.985850837309</v>
      </c>
      <c r="K58" s="608">
        <v>1465</v>
      </c>
      <c r="L58" s="614">
        <v>2</v>
      </c>
    </row>
    <row r="59" spans="2:12" x14ac:dyDescent="0.25">
      <c r="B59" s="590"/>
      <c r="C59" s="607">
        <v>1177</v>
      </c>
      <c r="D59" s="607">
        <f t="shared" si="12"/>
        <v>0.80341296928327643</v>
      </c>
      <c r="E59" s="606">
        <v>6869314953</v>
      </c>
      <c r="F59" s="611">
        <f t="shared" si="13"/>
        <v>4688952.1863481225</v>
      </c>
      <c r="G59" s="593">
        <v>5838</v>
      </c>
      <c r="H59" s="649">
        <f t="shared" si="15"/>
        <v>9377142346.4355125</v>
      </c>
      <c r="I59" s="616">
        <v>5838</v>
      </c>
      <c r="J59" s="606">
        <f t="shared" si="14"/>
        <v>7966.985850837309</v>
      </c>
      <c r="K59" s="609">
        <v>1465</v>
      </c>
      <c r="L59" s="615">
        <v>2</v>
      </c>
    </row>
    <row r="60" spans="2:12" x14ac:dyDescent="0.25">
      <c r="B60" s="590"/>
      <c r="C60" s="305">
        <v>1691</v>
      </c>
      <c r="D60" s="305">
        <f t="shared" si="12"/>
        <v>0.80332541567695959</v>
      </c>
      <c r="E60" s="603">
        <v>9143845570</v>
      </c>
      <c r="F60" s="605">
        <f t="shared" si="13"/>
        <v>4343869.6294536814</v>
      </c>
      <c r="G60" s="569">
        <v>5406</v>
      </c>
      <c r="H60" s="649">
        <f t="shared" si="15"/>
        <v>13053810834.707153</v>
      </c>
      <c r="I60" s="601">
        <v>5406</v>
      </c>
      <c r="J60" s="603">
        <f t="shared" si="14"/>
        <v>7719.5806237180095</v>
      </c>
      <c r="K60" s="608">
        <v>2105</v>
      </c>
      <c r="L60" s="614">
        <v>2</v>
      </c>
    </row>
    <row r="61" spans="2:12" x14ac:dyDescent="0.25">
      <c r="B61" s="590"/>
      <c r="C61" s="607">
        <v>500</v>
      </c>
      <c r="D61" s="607">
        <f t="shared" si="12"/>
        <v>0.8038585209003215</v>
      </c>
      <c r="E61" s="606">
        <v>5006979695</v>
      </c>
      <c r="F61" s="611">
        <f t="shared" si="13"/>
        <v>8049806.5836012866</v>
      </c>
      <c r="G61" s="593">
        <v>10014</v>
      </c>
      <c r="H61" s="649">
        <f t="shared" si="15"/>
        <v>4307705852.1320343</v>
      </c>
      <c r="I61" s="616">
        <v>10014</v>
      </c>
      <c r="J61" s="606">
        <f>H61/C61/1000</f>
        <v>8615.4117042640682</v>
      </c>
      <c r="K61" s="609">
        <v>622</v>
      </c>
      <c r="L61" s="615">
        <v>2</v>
      </c>
    </row>
    <row r="62" spans="2:12" x14ac:dyDescent="0.25">
      <c r="B62" s="590"/>
      <c r="C62" s="305">
        <v>353</v>
      </c>
      <c r="D62" s="305">
        <f t="shared" si="12"/>
        <v>0.80410022779043278</v>
      </c>
      <c r="E62" s="603">
        <v>2005393000</v>
      </c>
      <c r="F62" s="605">
        <f t="shared" si="13"/>
        <v>4568093.3940774491</v>
      </c>
      <c r="G62" s="569">
        <v>5681</v>
      </c>
      <c r="H62" s="649">
        <f t="shared" si="15"/>
        <v>2791122031.598875</v>
      </c>
      <c r="I62" s="601">
        <v>5681</v>
      </c>
      <c r="J62" s="603">
        <f>H62/C62/1000</f>
        <v>7906.8612793169268</v>
      </c>
      <c r="K62" s="608">
        <v>439</v>
      </c>
      <c r="L62" s="614">
        <v>1</v>
      </c>
    </row>
    <row r="64" spans="2:12" x14ac:dyDescent="0.25">
      <c r="I64" s="589" t="s">
        <v>477</v>
      </c>
      <c r="J64" s="589" t="s">
        <v>478</v>
      </c>
    </row>
    <row r="65" spans="8:10" x14ac:dyDescent="0.25">
      <c r="H65" s="588" t="s">
        <v>481</v>
      </c>
      <c r="I65" s="592">
        <f>(SUM(I50:I54,I57,I62))/7</f>
        <v>6796.4285714285716</v>
      </c>
      <c r="J65" s="592">
        <f>SUM(J50:J54,J57,J62)/7</f>
        <v>7558.4621158630825</v>
      </c>
    </row>
    <row r="66" spans="8:10" x14ac:dyDescent="0.25">
      <c r="H66" s="588" t="s">
        <v>482</v>
      </c>
      <c r="I66" s="591">
        <f>(SUM(I55:I56,I58:I61))/6</f>
        <v>6580.666666666667</v>
      </c>
      <c r="J66" s="591">
        <f>(J55+J56+J58+J59+J60+J61)/6</f>
        <v>8126.4092729284966</v>
      </c>
    </row>
  </sheetData>
  <mergeCells count="1">
    <mergeCell ref="B48:L48"/>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R58"/>
  <sheetViews>
    <sheetView topLeftCell="A11" zoomScale="70" zoomScaleNormal="70" workbookViewId="0">
      <selection activeCell="G41" sqref="G41"/>
    </sheetView>
  </sheetViews>
  <sheetFormatPr defaultRowHeight="15" x14ac:dyDescent="0.25"/>
  <cols>
    <col min="3" max="3" width="37.85546875" customWidth="1"/>
    <col min="4" max="4" width="8.28515625" customWidth="1"/>
    <col min="5" max="5" width="10.5703125" customWidth="1"/>
    <col min="6" max="6" width="18.85546875" customWidth="1"/>
    <col min="7" max="7" width="18.140625" customWidth="1"/>
    <col min="8" max="8" width="16.5703125" customWidth="1"/>
    <col min="9" max="9" width="16.42578125" customWidth="1"/>
    <col min="10" max="10" width="15.85546875" customWidth="1"/>
    <col min="11" max="11" width="17.28515625" customWidth="1"/>
    <col min="12" max="12" width="16.85546875" customWidth="1"/>
    <col min="13" max="13" width="18" customWidth="1"/>
    <col min="14" max="14" width="17.5703125" customWidth="1"/>
    <col min="15" max="15" width="18.85546875" customWidth="1"/>
    <col min="16" max="16" width="17.85546875" customWidth="1"/>
    <col min="17" max="17" width="19.140625" customWidth="1"/>
    <col min="18" max="18" width="18.28515625" customWidth="1"/>
  </cols>
  <sheetData>
    <row r="1" spans="1:11" ht="21" x14ac:dyDescent="0.35">
      <c r="A1" s="79" t="s">
        <v>422</v>
      </c>
    </row>
    <row r="2" spans="1:11" x14ac:dyDescent="0.25">
      <c r="A2" s="128" t="s">
        <v>423</v>
      </c>
    </row>
    <row r="3" spans="1:11" x14ac:dyDescent="0.25">
      <c r="A3" s="128"/>
    </row>
    <row r="6" spans="1:11" x14ac:dyDescent="0.25">
      <c r="H6" s="6"/>
      <c r="I6" s="6"/>
      <c r="J6" s="6"/>
      <c r="K6" s="6"/>
    </row>
    <row r="7" spans="1:11" x14ac:dyDescent="0.25">
      <c r="C7" s="636" t="s">
        <v>424</v>
      </c>
      <c r="D7" s="6"/>
      <c r="E7" s="6"/>
      <c r="F7" s="769" t="s">
        <v>425</v>
      </c>
      <c r="G7" s="769" t="s">
        <v>426</v>
      </c>
      <c r="H7" s="769" t="s">
        <v>427</v>
      </c>
      <c r="I7" s="769" t="s">
        <v>428</v>
      </c>
      <c r="J7" s="769" t="s">
        <v>429</v>
      </c>
    </row>
    <row r="8" spans="1:11" x14ac:dyDescent="0.25">
      <c r="C8" s="73" t="s">
        <v>430</v>
      </c>
      <c r="F8" s="71">
        <f>F14/(SUM(D9:D13)+100%)</f>
        <v>3209.9794659372046</v>
      </c>
      <c r="G8" s="71">
        <f>G14/(SUM(D9:D13)+100%)</f>
        <v>3108.0742849236372</v>
      </c>
      <c r="H8" s="71">
        <f>H14/(SUM(D9:D13)+100%)</f>
        <v>3569.8908523782115</v>
      </c>
      <c r="I8" s="71">
        <f>I14/(SUM(D9:D13)+100%)</f>
        <v>3838.1344883933821</v>
      </c>
      <c r="J8" s="71">
        <f>J14/(SUM(D9:D13)+100%)</f>
        <v>4035.2142168166883</v>
      </c>
    </row>
    <row r="9" spans="1:11" x14ac:dyDescent="0.25">
      <c r="C9" s="619" t="s">
        <v>382</v>
      </c>
      <c r="D9" s="620">
        <f>IF(Equipment!E5="no",35.3909465020485%,0)</f>
        <v>0.35390946502048498</v>
      </c>
      <c r="E9" s="621" t="s">
        <v>383</v>
      </c>
      <c r="F9" s="622">
        <f>D9*$F$8</f>
        <v>1136.0421155165782</v>
      </c>
      <c r="G9" s="622">
        <f>D9*G$8</f>
        <v>1099.9769074212509</v>
      </c>
      <c r="H9" s="622">
        <f>D9*H$8</f>
        <v>1263.4181617466959</v>
      </c>
      <c r="I9" s="622">
        <f>D9*I$8</f>
        <v>1358.3521234639747</v>
      </c>
      <c r="J9" s="622">
        <f>D9*$J$8</f>
        <v>1428.1005047166495</v>
      </c>
    </row>
    <row r="10" spans="1:11" x14ac:dyDescent="0.25">
      <c r="C10" s="29" t="s">
        <v>384</v>
      </c>
      <c r="D10" s="149">
        <v>0.21399177670498548</v>
      </c>
      <c r="E10" t="s">
        <v>383</v>
      </c>
      <c r="F10" s="77">
        <f>D10*$F$8</f>
        <v>686.90920910242289</v>
      </c>
      <c r="G10" s="77">
        <f>D10*G$8</f>
        <v>665.10233836188638</v>
      </c>
      <c r="H10" s="77">
        <f>D10*H$8</f>
        <v>763.92728614328848</v>
      </c>
      <c r="I10" s="77">
        <f>D10*I$8</f>
        <v>821.32921840398035</v>
      </c>
      <c r="J10" s="628">
        <f t="shared" ref="J10:J12" si="0">D10*$J$8</f>
        <v>863.5026596418196</v>
      </c>
    </row>
    <row r="11" spans="1:11" x14ac:dyDescent="0.25">
      <c r="C11" s="619" t="s">
        <v>385</v>
      </c>
      <c r="D11" s="623">
        <v>5.3497942387202159E-2</v>
      </c>
      <c r="E11" s="621" t="s">
        <v>383</v>
      </c>
      <c r="F11" s="622">
        <f>D11*$F$8</f>
        <v>171.72729653281053</v>
      </c>
      <c r="G11" s="622">
        <f>D11*G$8</f>
        <v>166.2755790299893</v>
      </c>
      <c r="H11" s="622">
        <f>D11*H$8</f>
        <v>190.98181514912957</v>
      </c>
      <c r="I11" s="622">
        <f>D11*I$8</f>
        <v>205.3322977344028</v>
      </c>
      <c r="J11" s="622">
        <f t="shared" si="0"/>
        <v>215.87565769127826</v>
      </c>
    </row>
    <row r="12" spans="1:11" x14ac:dyDescent="0.25">
      <c r="C12" s="29" t="s">
        <v>387</v>
      </c>
      <c r="D12" s="625">
        <v>2.469135086664126E-2</v>
      </c>
      <c r="E12" t="s">
        <v>383</v>
      </c>
      <c r="F12" s="77">
        <f>D12*$F$8</f>
        <v>79.258729268169247</v>
      </c>
      <c r="G12" s="77">
        <f>D12*G$8</f>
        <v>76.74255268863466</v>
      </c>
      <c r="H12" s="77">
        <f>D12*H$8</f>
        <v>88.145427591683458</v>
      </c>
      <c r="I12" s="77">
        <f>D12*I$8</f>
        <v>94.768725326277647</v>
      </c>
      <c r="J12" s="628">
        <f t="shared" si="0"/>
        <v>99.634890049479864</v>
      </c>
    </row>
    <row r="13" spans="1:11" x14ac:dyDescent="0.25">
      <c r="C13" s="619" t="s">
        <v>391</v>
      </c>
      <c r="D13" s="623">
        <v>5.0000000000000001E-3</v>
      </c>
      <c r="E13" s="621" t="s">
        <v>383</v>
      </c>
      <c r="F13" s="622">
        <f>D13*$F$8</f>
        <v>16.049897329686022</v>
      </c>
      <c r="G13" s="622">
        <f>D13*G$8</f>
        <v>15.540371424618186</v>
      </c>
      <c r="H13" s="622">
        <f>D13*H$8</f>
        <v>17.849454261891058</v>
      </c>
      <c r="I13" s="622">
        <f>D13*I$8</f>
        <v>19.19067244196691</v>
      </c>
      <c r="J13" s="622">
        <f>D13*$J$8</f>
        <v>20.176071084083443</v>
      </c>
    </row>
    <row r="14" spans="1:11" x14ac:dyDescent="0.25">
      <c r="C14" s="73" t="s">
        <v>431</v>
      </c>
      <c r="D14" s="217"/>
      <c r="E14" s="217"/>
      <c r="F14" s="626">
        <f>F17/(D15+D16+100%)</f>
        <v>5299.966713686872</v>
      </c>
      <c r="G14" s="626">
        <f>G17/(D15+D16+100%)</f>
        <v>5131.7120338500172</v>
      </c>
      <c r="H14" s="626">
        <f>H17/(D15+D16+100%)</f>
        <v>5894.2129972709008</v>
      </c>
      <c r="I14" s="626">
        <f>I17/(D15+D16+100%)</f>
        <v>6337.107525763985</v>
      </c>
      <c r="J14" s="704">
        <f>'Cost Analysis (Ref. Interview)'!H3</f>
        <v>6662.5039999999999</v>
      </c>
    </row>
    <row r="15" spans="1:11" x14ac:dyDescent="0.25">
      <c r="C15" s="619" t="s">
        <v>395</v>
      </c>
      <c r="D15" s="620">
        <v>0.19235306721402026</v>
      </c>
      <c r="E15" s="621" t="s">
        <v>396</v>
      </c>
      <c r="F15" s="624">
        <f>$D$15*F14</f>
        <v>1019.464853509881</v>
      </c>
      <c r="G15" s="624">
        <f>$D$15*G14</f>
        <v>987.10054977014897</v>
      </c>
      <c r="H15" s="624">
        <f>$D$15*H14</f>
        <v>1133.7699488378014</v>
      </c>
      <c r="I15" s="624">
        <f>$D$15*I14</f>
        <v>1218.9620698457534</v>
      </c>
      <c r="J15" s="624">
        <f>$D$15*J14</f>
        <v>1281.5530797256788</v>
      </c>
    </row>
    <row r="16" spans="1:11" x14ac:dyDescent="0.25">
      <c r="C16" s="29" t="s">
        <v>398</v>
      </c>
      <c r="D16" s="149">
        <v>0.09</v>
      </c>
      <c r="E16" t="s">
        <v>396</v>
      </c>
      <c r="F16" s="74">
        <f>$D$16*F14</f>
        <v>476.99700423181844</v>
      </c>
      <c r="G16" s="77">
        <f>$D$16*G14</f>
        <v>461.8540830465015</v>
      </c>
      <c r="H16" s="77">
        <f>$D$16*H14</f>
        <v>530.47916975438102</v>
      </c>
      <c r="I16" s="77">
        <f>$D$16*I14</f>
        <v>570.33967731875862</v>
      </c>
      <c r="J16" s="74">
        <f>$D$16*J14</f>
        <v>599.62536</v>
      </c>
    </row>
    <row r="17" spans="3:18" x14ac:dyDescent="0.25">
      <c r="C17" s="73" t="s">
        <v>432</v>
      </c>
      <c r="F17" s="646">
        <f>'CAPEX1-Al'!I65</f>
        <v>6796.4285714285716</v>
      </c>
      <c r="G17" s="646">
        <f>'CAPEX1-Al'!I66</f>
        <v>6580.666666666667</v>
      </c>
      <c r="H17" s="646">
        <f>'CAPEX1-Al'!J65</f>
        <v>7558.4621158630825</v>
      </c>
      <c r="I17" s="646">
        <f>'CAPEX1-Al'!J66</f>
        <v>8126.4092729284966</v>
      </c>
      <c r="J17" s="646">
        <f>SUM(J14:J16)</f>
        <v>8543.6824397256787</v>
      </c>
    </row>
    <row r="19" spans="3:18" x14ac:dyDescent="0.25">
      <c r="C19" s="627" t="s">
        <v>433</v>
      </c>
      <c r="D19" s="663">
        <f>'Cost Analysis (Ref. Interview)'!H2</f>
        <v>200000</v>
      </c>
      <c r="F19" s="769" t="s">
        <v>425</v>
      </c>
      <c r="G19" s="769" t="s">
        <v>426</v>
      </c>
      <c r="H19" s="769" t="s">
        <v>427</v>
      </c>
      <c r="I19" s="769" t="s">
        <v>428</v>
      </c>
      <c r="J19" s="769" t="s">
        <v>429</v>
      </c>
    </row>
    <row r="20" spans="3:18" x14ac:dyDescent="0.25">
      <c r="C20" s="73" t="s">
        <v>381</v>
      </c>
      <c r="F20" s="71">
        <f>F8*D19</f>
        <v>641995893.18744087</v>
      </c>
      <c r="G20" s="71">
        <f>G8*D19</f>
        <v>621614856.98472738</v>
      </c>
      <c r="H20" s="71">
        <f>H8*D19</f>
        <v>713978170.47564232</v>
      </c>
      <c r="I20" s="71">
        <f>I8*D19</f>
        <v>767626897.67867637</v>
      </c>
      <c r="J20" s="71">
        <f>J8*D19</f>
        <v>807042843.36333764</v>
      </c>
    </row>
    <row r="21" spans="3:18" x14ac:dyDescent="0.25">
      <c r="C21" s="619" t="s">
        <v>382</v>
      </c>
      <c r="D21" s="621"/>
      <c r="E21" s="621"/>
      <c r="F21" s="622">
        <f>F9*D19</f>
        <v>227208423.10331562</v>
      </c>
      <c r="G21" s="622">
        <f>G9*D19</f>
        <v>219995381.48425019</v>
      </c>
      <c r="H21" s="622">
        <f>H9*D19</f>
        <v>252683632.34933919</v>
      </c>
      <c r="I21" s="622">
        <f>I9*D19</f>
        <v>271670424.69279498</v>
      </c>
      <c r="J21" s="622">
        <f>J9*D19</f>
        <v>285620100.94332993</v>
      </c>
    </row>
    <row r="22" spans="3:18" x14ac:dyDescent="0.25">
      <c r="C22" s="29" t="s">
        <v>384</v>
      </c>
      <c r="F22" s="630">
        <f>F10*D19</f>
        <v>137381841.82048458</v>
      </c>
      <c r="G22" s="631">
        <f>G10*D19</f>
        <v>133020467.67237727</v>
      </c>
      <c r="H22" s="630">
        <f>H10*D19</f>
        <v>152785457.22865769</v>
      </c>
      <c r="I22" s="630">
        <f>I10*D19</f>
        <v>164265843.68079606</v>
      </c>
      <c r="J22" s="630">
        <f>J10*D19</f>
        <v>172700531.92836392</v>
      </c>
    </row>
    <row r="23" spans="3:18" x14ac:dyDescent="0.25">
      <c r="C23" s="619" t="s">
        <v>385</v>
      </c>
      <c r="D23" s="621"/>
      <c r="E23" s="621"/>
      <c r="F23" s="632">
        <f>F11*D19</f>
        <v>34345459.306562103</v>
      </c>
      <c r="G23" s="633">
        <f>G11*D19</f>
        <v>33255115.80599786</v>
      </c>
      <c r="H23" s="632">
        <f>H11*D19</f>
        <v>38196363.029825918</v>
      </c>
      <c r="I23" s="632">
        <f>I11*D19</f>
        <v>41066459.546880558</v>
      </c>
      <c r="J23" s="632">
        <f>J11*D19</f>
        <v>43175131.538255654</v>
      </c>
    </row>
    <row r="24" spans="3:18" x14ac:dyDescent="0.25">
      <c r="C24" s="29" t="s">
        <v>387</v>
      </c>
      <c r="F24" s="630">
        <f>F12*D19</f>
        <v>15851745.853633849</v>
      </c>
      <c r="G24" s="631">
        <f>G12*D19</f>
        <v>15348510.537726931</v>
      </c>
      <c r="H24" s="630">
        <f>H12*D19</f>
        <v>17629085.518336691</v>
      </c>
      <c r="I24" s="630">
        <f>I12*D19</f>
        <v>18953745.06525553</v>
      </c>
      <c r="J24" s="630">
        <f>J12*D19</f>
        <v>19926978.009895973</v>
      </c>
    </row>
    <row r="25" spans="3:18" x14ac:dyDescent="0.25">
      <c r="C25" s="619" t="s">
        <v>391</v>
      </c>
      <c r="D25" s="621"/>
      <c r="E25" s="621"/>
      <c r="F25" s="633">
        <f>F13*D19</f>
        <v>3209979.4659372042</v>
      </c>
      <c r="G25" s="633">
        <f>G13*D19</f>
        <v>3108074.2849236373</v>
      </c>
      <c r="H25" s="633">
        <f>H13*D19</f>
        <v>3569890.8523782114</v>
      </c>
      <c r="I25" s="633">
        <f>I13*D19</f>
        <v>3838134.4883933822</v>
      </c>
      <c r="J25" s="633">
        <f>J13*D19</f>
        <v>4035214.2168166884</v>
      </c>
    </row>
    <row r="26" spans="3:18" x14ac:dyDescent="0.25">
      <c r="C26" s="73" t="s">
        <v>393</v>
      </c>
      <c r="F26" s="629">
        <f>F14*D19</f>
        <v>1059993342.7373744</v>
      </c>
      <c r="G26" s="629">
        <f>G14*D19</f>
        <v>1026342406.7700034</v>
      </c>
      <c r="H26" s="629">
        <f>H14*D19</f>
        <v>1178842599.4541802</v>
      </c>
      <c r="I26" s="629">
        <f>I14*D19</f>
        <v>1267421505.152797</v>
      </c>
      <c r="J26" s="629">
        <f>J14*D19</f>
        <v>1332500800</v>
      </c>
    </row>
    <row r="27" spans="3:18" x14ac:dyDescent="0.25">
      <c r="C27" s="619" t="s">
        <v>395</v>
      </c>
      <c r="D27" s="621"/>
      <c r="E27" s="621"/>
      <c r="F27" s="622">
        <f>F15*D19</f>
        <v>203892970.70197621</v>
      </c>
      <c r="G27" s="622">
        <f>G15*D19</f>
        <v>197420109.9540298</v>
      </c>
      <c r="H27" s="622">
        <f>H15*D19</f>
        <v>226753989.76756027</v>
      </c>
      <c r="I27" s="622">
        <f>I15*D19</f>
        <v>243792413.96915066</v>
      </c>
      <c r="J27" s="622">
        <f>J15*D19</f>
        <v>256310615.94513577</v>
      </c>
    </row>
    <row r="28" spans="3:18" x14ac:dyDescent="0.25">
      <c r="C28" s="29" t="s">
        <v>398</v>
      </c>
      <c r="F28" s="628">
        <f>F16*D19</f>
        <v>95399400.846363693</v>
      </c>
      <c r="G28" s="631">
        <f>G16*D19</f>
        <v>92370816.6093003</v>
      </c>
      <c r="H28" s="628">
        <f>H16*D19</f>
        <v>106095833.95087621</v>
      </c>
      <c r="I28" s="628">
        <f>I16*D19</f>
        <v>114067935.46375172</v>
      </c>
      <c r="J28" s="628">
        <f>J16*D19</f>
        <v>119925072</v>
      </c>
    </row>
    <row r="29" spans="3:18" x14ac:dyDescent="0.25">
      <c r="C29" s="73" t="s">
        <v>401</v>
      </c>
      <c r="F29" s="647">
        <f>F17*D19</f>
        <v>1359285714.2857144</v>
      </c>
      <c r="G29" s="648">
        <f>G17*D19</f>
        <v>1316133333.3333335</v>
      </c>
      <c r="H29" s="647">
        <f>H17*D19</f>
        <v>1511692423.1726165</v>
      </c>
      <c r="I29" s="647">
        <f>I17*D19</f>
        <v>1625281854.5856993</v>
      </c>
      <c r="J29" s="647">
        <f>J17*D19</f>
        <v>1708736487.9451358</v>
      </c>
    </row>
    <row r="32" spans="3:18" ht="18.75" x14ac:dyDescent="0.3">
      <c r="F32" s="666" t="s">
        <v>434</v>
      </c>
      <c r="G32" s="813" t="s">
        <v>435</v>
      </c>
      <c r="H32" s="813"/>
      <c r="I32" s="813"/>
      <c r="J32" s="813"/>
      <c r="K32" s="813"/>
      <c r="L32" s="813"/>
      <c r="M32" s="813"/>
      <c r="N32" s="813"/>
      <c r="O32" s="813"/>
      <c r="P32" s="813"/>
      <c r="Q32" s="813"/>
      <c r="R32" s="813"/>
    </row>
    <row r="33" spans="3:18" x14ac:dyDescent="0.25">
      <c r="F33" s="812" t="s">
        <v>436</v>
      </c>
      <c r="G33" s="812"/>
      <c r="H33" s="812"/>
      <c r="I33" s="812"/>
      <c r="J33" s="812"/>
      <c r="K33" s="812"/>
      <c r="L33" s="812"/>
      <c r="M33" s="812"/>
      <c r="N33" s="812"/>
      <c r="O33" s="812"/>
      <c r="P33" s="812"/>
      <c r="Q33" s="812"/>
      <c r="R33" s="812"/>
    </row>
    <row r="34" spans="3:18" x14ac:dyDescent="0.25">
      <c r="C34" s="636" t="s">
        <v>437</v>
      </c>
      <c r="D34" s="6"/>
      <c r="E34" s="6"/>
      <c r="F34" s="665">
        <f>'Cost Analysis (Ref. Interview)'!D2</f>
        <v>160000</v>
      </c>
      <c r="G34" s="662">
        <f>'CAPEX1-Si'!B32</f>
        <v>3416.4</v>
      </c>
      <c r="H34" s="662">
        <f>'CAPEX1-Si'!B33</f>
        <v>17082</v>
      </c>
      <c r="I34" s="662">
        <f>'CAPEX1-Si'!B34</f>
        <v>46463.040000000001</v>
      </c>
      <c r="J34" s="662">
        <f>'CAPEX1-Si'!B35</f>
        <v>66961.440000000002</v>
      </c>
      <c r="K34" s="662">
        <f>'CAPEX1-Si'!B36</f>
        <v>102492</v>
      </c>
      <c r="L34" s="662">
        <f>'CAPEX1-Si'!B37</f>
        <v>159887.51999999999</v>
      </c>
      <c r="M34" s="662">
        <f>'CAPEX1-Si'!B38</f>
        <v>288344.15999999997</v>
      </c>
      <c r="N34" s="662">
        <f>'CAPEX1-Si'!B39</f>
        <v>457797.6</v>
      </c>
      <c r="O34" s="662">
        <f>'CAPEX1-Si'!B40</f>
        <v>532958.4</v>
      </c>
      <c r="P34" s="662">
        <f>'CAPEX1-Si'!B41</f>
        <v>625201.19999999995</v>
      </c>
      <c r="Q34" s="662">
        <f>'CAPEX1-Si'!B42</f>
        <v>819936</v>
      </c>
      <c r="R34" s="662">
        <f>'CAPEX1-Si'!B43</f>
        <v>901929.6</v>
      </c>
    </row>
    <row r="35" spans="3:18" x14ac:dyDescent="0.25">
      <c r="C35" s="73" t="s">
        <v>381</v>
      </c>
      <c r="F35" s="74">
        <f t="shared" ref="F35:R35" si="1">F41/(100%+$D$36+$D$37+$D$38+$D$39+$D$40)</f>
        <v>807042843.36333776</v>
      </c>
      <c r="G35" s="74">
        <f>G41/(100%+$D$36+$D$37+$D$38+$D$39+$D$40)</f>
        <v>28345714.632134713</v>
      </c>
      <c r="H35" s="74">
        <f t="shared" si="1"/>
        <v>113483618.29565591</v>
      </c>
      <c r="I35" s="74">
        <f t="shared" si="1"/>
        <v>270293105.29783511</v>
      </c>
      <c r="J35" s="74">
        <f t="shared" si="1"/>
        <v>371494339.72166103</v>
      </c>
      <c r="K35" s="74">
        <f t="shared" si="1"/>
        <v>538443586.51772225</v>
      </c>
      <c r="L35" s="74">
        <f t="shared" si="1"/>
        <v>794140350.76199877</v>
      </c>
      <c r="M35" s="74">
        <f t="shared" si="1"/>
        <v>1331270884.266624</v>
      </c>
      <c r="N35" s="74">
        <f t="shared" si="1"/>
        <v>1998151655.824589</v>
      </c>
      <c r="O35" s="74">
        <f t="shared" si="1"/>
        <v>2284102616.0190053</v>
      </c>
      <c r="P35" s="74">
        <f t="shared" si="1"/>
        <v>2628821014.3921704</v>
      </c>
      <c r="Q35" s="74">
        <f t="shared" si="1"/>
        <v>3338641433.8685908</v>
      </c>
      <c r="R35" s="74">
        <f t="shared" si="1"/>
        <v>3631558729.244916</v>
      </c>
    </row>
    <row r="36" spans="3:18" x14ac:dyDescent="0.25">
      <c r="C36" s="619" t="s">
        <v>382</v>
      </c>
      <c r="D36" s="620">
        <f>IF(Equipment!E5="no",35.3909465020485%,0)</f>
        <v>0.35390946502048498</v>
      </c>
      <c r="E36" s="621" t="s">
        <v>383</v>
      </c>
      <c r="F36" s="74">
        <f t="shared" ref="F36:R36" si="2">F35*$D$36</f>
        <v>285620100.94332993</v>
      </c>
      <c r="G36" s="74">
        <f t="shared" si="2"/>
        <v>10031816.701082129</v>
      </c>
      <c r="H36" s="74">
        <f t="shared" si="2"/>
        <v>40162926.639604501</v>
      </c>
      <c r="I36" s="74">
        <f t="shared" si="2"/>
        <v>95659288.294682443</v>
      </c>
      <c r="J36" s="74">
        <f t="shared" si="2"/>
        <v>131475363.02903137</v>
      </c>
      <c r="K36" s="74">
        <f t="shared" si="2"/>
        <v>190560281.64819831</v>
      </c>
      <c r="L36" s="74">
        <f t="shared" si="2"/>
        <v>281053786.68935931</v>
      </c>
      <c r="M36" s="74">
        <f t="shared" si="2"/>
        <v>471149366.44814885</v>
      </c>
      <c r="N36" s="74">
        <f t="shared" si="2"/>
        <v>707164783.54267657</v>
      </c>
      <c r="O36" s="74">
        <f t="shared" si="2"/>
        <v>808365534.88717639</v>
      </c>
      <c r="P36" s="74">
        <f t="shared" si="2"/>
        <v>930364638.83814168</v>
      </c>
      <c r="Q36" s="74">
        <f t="shared" si="2"/>
        <v>1181576803.7556579</v>
      </c>
      <c r="R36" s="74">
        <f t="shared" si="2"/>
        <v>1285243007.0575404</v>
      </c>
    </row>
    <row r="37" spans="3:18" x14ac:dyDescent="0.25">
      <c r="C37" s="29" t="s">
        <v>384</v>
      </c>
      <c r="D37" s="149">
        <v>0.21399177670498548</v>
      </c>
      <c r="E37" t="s">
        <v>383</v>
      </c>
      <c r="F37" s="74">
        <f t="shared" ref="F37:R37" si="3">F35*$D$37</f>
        <v>172700531.92836395</v>
      </c>
      <c r="G37" s="74">
        <f>G35*$D$37</f>
        <v>6065749.8361030109</v>
      </c>
      <c r="H37" s="74">
        <f t="shared" si="3"/>
        <v>24284561.105997805</v>
      </c>
      <c r="I37" s="74">
        <f t="shared" si="3"/>
        <v>57840501.833791457</v>
      </c>
      <c r="J37" s="74">
        <f t="shared" si="3"/>
        <v>79496733.792883709</v>
      </c>
      <c r="K37" s="74">
        <f t="shared" si="3"/>
        <v>115222499.73433195</v>
      </c>
      <c r="L37" s="74">
        <f t="shared" si="3"/>
        <v>169939504.61268049</v>
      </c>
      <c r="M37" s="74">
        <f t="shared" si="3"/>
        <v>284881021.79983199</v>
      </c>
      <c r="N37" s="74">
        <f t="shared" si="3"/>
        <v>427588022.95591247</v>
      </c>
      <c r="O37" s="74">
        <f t="shared" si="3"/>
        <v>488779176.97841215</v>
      </c>
      <c r="P37" s="74">
        <f t="shared" si="3"/>
        <v>562546079.50918281</v>
      </c>
      <c r="Q37" s="74">
        <f t="shared" si="3"/>
        <v>714441812.21442008</v>
      </c>
      <c r="R37" s="74">
        <f t="shared" si="3"/>
        <v>777123704.67961884</v>
      </c>
    </row>
    <row r="38" spans="3:18" x14ac:dyDescent="0.25">
      <c r="C38" s="619" t="s">
        <v>385</v>
      </c>
      <c r="D38" s="623">
        <v>5.3497942387202201E-2</v>
      </c>
      <c r="E38" s="621" t="s">
        <v>383</v>
      </c>
      <c r="F38" s="74">
        <f t="shared" ref="F38:R38" si="4">F35*$D$38</f>
        <v>43175131.538255692</v>
      </c>
      <c r="G38" s="74">
        <f>G35*$D$38</f>
        <v>1516437.4083140173</v>
      </c>
      <c r="H38" s="74">
        <f t="shared" si="4"/>
        <v>6071140.0734722456</v>
      </c>
      <c r="I38" s="74">
        <f t="shared" si="4"/>
        <v>14460124.974881561</v>
      </c>
      <c r="J38" s="74">
        <f t="shared" si="4"/>
        <v>19874182.783601142</v>
      </c>
      <c r="K38" s="74">
        <f t="shared" si="4"/>
        <v>28805623.970283628</v>
      </c>
      <c r="L38" s="74">
        <f t="shared" si="4"/>
        <v>42484874.732417956</v>
      </c>
      <c r="M38" s="74">
        <f t="shared" si="4"/>
        <v>71220253.068255574</v>
      </c>
      <c r="N38" s="74">
        <f t="shared" si="4"/>
        <v>106897002.16419655</v>
      </c>
      <c r="O38" s="74">
        <f t="shared" si="4"/>
        <v>122194790.15824257</v>
      </c>
      <c r="P38" s="74">
        <f t="shared" si="4"/>
        <v>140636515.17421877</v>
      </c>
      <c r="Q38" s="74">
        <f t="shared" si="4"/>
        <v>178610447.08062801</v>
      </c>
      <c r="R38" s="74">
        <f t="shared" si="4"/>
        <v>194280919.67288575</v>
      </c>
    </row>
    <row r="39" spans="3:18" x14ac:dyDescent="0.25">
      <c r="C39" s="29" t="s">
        <v>387</v>
      </c>
      <c r="D39" s="625">
        <v>2.4691350866641301E-2</v>
      </c>
      <c r="E39" t="s">
        <v>383</v>
      </c>
      <c r="F39" s="74">
        <f t="shared" ref="F39:R39" si="5">F35*$D$39</f>
        <v>19926978.00989601</v>
      </c>
      <c r="G39" s="74">
        <f t="shared" si="5"/>
        <v>699893.98554772651</v>
      </c>
      <c r="H39" s="74">
        <f t="shared" si="5"/>
        <v>2802063.8369540339</v>
      </c>
      <c r="I39" s="74">
        <f t="shared" si="5"/>
        <v>6673901.8997428697</v>
      </c>
      <c r="J39" s="74">
        <f t="shared" si="5"/>
        <v>9172697.0870387722</v>
      </c>
      <c r="K39" s="74">
        <f t="shared" si="5"/>
        <v>13294899.516601812</v>
      </c>
      <c r="L39" s="74">
        <f t="shared" si="5"/>
        <v>19608398.038022105</v>
      </c>
      <c r="M39" s="74">
        <f t="shared" si="5"/>
        <v>32870876.501971036</v>
      </c>
      <c r="N39" s="74">
        <f t="shared" si="5"/>
        <v>49337063.618725218</v>
      </c>
      <c r="O39" s="74">
        <f t="shared" si="5"/>
        <v>56397579.107538529</v>
      </c>
      <c r="P39" s="74">
        <f t="shared" si="5"/>
        <v>64909142.031956978</v>
      </c>
      <c r="Q39" s="74">
        <f t="shared" si="5"/>
        <v>82435567.061555788</v>
      </c>
      <c r="R39" s="74">
        <f t="shared" si="5"/>
        <v>89668090.776600242</v>
      </c>
    </row>
    <row r="40" spans="3:18" x14ac:dyDescent="0.25">
      <c r="C40" s="619" t="s">
        <v>391</v>
      </c>
      <c r="D40" s="623">
        <v>5.0000000000000001E-3</v>
      </c>
      <c r="E40" s="621" t="s">
        <v>383</v>
      </c>
      <c r="F40" s="74">
        <f t="shared" ref="F40:R40" si="6">F35*$D$40</f>
        <v>4035214.2168166889</v>
      </c>
      <c r="G40" s="74">
        <f t="shared" si="6"/>
        <v>141728.57316067358</v>
      </c>
      <c r="H40" s="74">
        <f t="shared" si="6"/>
        <v>567418.09147827956</v>
      </c>
      <c r="I40" s="74">
        <f t="shared" si="6"/>
        <v>1351465.5264891756</v>
      </c>
      <c r="J40" s="74">
        <f t="shared" si="6"/>
        <v>1857471.6986083053</v>
      </c>
      <c r="K40" s="74">
        <f t="shared" si="6"/>
        <v>2692217.9325886113</v>
      </c>
      <c r="L40" s="74">
        <f t="shared" si="6"/>
        <v>3970701.7538099941</v>
      </c>
      <c r="M40" s="74">
        <f t="shared" si="6"/>
        <v>6656354.4213331202</v>
      </c>
      <c r="N40" s="74">
        <f t="shared" si="6"/>
        <v>9990758.2791229449</v>
      </c>
      <c r="O40" s="74">
        <f t="shared" si="6"/>
        <v>11420513.080095027</v>
      </c>
      <c r="P40" s="74">
        <f t="shared" si="6"/>
        <v>13144105.071960852</v>
      </c>
      <c r="Q40" s="74">
        <f t="shared" si="6"/>
        <v>16693207.169342954</v>
      </c>
      <c r="R40" s="74">
        <f t="shared" si="6"/>
        <v>18157793.646224581</v>
      </c>
    </row>
    <row r="41" spans="3:18" x14ac:dyDescent="0.25">
      <c r="C41" s="73" t="s">
        <v>393</v>
      </c>
      <c r="D41" s="217"/>
      <c r="E41" s="217"/>
      <c r="F41" s="668">
        <f>'Cost Analysis (Ref. Interview)'!D7</f>
        <v>1332500800</v>
      </c>
      <c r="G41" s="77">
        <f>G44/(100%+$D$42+$D$43)</f>
        <v>46801341.136342272</v>
      </c>
      <c r="H41" s="74">
        <f t="shared" ref="H41:R41" si="7">H44/(100%+$D$42+$D$43)</f>
        <v>187371728.04316276</v>
      </c>
      <c r="I41" s="74">
        <f t="shared" si="7"/>
        <v>446278387.82742262</v>
      </c>
      <c r="J41" s="74">
        <f t="shared" si="7"/>
        <v>613370788.11282432</v>
      </c>
      <c r="K41" s="74">
        <f t="shared" si="7"/>
        <v>889019109.31972647</v>
      </c>
      <c r="L41" s="74">
        <f t="shared" si="7"/>
        <v>1311197616.5882885</v>
      </c>
      <c r="M41" s="74">
        <f t="shared" si="7"/>
        <v>2198048756.5061646</v>
      </c>
      <c r="N41" s="74">
        <f t="shared" si="7"/>
        <v>3299129286.3852224</v>
      </c>
      <c r="O41" s="74">
        <f t="shared" si="7"/>
        <v>3771260210.2304702</v>
      </c>
      <c r="P41" s="74">
        <f t="shared" si="7"/>
        <v>4340421495.0176315</v>
      </c>
      <c r="Q41" s="74">
        <f t="shared" si="7"/>
        <v>5512399271.1501951</v>
      </c>
      <c r="R41" s="74">
        <f t="shared" si="7"/>
        <v>5996032245.0777855</v>
      </c>
    </row>
    <row r="42" spans="3:18" x14ac:dyDescent="0.25">
      <c r="C42" s="619" t="s">
        <v>395</v>
      </c>
      <c r="D42" s="620">
        <v>0.19235306721402001</v>
      </c>
      <c r="E42" s="621" t="s">
        <v>396</v>
      </c>
      <c r="F42" s="74">
        <f t="shared" ref="F42:R42" si="8">F41*$D$42</f>
        <v>256310615.94513544</v>
      </c>
      <c r="G42" s="74">
        <f t="shared" si="8"/>
        <v>9002381.5173051246</v>
      </c>
      <c r="H42" s="74">
        <f t="shared" si="8"/>
        <v>36041526.598293565</v>
      </c>
      <c r="I42" s="74">
        <f t="shared" si="8"/>
        <v>85843016.729932711</v>
      </c>
      <c r="J42" s="74">
        <f t="shared" si="8"/>
        <v>117983752.43298252</v>
      </c>
      <c r="K42" s="74">
        <f t="shared" si="8"/>
        <v>171005552.48952556</v>
      </c>
      <c r="L42" s="74">
        <f t="shared" si="8"/>
        <v>252212883.27446991</v>
      </c>
      <c r="M42" s="74">
        <f t="shared" si="8"/>
        <v>422801420.1999234</v>
      </c>
      <c r="N42" s="74">
        <f t="shared" si="8"/>
        <v>634597637.37179852</v>
      </c>
      <c r="O42" s="74">
        <f t="shared" si="8"/>
        <v>725413468.70002091</v>
      </c>
      <c r="P42" s="74">
        <f t="shared" si="8"/>
        <v>834893387.5683037</v>
      </c>
      <c r="Q42" s="74">
        <f t="shared" si="8"/>
        <v>1060326907.5140684</v>
      </c>
      <c r="R42" s="74">
        <f t="shared" si="8"/>
        <v>1153355193.4548786</v>
      </c>
    </row>
    <row r="43" spans="3:18" x14ac:dyDescent="0.25">
      <c r="C43" s="29" t="s">
        <v>398</v>
      </c>
      <c r="D43" s="149">
        <v>0.09</v>
      </c>
      <c r="E43" t="s">
        <v>396</v>
      </c>
      <c r="F43" s="74">
        <f t="shared" ref="F43:R43" si="9">F41*$D$43</f>
        <v>119925072</v>
      </c>
      <c r="G43" s="74">
        <f t="shared" si="9"/>
        <v>4212120.702270804</v>
      </c>
      <c r="H43" s="74">
        <f t="shared" si="9"/>
        <v>16863455.523884647</v>
      </c>
      <c r="I43" s="74">
        <f t="shared" si="9"/>
        <v>40165054.904468037</v>
      </c>
      <c r="J43" s="74">
        <f t="shared" si="9"/>
        <v>55203370.930154189</v>
      </c>
      <c r="K43" s="74">
        <f t="shared" si="9"/>
        <v>80011719.838775381</v>
      </c>
      <c r="L43" s="74">
        <f t="shared" si="9"/>
        <v>118007785.49294597</v>
      </c>
      <c r="M43" s="74">
        <f t="shared" si="9"/>
        <v>197824388.08555481</v>
      </c>
      <c r="N43" s="74">
        <f t="shared" si="9"/>
        <v>296921635.77467</v>
      </c>
      <c r="O43" s="74">
        <f t="shared" si="9"/>
        <v>339413418.92074233</v>
      </c>
      <c r="P43" s="74">
        <f t="shared" si="9"/>
        <v>390637934.55158681</v>
      </c>
      <c r="Q43" s="74">
        <f t="shared" si="9"/>
        <v>496115934.40351754</v>
      </c>
      <c r="R43" s="74">
        <f t="shared" si="9"/>
        <v>539642902.05700064</v>
      </c>
    </row>
    <row r="44" spans="3:18" x14ac:dyDescent="0.25">
      <c r="C44" s="73" t="s">
        <v>401</v>
      </c>
      <c r="F44" s="185">
        <f>SUM(F41:F43)</f>
        <v>1708736487.9451354</v>
      </c>
      <c r="G44" s="185">
        <f>'CAPEX1-Si'!D32</f>
        <v>60015843.355918199</v>
      </c>
      <c r="H44" s="185">
        <f>'CAPEX1-Si'!D33</f>
        <v>240276710.16534096</v>
      </c>
      <c r="I44" s="185">
        <f>'CAPEX1-Si'!D34</f>
        <v>572286459.46182334</v>
      </c>
      <c r="J44" s="185">
        <f>'CAPEX1-Si'!D35</f>
        <v>786557911.47596097</v>
      </c>
      <c r="K44" s="185">
        <f>'CAPEX1-Si'!D36</f>
        <v>1140036381.6480274</v>
      </c>
      <c r="L44" s="185">
        <f>'CAPEX1-Si'!D37</f>
        <v>1681418285.3557043</v>
      </c>
      <c r="M44" s="185">
        <f>'CAPEX1-Si'!D38</f>
        <v>2818674564.7916427</v>
      </c>
      <c r="N44" s="185">
        <f>'CAPEX1-Si'!D39</f>
        <v>4230648559.5316911</v>
      </c>
      <c r="O44" s="185">
        <f>'CAPEX1-Si'!D40</f>
        <v>4836087097.8512335</v>
      </c>
      <c r="P44" s="185">
        <f>'CAPEX1-Si'!D41</f>
        <v>5565952817.1375217</v>
      </c>
      <c r="Q44" s="185">
        <f>'CAPEX1-Si'!D42</f>
        <v>7068842113.0677805</v>
      </c>
      <c r="R44" s="185">
        <f>'CAPEX1-Si'!D43</f>
        <v>7689030340.5896645</v>
      </c>
    </row>
    <row r="46" spans="3:18" x14ac:dyDescent="0.25">
      <c r="C46" s="177"/>
      <c r="D46" s="6"/>
    </row>
    <row r="58" spans="6:6" x14ac:dyDescent="0.25">
      <c r="F58" s="642"/>
    </row>
  </sheetData>
  <mergeCells count="2">
    <mergeCell ref="F33:R33"/>
    <mergeCell ref="G32:R32"/>
  </mergeCells>
  <phoneticPr fontId="29" type="noConversion"/>
  <pageMargins left="0.7" right="0.7" top="0.75" bottom="0.75" header="0.3" footer="0.3"/>
  <pageSetup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71"/>
  <sheetViews>
    <sheetView topLeftCell="A13" zoomScale="70" zoomScaleNormal="70" workbookViewId="0">
      <selection activeCell="D32" sqref="D32"/>
    </sheetView>
  </sheetViews>
  <sheetFormatPr defaultRowHeight="15" x14ac:dyDescent="0.25"/>
  <cols>
    <col min="1" max="1" width="12" customWidth="1"/>
    <col min="2" max="2" width="35.85546875" customWidth="1"/>
    <col min="3" max="3" width="30.5703125" customWidth="1"/>
    <col min="4" max="4" width="36.85546875" customWidth="1"/>
    <col min="5" max="5" width="15.28515625" customWidth="1"/>
    <col min="6" max="6" width="16.28515625" customWidth="1"/>
    <col min="7" max="7" width="48.42578125" customWidth="1"/>
    <col min="8" max="8" width="36.5703125" customWidth="1"/>
    <col min="9" max="9" width="10.85546875" customWidth="1"/>
    <col min="10" max="10" width="19.7109375" customWidth="1"/>
    <col min="11" max="11" width="17.85546875" customWidth="1"/>
    <col min="12" max="12" width="22.140625" customWidth="1"/>
    <col min="13" max="13" width="14.140625" bestFit="1" customWidth="1"/>
  </cols>
  <sheetData>
    <row r="1" spans="1:13" ht="21" x14ac:dyDescent="0.35">
      <c r="A1" s="1" t="s">
        <v>422</v>
      </c>
    </row>
    <row r="3" spans="1:13" x14ac:dyDescent="0.25">
      <c r="F3" s="584" t="s">
        <v>438</v>
      </c>
      <c r="G3" s="585"/>
      <c r="H3" s="198"/>
      <c r="I3" s="198"/>
    </row>
    <row r="4" spans="1:13" x14ac:dyDescent="0.25">
      <c r="F4" s="586" t="s">
        <v>439</v>
      </c>
      <c r="G4" s="587"/>
      <c r="H4" s="198"/>
      <c r="I4" s="327"/>
      <c r="M4" s="581"/>
    </row>
    <row r="5" spans="1:13" x14ac:dyDescent="0.25">
      <c r="F5" s="586" t="s">
        <v>440</v>
      </c>
      <c r="G5" s="587"/>
      <c r="H5" s="198"/>
      <c r="I5" s="198"/>
    </row>
    <row r="6" spans="1:13" x14ac:dyDescent="0.25">
      <c r="F6" s="599" t="s">
        <v>441</v>
      </c>
      <c r="G6" s="600"/>
      <c r="H6" s="198"/>
      <c r="I6" s="198"/>
      <c r="J6" s="18"/>
    </row>
    <row r="7" spans="1:13" x14ac:dyDescent="0.25">
      <c r="G7" s="18"/>
      <c r="H7" s="18"/>
      <c r="I7" s="18"/>
      <c r="J7" s="198"/>
    </row>
    <row r="8" spans="1:13" x14ac:dyDescent="0.25">
      <c r="G8" s="198"/>
      <c r="H8" s="198"/>
      <c r="I8" s="198"/>
      <c r="J8" s="198"/>
    </row>
    <row r="9" spans="1:13" x14ac:dyDescent="0.25">
      <c r="B9" s="576"/>
      <c r="C9" s="576"/>
      <c r="D9" s="576"/>
      <c r="E9" s="576"/>
      <c r="F9" s="576"/>
      <c r="G9" s="576"/>
      <c r="H9" s="576"/>
      <c r="I9" s="576"/>
    </row>
    <row r="11" spans="1:13" x14ac:dyDescent="0.25">
      <c r="B11" s="383"/>
      <c r="C11" s="617" t="s">
        <v>442</v>
      </c>
      <c r="D11" s="597" t="s">
        <v>443</v>
      </c>
      <c r="E11" s="617" t="s">
        <v>444</v>
      </c>
      <c r="F11" s="320" t="s">
        <v>445</v>
      </c>
      <c r="G11" s="320" t="s">
        <v>446</v>
      </c>
    </row>
    <row r="12" spans="1:13" x14ac:dyDescent="0.25">
      <c r="B12" s="595" t="s">
        <v>447</v>
      </c>
      <c r="C12" s="639">
        <f>(51010/(1+EXP(-3.823*10^(-3)*(C26-631))))*(C23^0.8)+(5634000/(1+EXP(-7.813*10^(-3)*(C26-349))))*((C24*C28*C19)/(C20*C17*C18*C21))^0.9+(750000*C25*(C27^0.15)*(C22^0.5))</f>
        <v>1682453019.3495467</v>
      </c>
      <c r="D12" s="603">
        <f>C12/C23</f>
        <v>10515.331370934668</v>
      </c>
      <c r="E12" s="305">
        <f>C23/(E17*24*365/1000)</f>
        <v>234.16461772626158</v>
      </c>
      <c r="F12" s="305">
        <v>300</v>
      </c>
      <c r="G12" s="305">
        <f>C27*F12/1000</f>
        <v>1.0109999999999999</v>
      </c>
    </row>
    <row r="13" spans="1:13" x14ac:dyDescent="0.25">
      <c r="B13" s="398" t="s">
        <v>448</v>
      </c>
    </row>
    <row r="14" spans="1:13" x14ac:dyDescent="0.25">
      <c r="B14" s="583" t="s">
        <v>449</v>
      </c>
    </row>
    <row r="15" spans="1:13" x14ac:dyDescent="0.25">
      <c r="B15" s="583"/>
    </row>
    <row r="16" spans="1:13" ht="14.1" customHeight="1" x14ac:dyDescent="0.25">
      <c r="B16" s="578" t="s">
        <v>450</v>
      </c>
      <c r="C16" s="602" t="s">
        <v>451</v>
      </c>
      <c r="D16" t="s">
        <v>483</v>
      </c>
      <c r="E16" s="814" t="s">
        <v>484</v>
      </c>
      <c r="F16" s="815"/>
      <c r="G16" s="657"/>
    </row>
    <row r="17" spans="1:10" x14ac:dyDescent="0.25">
      <c r="B17" s="8" t="s">
        <v>453</v>
      </c>
      <c r="C17" s="476">
        <v>120</v>
      </c>
      <c r="E17" s="816">
        <v>78</v>
      </c>
      <c r="F17" s="817"/>
      <c r="G17" s="768"/>
    </row>
    <row r="18" spans="1:10" x14ac:dyDescent="0.25">
      <c r="B18" s="8" t="s">
        <v>454</v>
      </c>
      <c r="C18" s="476">
        <v>0.9</v>
      </c>
      <c r="F18" s="198"/>
      <c r="G18" s="198"/>
    </row>
    <row r="19" spans="1:10" x14ac:dyDescent="0.25">
      <c r="B19" s="579" t="s">
        <v>455</v>
      </c>
      <c r="C19" s="476">
        <v>96485.332120000006</v>
      </c>
      <c r="F19" s="198"/>
      <c r="G19" s="198"/>
    </row>
    <row r="20" spans="1:10" s="580" customFormat="1" ht="16.350000000000001" customHeight="1" x14ac:dyDescent="0.25">
      <c r="A20" s="17"/>
      <c r="B20" s="8" t="s">
        <v>456</v>
      </c>
      <c r="C20" s="476">
        <f>1000*F12/C17</f>
        <v>2500</v>
      </c>
      <c r="F20" s="317"/>
      <c r="G20" s="317"/>
    </row>
    <row r="21" spans="1:10" x14ac:dyDescent="0.25">
      <c r="A21" s="17"/>
      <c r="B21" s="8" t="s">
        <v>457</v>
      </c>
      <c r="C21" s="476">
        <v>2.8085499999999999E-2</v>
      </c>
      <c r="F21" s="198"/>
      <c r="G21" s="198"/>
    </row>
    <row r="22" spans="1:10" x14ac:dyDescent="0.25">
      <c r="A22" s="17"/>
      <c r="B22" s="8" t="s">
        <v>458</v>
      </c>
      <c r="C22" s="476">
        <v>1</v>
      </c>
      <c r="D22" s="9"/>
      <c r="F22" s="198"/>
      <c r="G22" s="198"/>
    </row>
    <row r="23" spans="1:10" x14ac:dyDescent="0.25">
      <c r="A23" s="17"/>
      <c r="B23" s="8" t="s">
        <v>459</v>
      </c>
      <c r="C23" s="476">
        <f>'Cost Analysis (Ref. Model)'!E2</f>
        <v>160000</v>
      </c>
      <c r="D23" s="9"/>
      <c r="F23" s="198"/>
      <c r="G23" s="198"/>
    </row>
    <row r="24" spans="1:10" x14ac:dyDescent="0.25">
      <c r="A24" s="17"/>
      <c r="B24" s="8" t="s">
        <v>460</v>
      </c>
      <c r="C24" s="476">
        <f>(C23*1000)/(365*24*3600)</f>
        <v>5.0735667174023336</v>
      </c>
      <c r="F24" s="198"/>
      <c r="G24" s="198"/>
    </row>
    <row r="25" spans="1:10" x14ac:dyDescent="0.25">
      <c r="A25" s="17"/>
      <c r="B25" s="635" t="s">
        <v>461</v>
      </c>
      <c r="C25" s="476">
        <f>$G$12*E12</f>
        <v>236.74042852125044</v>
      </c>
      <c r="F25" s="198"/>
      <c r="G25" s="198"/>
    </row>
    <row r="26" spans="1:10" x14ac:dyDescent="0.25">
      <c r="A26" s="17"/>
      <c r="B26" s="8" t="s">
        <v>462</v>
      </c>
      <c r="C26" s="476">
        <v>1100</v>
      </c>
      <c r="F26" s="198"/>
      <c r="G26" s="198"/>
    </row>
    <row r="27" spans="1:10" x14ac:dyDescent="0.25">
      <c r="A27" s="17"/>
      <c r="B27" s="8" t="s">
        <v>463</v>
      </c>
      <c r="C27" s="476">
        <v>3.37</v>
      </c>
    </row>
    <row r="28" spans="1:10" x14ac:dyDescent="0.25">
      <c r="A28" s="17"/>
      <c r="B28" s="8" t="s">
        <v>464</v>
      </c>
      <c r="C28" s="476">
        <v>4</v>
      </c>
    </row>
    <row r="31" spans="1:10" x14ac:dyDescent="0.25">
      <c r="B31" s="761" t="s">
        <v>465</v>
      </c>
      <c r="C31" s="320" t="s">
        <v>485</v>
      </c>
      <c r="D31" s="658" t="s">
        <v>466</v>
      </c>
      <c r="E31" s="761" t="s">
        <v>443</v>
      </c>
      <c r="F31" s="761" t="s">
        <v>486</v>
      </c>
      <c r="G31" s="659" t="s">
        <v>487</v>
      </c>
      <c r="H31" s="320" t="s">
        <v>460</v>
      </c>
      <c r="I31" s="658" t="s">
        <v>444</v>
      </c>
      <c r="J31" s="658" t="s">
        <v>467</v>
      </c>
    </row>
    <row r="32" spans="1:10" x14ac:dyDescent="0.25">
      <c r="B32" s="656">
        <f>$E$17*24*365*I32/1000</f>
        <v>3416.4</v>
      </c>
      <c r="C32" s="656">
        <f t="shared" ref="C32:C36" si="0">B32/1000</f>
        <v>3.4163999999999999</v>
      </c>
      <c r="D32" s="639">
        <f>(51010/(1+EXP(-3.823*10^(-3)*(C26-631))))*(B32^0.8)+(5634000/(1+EXP(-7.813*10^(-3)*(C26-349))))*((H32*C28*C19)/(C20*C17*C18*C21))^0.9+(750000*G32*(C27^0.15)*(J32^0.5))</f>
        <v>60015843.355918199</v>
      </c>
      <c r="E32" s="601">
        <f>D32/B32</f>
        <v>17566.983771197225</v>
      </c>
      <c r="F32" s="601">
        <f>D32/I32</f>
        <v>12003168.67118364</v>
      </c>
      <c r="G32" s="305">
        <f t="shared" ref="G32:G36" si="1">$G$12*I32</f>
        <v>5.0549999999999997</v>
      </c>
      <c r="H32" s="305">
        <f t="shared" ref="H32:H36" si="2">(B32*1000)/(365*24*3600)</f>
        <v>0.10833333333333334</v>
      </c>
      <c r="I32" s="305">
        <v>5</v>
      </c>
      <c r="J32" s="305">
        <v>1</v>
      </c>
    </row>
    <row r="33" spans="2:10" x14ac:dyDescent="0.25">
      <c r="B33" s="656">
        <f>$E$17*24*365*I33/1000</f>
        <v>17082</v>
      </c>
      <c r="C33" s="656">
        <f t="shared" si="0"/>
        <v>17.082000000000001</v>
      </c>
      <c r="D33" s="639">
        <f>(51010/(1+EXP(-3.823*10^(-3)*(C26-631))))*(B33^0.8)+(5634000/(1+EXP(-7.813*10^(-3)*(C26-349))))*((H33*C28*C19)/(C20*C17*C18*C21))^0.9+(750000*G33*(C27^0.15)*(J33^0.5))</f>
        <v>240276710.16534096</v>
      </c>
      <c r="E33" s="601">
        <f t="shared" ref="E33:E36" si="3">D33/B33</f>
        <v>14066.075996097703</v>
      </c>
      <c r="F33" s="601">
        <f t="shared" ref="F33:F36" si="4">D33/I33</f>
        <v>9611068.4066136386</v>
      </c>
      <c r="G33" s="305">
        <f t="shared" si="1"/>
        <v>25.274999999999999</v>
      </c>
      <c r="H33" s="305">
        <f t="shared" si="2"/>
        <v>0.54166666666666663</v>
      </c>
      <c r="I33" s="305">
        <v>25</v>
      </c>
      <c r="J33" s="305">
        <v>1</v>
      </c>
    </row>
    <row r="34" spans="2:10" x14ac:dyDescent="0.25">
      <c r="B34" s="656">
        <f t="shared" ref="B34:B36" si="5">$E$17*24*365*I34/1000</f>
        <v>46463.040000000001</v>
      </c>
      <c r="C34" s="656">
        <f t="shared" si="0"/>
        <v>46.463039999999999</v>
      </c>
      <c r="D34" s="639">
        <f>(51010/(1+EXP(-3.823*10^(-3)*(C26-631))))*(B34^0.8)+(5634000/(1+EXP(-7.813*10^(-3)*(C26-349))))*((H34*C28*C19)/(C20*C17*C18*C21))^0.9+(750000*G34*(C27^0.15)*(J34^0.5))</f>
        <v>572286459.46182334</v>
      </c>
      <c r="E34" s="601">
        <f t="shared" si="3"/>
        <v>12317.02573619426</v>
      </c>
      <c r="F34" s="601">
        <f t="shared" si="4"/>
        <v>8415977.3450268134</v>
      </c>
      <c r="G34" s="305">
        <f t="shared" si="1"/>
        <v>68.74799999999999</v>
      </c>
      <c r="H34" s="305">
        <f t="shared" si="2"/>
        <v>1.4733333333333334</v>
      </c>
      <c r="I34" s="305">
        <v>68</v>
      </c>
      <c r="J34" s="305">
        <v>1</v>
      </c>
    </row>
    <row r="35" spans="2:10" x14ac:dyDescent="0.25">
      <c r="B35" s="656">
        <f t="shared" si="5"/>
        <v>66961.440000000002</v>
      </c>
      <c r="C35" s="656">
        <f t="shared" si="0"/>
        <v>66.961439999999996</v>
      </c>
      <c r="D35" s="639">
        <f>(51010/(1+EXP(-3.823*10^(-3)*(C26-631))))*(B35^0.8)+(5634000/(1+EXP(-7.813*10^(-3)*(C26-349))))*((H35*C28*C19)/(C20*C17*C18*C21))^0.9+(750000*G35*(C27^0.15)*(J35^0.5))</f>
        <v>786557911.47596097</v>
      </c>
      <c r="E35" s="601">
        <f t="shared" si="3"/>
        <v>11746.430654358104</v>
      </c>
      <c r="F35" s="601">
        <f t="shared" si="4"/>
        <v>8026101.1375098061</v>
      </c>
      <c r="G35" s="305">
        <f t="shared" si="1"/>
        <v>99.077999999999989</v>
      </c>
      <c r="H35" s="305">
        <f t="shared" si="2"/>
        <v>2.1233333333333335</v>
      </c>
      <c r="I35" s="305">
        <v>98</v>
      </c>
      <c r="J35" s="305">
        <v>1</v>
      </c>
    </row>
    <row r="36" spans="2:10" x14ac:dyDescent="0.25">
      <c r="B36" s="656">
        <f t="shared" si="5"/>
        <v>102492</v>
      </c>
      <c r="C36" s="656">
        <f t="shared" si="0"/>
        <v>102.492</v>
      </c>
      <c r="D36" s="639">
        <f>(51010/(1+EXP(-3.823*10^(-3)*(C26-631))))*(B36^0.8)+(5634000/(1+EXP(-7.813*10^(-3)*(C26-349))))*((H36*C28*C19)/(C20*C17*C18*C21))^0.9+(750000*G36*(C27^0.15)*(J36^0.5))</f>
        <v>1140036381.6480274</v>
      </c>
      <c r="E36" s="601">
        <f t="shared" si="3"/>
        <v>11123.174312610032</v>
      </c>
      <c r="F36" s="601">
        <f t="shared" si="4"/>
        <v>7600242.5443201829</v>
      </c>
      <c r="G36" s="305">
        <f t="shared" si="1"/>
        <v>151.64999999999998</v>
      </c>
      <c r="H36" s="305">
        <f t="shared" si="2"/>
        <v>3.25</v>
      </c>
      <c r="I36" s="305">
        <v>150</v>
      </c>
      <c r="J36" s="305">
        <v>1</v>
      </c>
    </row>
    <row r="37" spans="2:10" x14ac:dyDescent="0.25">
      <c r="B37" s="656">
        <f t="shared" ref="B37:B49" si="6">$E$17*24*365*I37/1000</f>
        <v>159887.51999999999</v>
      </c>
      <c r="C37" s="656">
        <f>B37/1000</f>
        <v>159.88751999999999</v>
      </c>
      <c r="D37" s="639">
        <f>(51010/(1+EXP(-3.823*10^(-3)*(C26-631))))*(B37^0.8)+(5634000/(1+EXP(-7.813*10^(-3)*(C26-349))))*((H37*C28*C19)/(C20*C17*C18*C21))^0.9+(750000*G37*(C27^0.15)*(J37^0.5))</f>
        <v>1681418285.3557043</v>
      </c>
      <c r="E37" s="601">
        <f t="shared" ref="E37:E49" si="7">D37/B37</f>
        <v>10516.257212293394</v>
      </c>
      <c r="F37" s="601">
        <f>D37/I37</f>
        <v>7185548.2280158307</v>
      </c>
      <c r="G37" s="305">
        <f>$G$12*I37</f>
        <v>236.57399999999998</v>
      </c>
      <c r="H37" s="305">
        <f>(B37*1000)/(365*24*3600)</f>
        <v>5.07</v>
      </c>
      <c r="I37" s="305">
        <v>234</v>
      </c>
      <c r="J37" s="305">
        <v>1</v>
      </c>
    </row>
    <row r="38" spans="2:10" x14ac:dyDescent="0.25">
      <c r="B38" s="656">
        <f t="shared" si="6"/>
        <v>288344.15999999997</v>
      </c>
      <c r="C38" s="656">
        <f t="shared" ref="C38:C49" si="8">B38/1000</f>
        <v>288.34415999999999</v>
      </c>
      <c r="D38" s="639">
        <f>(51010/(1+EXP(-3.823*10^(-3)*(C26-631))))*(B38^0.8)+(5634000/(1+EXP(-7.813*10^(-3)*(C26-349))))*((H38*C28*C19)/(C20*C17*C18*C21))^0.9+(750000*G38*(C27^0.15)*(J38^0.5))</f>
        <v>2818674564.7916427</v>
      </c>
      <c r="E38" s="601">
        <f t="shared" si="7"/>
        <v>9775.3828785422356</v>
      </c>
      <c r="F38" s="601">
        <f t="shared" ref="F38:F48" si="9">D38/I38</f>
        <v>6679323.6132503385</v>
      </c>
      <c r="G38" s="305">
        <f>$G$12*I38</f>
        <v>426.64199999999994</v>
      </c>
      <c r="H38" s="305">
        <f>(B38*1000)/(365*3600*24)</f>
        <v>9.1433333333333326</v>
      </c>
      <c r="I38" s="305">
        <v>422</v>
      </c>
      <c r="J38" s="305">
        <v>1</v>
      </c>
    </row>
    <row r="39" spans="2:10" x14ac:dyDescent="0.25">
      <c r="B39" s="656">
        <f t="shared" si="6"/>
        <v>457797.6</v>
      </c>
      <c r="C39" s="656">
        <f t="shared" si="8"/>
        <v>457.79759999999999</v>
      </c>
      <c r="D39" s="639">
        <f>(51010/(1+EXP(-3.823*10^(-3)*(C26-631))))*(B39^0.8)+(5634000/(1+EXP(-7.813*10^(-3)*(C26-349))))*((H39*C28*C19)/(C20*C17*C18*C21))^0.9+(750000*G39*(C27^0.15)*(J39^0.5))</f>
        <v>4230648559.5316911</v>
      </c>
      <c r="E39" s="601">
        <f t="shared" si="7"/>
        <v>9241.307860791956</v>
      </c>
      <c r="F39" s="601">
        <f t="shared" si="9"/>
        <v>6314400.8351219269</v>
      </c>
      <c r="G39" s="305">
        <f>$G$12*I39</f>
        <v>677.36999999999989</v>
      </c>
      <c r="H39" s="305">
        <f>(B39*1000)/(3600*24*365)</f>
        <v>14.516666666666667</v>
      </c>
      <c r="I39" s="305">
        <v>670</v>
      </c>
      <c r="J39" s="305">
        <v>1</v>
      </c>
    </row>
    <row r="40" spans="2:10" x14ac:dyDescent="0.25">
      <c r="B40" s="656">
        <f t="shared" si="6"/>
        <v>532958.4</v>
      </c>
      <c r="C40" s="656">
        <f t="shared" si="8"/>
        <v>532.95839999999998</v>
      </c>
      <c r="D40" s="639">
        <f>(51010/(1+EXP(-3.823*10^(-3)*(C26-631))))*(B40^0.8)+(5634000/(1+EXP(-7.813*10^(-3)*(C26-349))))*((H40*C28*C19)/(C20*C17*C18*C21))^0.9+(750000*G40*(C27^0.15)*(J40^0.5))</f>
        <v>4836087097.8512335</v>
      </c>
      <c r="E40" s="601">
        <f t="shared" si="7"/>
        <v>9074.0423602503179</v>
      </c>
      <c r="F40" s="601">
        <f t="shared" si="9"/>
        <v>6200111.6639118381</v>
      </c>
      <c r="G40" s="305">
        <f>$G$12*I40</f>
        <v>788.57999999999993</v>
      </c>
      <c r="H40" s="305">
        <f>(B40*1000)/(365*24*3600)</f>
        <v>16.899999999999999</v>
      </c>
      <c r="I40" s="305">
        <v>780</v>
      </c>
      <c r="J40" s="305">
        <v>1</v>
      </c>
    </row>
    <row r="41" spans="2:10" x14ac:dyDescent="0.25">
      <c r="B41" s="656">
        <f t="shared" si="6"/>
        <v>625201.19999999995</v>
      </c>
      <c r="C41" s="656">
        <f t="shared" si="8"/>
        <v>625.20119999999997</v>
      </c>
      <c r="D41" s="639">
        <f>(51010/(1+EXP(-3.823*10^(-3)*(C26-631))))*(B41^0.8)+(5634000/(1+EXP(-7.813*10^(-3)*(C26-349))))*((H41*C28*C19)/(C20*C17*C18*C21))^0.9+(750000*G41*(C27^0.15)*(J41^0.5))</f>
        <v>5565952817.1375217</v>
      </c>
      <c r="E41" s="601">
        <f t="shared" si="7"/>
        <v>8902.658563575249</v>
      </c>
      <c r="F41" s="601">
        <f t="shared" si="9"/>
        <v>6083008.5433196956</v>
      </c>
      <c r="G41" s="305">
        <f t="shared" ref="G41:G49" si="10">$G$12*I41</f>
        <v>925.06499999999994</v>
      </c>
      <c r="H41" s="305">
        <f>(B41*1000)/(365*3600*24)</f>
        <v>19.824999999999999</v>
      </c>
      <c r="I41" s="305">
        <v>915</v>
      </c>
      <c r="J41" s="305">
        <v>1</v>
      </c>
    </row>
    <row r="42" spans="2:10" x14ac:dyDescent="0.25">
      <c r="B42" s="656">
        <f t="shared" si="6"/>
        <v>819936</v>
      </c>
      <c r="C42" s="656">
        <f t="shared" si="8"/>
        <v>819.93600000000004</v>
      </c>
      <c r="D42" s="639">
        <f>(51010/(1+EXP(-3.823*10^(-3)*(C26-631))))*(B42^0.8)+(5634000/(1+EXP(-7.813*10^(-3)*(C26-349))))*((H42*C28*C19)/(C20*C17*C18*C21))^0.9+(750000*G42*(C27^0.15)*(J42^0.5))</f>
        <v>7068842113.0677805</v>
      </c>
      <c r="E42" s="601">
        <f t="shared" si="7"/>
        <v>8621.2120373636244</v>
      </c>
      <c r="F42" s="601">
        <f t="shared" si="9"/>
        <v>5890701.760889817</v>
      </c>
      <c r="G42" s="305">
        <f t="shared" si="10"/>
        <v>1213.1999999999998</v>
      </c>
      <c r="H42" s="305">
        <f>(B42*1000)/(3600*24*365)</f>
        <v>26</v>
      </c>
      <c r="I42" s="305">
        <v>1200</v>
      </c>
      <c r="J42" s="305">
        <v>1</v>
      </c>
    </row>
    <row r="43" spans="2:10" x14ac:dyDescent="0.25">
      <c r="B43" s="656">
        <f t="shared" si="6"/>
        <v>901929.6</v>
      </c>
      <c r="C43" s="656">
        <f t="shared" si="8"/>
        <v>901.92959999999994</v>
      </c>
      <c r="D43" s="639">
        <f>(51010/(1+EXP(-3.823*10^(-3)*(C26-631))))*(B43^0.8)+(5634000/(1+EXP(-7.813*10^(-3)*(C26-349))))*((H43*C28*C19)/(C20*C17*C18*C21))^0.9+(750000*G43*(C27^0.15)*(J43^0.5))</f>
        <v>7689030340.5896645</v>
      </c>
      <c r="E43" s="601">
        <f t="shared" si="7"/>
        <v>8525.0892537396103</v>
      </c>
      <c r="F43" s="601">
        <f t="shared" si="9"/>
        <v>5825022.9852952007</v>
      </c>
      <c r="G43" s="305">
        <f t="shared" si="10"/>
        <v>1334.5199999999998</v>
      </c>
      <c r="H43" s="305">
        <f>(B43*1000)/(365*24*3600)</f>
        <v>28.6</v>
      </c>
      <c r="I43" s="305">
        <v>1320</v>
      </c>
      <c r="J43" s="305">
        <v>1</v>
      </c>
    </row>
    <row r="44" spans="2:10" x14ac:dyDescent="0.25">
      <c r="B44" s="656">
        <f t="shared" si="6"/>
        <v>159887.51999999999</v>
      </c>
      <c r="C44" s="656">
        <f t="shared" si="8"/>
        <v>159.88751999999999</v>
      </c>
      <c r="D44" s="639">
        <f>(51010/(1+EXP(-3.823*10^(-3)*(C26-631))))*(B44^0.8)+(5634000/(1+EXP(-7.813*10^(-3)*(C26-349))))*((H44*C28*C19)/(C20*C17*C18*C21))^0.9+(750000*G44*(C27^0.15)*(J44^0.5))</f>
        <v>1769603763.9420266</v>
      </c>
      <c r="E44" s="601">
        <f t="shared" si="7"/>
        <v>11067.804190983928</v>
      </c>
      <c r="F44" s="601">
        <f t="shared" si="9"/>
        <v>7562409.2476154985</v>
      </c>
      <c r="G44" s="305">
        <f t="shared" si="10"/>
        <v>236.57399999999998</v>
      </c>
      <c r="H44" s="305">
        <f>(B44*1000)/(365*3600*24)</f>
        <v>5.07</v>
      </c>
      <c r="I44" s="305">
        <v>234</v>
      </c>
      <c r="J44" s="305">
        <v>2</v>
      </c>
    </row>
    <row r="45" spans="2:10" x14ac:dyDescent="0.25">
      <c r="B45" s="656">
        <f t="shared" si="6"/>
        <v>288344.15999999997</v>
      </c>
      <c r="C45" s="656">
        <f t="shared" si="8"/>
        <v>288.34415999999999</v>
      </c>
      <c r="D45" s="639">
        <f>(51010/(1+EXP(-3.823*10^(-3)*(C26-631))))*(B45^0.8)+(5634000/(1+EXP(-7.813*10^(-3)*(C26-349))))*((H45*C28*C19)/(C20*C17*C18*C21))^0.9+(750000*G45*(C27^0.15)*(J45^0.5))</f>
        <v>2977709915.0627027</v>
      </c>
      <c r="E45" s="601">
        <f t="shared" si="7"/>
        <v>10326.92985723277</v>
      </c>
      <c r="F45" s="601">
        <f t="shared" si="9"/>
        <v>7056184.6328500062</v>
      </c>
      <c r="G45" s="305">
        <f t="shared" si="10"/>
        <v>426.64199999999994</v>
      </c>
      <c r="H45" s="305">
        <f>(B45*1000)/(3600*24*365)</f>
        <v>9.1433333333333326</v>
      </c>
      <c r="I45" s="596">
        <v>422</v>
      </c>
      <c r="J45" s="596">
        <v>2</v>
      </c>
    </row>
    <row r="46" spans="2:10" x14ac:dyDescent="0.25">
      <c r="B46" s="656">
        <f t="shared" si="6"/>
        <v>457797.6</v>
      </c>
      <c r="C46" s="656">
        <f t="shared" si="8"/>
        <v>457.79759999999999</v>
      </c>
      <c r="D46" s="639">
        <f>(51010/(1+EXP(-3.823*10^(-3)*(C26-631))))*(B46^0.8)+(5634000/(1+EXP(-7.813*10^(-3)*(C26-349))))*((H46*C28*C19)/(C20*C17*C18*C21))^0.9+(750000*G46*(C27^0.15)*(J46^0.5))</f>
        <v>4483145442.6634684</v>
      </c>
      <c r="E46" s="601">
        <f t="shared" si="7"/>
        <v>9792.8548394824884</v>
      </c>
      <c r="F46" s="601">
        <f t="shared" si="9"/>
        <v>6691261.8547215946</v>
      </c>
      <c r="G46" s="305">
        <f t="shared" si="10"/>
        <v>677.36999999999989</v>
      </c>
      <c r="H46" s="305">
        <f>(B46*1000)/(365*24*3600)</f>
        <v>14.516666666666667</v>
      </c>
      <c r="I46" s="305">
        <v>670</v>
      </c>
      <c r="J46" s="305">
        <v>2</v>
      </c>
    </row>
    <row r="47" spans="2:10" x14ac:dyDescent="0.25">
      <c r="B47" s="656">
        <f t="shared" si="6"/>
        <v>532958.4</v>
      </c>
      <c r="C47" s="656">
        <f t="shared" si="8"/>
        <v>532.95839999999998</v>
      </c>
      <c r="D47" s="639">
        <f>(51010/(1+EXP(-3.823*10^(-3)*(C26-631))))*(B47^0.8)+(5634000/(1+EXP(-7.813*10^(-3)*(C26-349))))*((H47*C28*C19)/(C20*C17*C18*C21))^0.9+(750000*G47*(C27^0.15)*(J47^0.5))</f>
        <v>5130038693.1389751</v>
      </c>
      <c r="E47" s="601">
        <f t="shared" si="7"/>
        <v>9625.5893389408538</v>
      </c>
      <c r="F47" s="601">
        <f t="shared" si="9"/>
        <v>6576972.6835115068</v>
      </c>
      <c r="G47" s="305">
        <f t="shared" si="10"/>
        <v>788.57999999999993</v>
      </c>
      <c r="H47" s="305">
        <f>(B47*1000)/(365*3600*24)</f>
        <v>16.899999999999999</v>
      </c>
      <c r="I47" s="305">
        <v>780</v>
      </c>
      <c r="J47" s="305">
        <v>2</v>
      </c>
    </row>
    <row r="48" spans="2:10" x14ac:dyDescent="0.25">
      <c r="B48" s="656">
        <f t="shared" si="6"/>
        <v>625201.19999999995</v>
      </c>
      <c r="C48" s="656">
        <f t="shared" si="8"/>
        <v>625.20119999999997</v>
      </c>
      <c r="D48" s="639">
        <f>(51010/(1+EXP(-3.823*10^(-3)*(C26-631))))*(B48^0.8)+(5634000/(1+EXP(-7.813*10^(-3)*(C26-349))))*((H48*C28*C19)/(C20*C17*C18*C21))^0.9+(750000*G48*(C27^0.15)*(J48^0.5))</f>
        <v>5910780650.0712185</v>
      </c>
      <c r="E48" s="601">
        <f t="shared" si="7"/>
        <v>9454.205542265785</v>
      </c>
      <c r="F48" s="601">
        <f t="shared" si="9"/>
        <v>6459869.5629193643</v>
      </c>
      <c r="G48" s="305">
        <f t="shared" si="10"/>
        <v>925.06499999999994</v>
      </c>
      <c r="H48" s="305">
        <f>(B48*1000)/(3600*24*365)</f>
        <v>19.824999999999999</v>
      </c>
      <c r="I48" s="305">
        <v>915</v>
      </c>
      <c r="J48" s="305">
        <v>2</v>
      </c>
    </row>
    <row r="49" spans="2:12" x14ac:dyDescent="0.25">
      <c r="B49" s="656">
        <f t="shared" si="6"/>
        <v>819936</v>
      </c>
      <c r="C49" s="656">
        <f t="shared" si="8"/>
        <v>819.93600000000004</v>
      </c>
      <c r="D49" s="639">
        <f>(51010/(1+EXP(-3.823*10^(-3)*(C26-631))))*(B49^0.8)+(5634000/(1+EXP(-7.813*10^(-3)*(C26-349))))*((H49*C28*C19)/(C20*C17*C18*C21))^0.9+(750000*G49*(C27^0.15)*(J49^0.5))</f>
        <v>7521075336.5873823</v>
      </c>
      <c r="E49" s="601">
        <f t="shared" si="7"/>
        <v>9172.7590160541586</v>
      </c>
      <c r="F49" s="601">
        <f>D49/I49</f>
        <v>6267562.7804894857</v>
      </c>
      <c r="G49" s="305">
        <f t="shared" si="10"/>
        <v>1213.1999999999998</v>
      </c>
      <c r="H49" s="305">
        <f>(B49*1000)/(365*24*3600)</f>
        <v>26</v>
      </c>
      <c r="I49" s="305">
        <v>1200</v>
      </c>
      <c r="J49" s="305">
        <v>2</v>
      </c>
    </row>
    <row r="53" spans="2:12" x14ac:dyDescent="0.25">
      <c r="B53" s="809"/>
      <c r="C53" s="809"/>
      <c r="D53" s="809"/>
      <c r="E53" s="809"/>
      <c r="F53" s="809"/>
      <c r="G53" s="809"/>
      <c r="H53" s="809"/>
      <c r="I53" s="809"/>
      <c r="J53" s="809"/>
      <c r="K53" s="809"/>
      <c r="L53" s="809"/>
    </row>
    <row r="54" spans="2:12" x14ac:dyDescent="0.25">
      <c r="B54" s="643"/>
      <c r="C54" s="768"/>
      <c r="D54" s="768"/>
      <c r="E54" s="768"/>
      <c r="F54" s="768"/>
      <c r="G54" s="768"/>
      <c r="H54" s="768"/>
      <c r="I54" s="768"/>
      <c r="J54" s="768"/>
      <c r="K54" s="768"/>
      <c r="L54" s="768"/>
    </row>
    <row r="55" spans="2:12" x14ac:dyDescent="0.25">
      <c r="B55" s="198"/>
      <c r="C55" s="767"/>
      <c r="D55" s="767"/>
      <c r="E55" s="650"/>
      <c r="F55" s="650"/>
      <c r="G55" s="651"/>
      <c r="H55" s="650"/>
      <c r="I55" s="652"/>
      <c r="J55" s="653"/>
      <c r="K55" s="654"/>
      <c r="L55" s="655"/>
    </row>
    <row r="56" spans="2:12" x14ac:dyDescent="0.25">
      <c r="B56" s="198"/>
      <c r="C56" s="767"/>
      <c r="D56" s="767"/>
      <c r="E56" s="653"/>
      <c r="F56" s="650"/>
      <c r="G56" s="651"/>
      <c r="H56" s="650"/>
      <c r="I56" s="652"/>
      <c r="J56" s="653"/>
      <c r="K56" s="654"/>
      <c r="L56" s="655"/>
    </row>
    <row r="57" spans="2:12" x14ac:dyDescent="0.25">
      <c r="B57" s="198"/>
      <c r="C57" s="767"/>
      <c r="D57" s="767"/>
      <c r="E57" s="653"/>
      <c r="F57" s="650"/>
      <c r="G57" s="651"/>
      <c r="H57" s="650"/>
      <c r="I57" s="652"/>
      <c r="J57" s="653"/>
      <c r="K57" s="654"/>
      <c r="L57" s="655"/>
    </row>
    <row r="58" spans="2:12" x14ac:dyDescent="0.25">
      <c r="B58" s="198"/>
      <c r="C58" s="767"/>
      <c r="D58" s="767"/>
      <c r="E58" s="653"/>
      <c r="F58" s="650"/>
      <c r="G58" s="651"/>
      <c r="H58" s="650"/>
      <c r="I58" s="652"/>
      <c r="J58" s="653"/>
      <c r="K58" s="654"/>
      <c r="L58" s="655"/>
    </row>
    <row r="59" spans="2:12" x14ac:dyDescent="0.25">
      <c r="B59" s="198"/>
      <c r="C59" s="767"/>
      <c r="D59" s="767"/>
      <c r="E59" s="653"/>
      <c r="F59" s="650"/>
      <c r="G59" s="651"/>
      <c r="H59" s="650"/>
      <c r="I59" s="652"/>
      <c r="J59" s="653"/>
      <c r="K59" s="654"/>
      <c r="L59" s="655"/>
    </row>
    <row r="60" spans="2:12" x14ac:dyDescent="0.25">
      <c r="B60" s="198"/>
      <c r="C60" s="767"/>
      <c r="D60" s="767"/>
      <c r="E60" s="653"/>
      <c r="F60" s="650"/>
      <c r="G60" s="651"/>
      <c r="H60" s="650"/>
      <c r="I60" s="652"/>
      <c r="J60" s="653"/>
      <c r="K60" s="654"/>
      <c r="L60" s="655"/>
    </row>
    <row r="61" spans="2:12" x14ac:dyDescent="0.25">
      <c r="B61" s="198"/>
      <c r="C61" s="767"/>
      <c r="D61" s="767"/>
      <c r="E61" s="653"/>
      <c r="F61" s="650"/>
      <c r="G61" s="651"/>
      <c r="H61" s="650"/>
      <c r="I61" s="652"/>
      <c r="J61" s="653"/>
      <c r="K61" s="654"/>
      <c r="L61" s="655"/>
    </row>
    <row r="62" spans="2:12" x14ac:dyDescent="0.25">
      <c r="B62" s="198"/>
      <c r="C62" s="767"/>
      <c r="D62" s="767"/>
      <c r="E62" s="653"/>
      <c r="F62" s="650"/>
      <c r="G62" s="651"/>
      <c r="H62" s="650"/>
      <c r="I62" s="652"/>
      <c r="J62" s="653"/>
      <c r="K62" s="654"/>
      <c r="L62" s="655"/>
    </row>
    <row r="63" spans="2:12" x14ac:dyDescent="0.25">
      <c r="B63" s="198"/>
      <c r="C63" s="767"/>
      <c r="D63" s="767"/>
      <c r="E63" s="653"/>
      <c r="F63" s="650"/>
      <c r="G63" s="651"/>
      <c r="H63" s="650"/>
      <c r="I63" s="652"/>
      <c r="J63" s="653"/>
      <c r="K63" s="654"/>
      <c r="L63" s="655"/>
    </row>
    <row r="64" spans="2:12" x14ac:dyDescent="0.25">
      <c r="B64" s="198"/>
      <c r="C64" s="767"/>
      <c r="D64" s="767"/>
      <c r="E64" s="653"/>
      <c r="F64" s="650"/>
      <c r="G64" s="651"/>
      <c r="H64" s="650"/>
      <c r="I64" s="652"/>
      <c r="J64" s="653"/>
      <c r="K64" s="654"/>
      <c r="L64" s="655"/>
    </row>
    <row r="65" spans="2:12" x14ac:dyDescent="0.25">
      <c r="B65" s="198"/>
      <c r="C65" s="767"/>
      <c r="D65" s="767"/>
      <c r="E65" s="653"/>
      <c r="F65" s="650"/>
      <c r="G65" s="651"/>
      <c r="H65" s="650"/>
      <c r="I65" s="652"/>
      <c r="J65" s="653"/>
      <c r="K65" s="654"/>
      <c r="L65" s="655"/>
    </row>
    <row r="66" spans="2:12" x14ac:dyDescent="0.25">
      <c r="B66" s="198"/>
      <c r="C66" s="767"/>
      <c r="D66" s="767"/>
      <c r="E66" s="653"/>
      <c r="F66" s="650"/>
      <c r="G66" s="651"/>
      <c r="H66" s="650"/>
      <c r="I66" s="652"/>
      <c r="J66" s="653"/>
      <c r="K66" s="654"/>
      <c r="L66" s="655"/>
    </row>
    <row r="67" spans="2:12" x14ac:dyDescent="0.25">
      <c r="B67" s="198"/>
      <c r="C67" s="767"/>
      <c r="D67" s="767"/>
      <c r="E67" s="653"/>
      <c r="F67" s="650"/>
      <c r="G67" s="651"/>
      <c r="H67" s="650"/>
      <c r="I67" s="652"/>
      <c r="J67" s="653"/>
      <c r="K67" s="654"/>
      <c r="L67" s="655"/>
    </row>
    <row r="69" spans="2:12" x14ac:dyDescent="0.25">
      <c r="H69" s="198"/>
      <c r="I69" s="768"/>
      <c r="J69" s="768"/>
    </row>
    <row r="70" spans="2:12" x14ac:dyDescent="0.25">
      <c r="H70" s="643"/>
      <c r="I70" s="594"/>
      <c r="J70" s="594"/>
    </row>
    <row r="71" spans="2:12" x14ac:dyDescent="0.25">
      <c r="H71" s="643"/>
      <c r="I71" s="594"/>
      <c r="J71" s="594"/>
    </row>
  </sheetData>
  <mergeCells count="3">
    <mergeCell ref="B53:L53"/>
    <mergeCell ref="E16:F16"/>
    <mergeCell ref="E17:F17"/>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92D050"/>
    <pageSetUpPr fitToPage="1"/>
  </sheetPr>
  <dimension ref="A1:S49"/>
  <sheetViews>
    <sheetView topLeftCell="A7" zoomScaleNormal="100" workbookViewId="0">
      <selection activeCell="K35" sqref="K35"/>
    </sheetView>
  </sheetViews>
  <sheetFormatPr defaultRowHeight="15" x14ac:dyDescent="0.25"/>
  <cols>
    <col min="3" max="3" width="29.5703125" customWidth="1"/>
    <col min="4" max="4" width="7.28515625" customWidth="1"/>
    <col min="5" max="5" width="8.28515625" customWidth="1"/>
    <col min="6" max="6" width="5.28515625" customWidth="1"/>
    <col min="7" max="7" width="15.140625" bestFit="1" customWidth="1"/>
    <col min="8" max="10" width="16.140625" bestFit="1" customWidth="1"/>
    <col min="11" max="11" width="15.85546875" customWidth="1"/>
    <col min="12" max="12" width="17.42578125" customWidth="1"/>
    <col min="13" max="18" width="18" bestFit="1" customWidth="1"/>
  </cols>
  <sheetData>
    <row r="1" spans="1:19" ht="21" x14ac:dyDescent="0.35">
      <c r="A1" s="79" t="s">
        <v>488</v>
      </c>
      <c r="F1" t="s">
        <v>489</v>
      </c>
      <c r="G1" s="818" t="s">
        <v>490</v>
      </c>
      <c r="H1" s="818"/>
      <c r="I1" s="818"/>
      <c r="J1" s="818"/>
      <c r="K1" s="818"/>
      <c r="L1" s="818"/>
    </row>
    <row r="2" spans="1:19" x14ac:dyDescent="0.25">
      <c r="A2" s="10" t="s">
        <v>491</v>
      </c>
    </row>
    <row r="4" spans="1:19" x14ac:dyDescent="0.25">
      <c r="C4" s="6"/>
      <c r="D4" s="692"/>
      <c r="E4" s="6"/>
      <c r="F4" s="6"/>
    </row>
    <row r="5" spans="1:19" ht="16.5" customHeight="1" x14ac:dyDescent="0.35">
      <c r="A5" s="79"/>
      <c r="C5" s="6"/>
      <c r="D5" s="6"/>
      <c r="E5" s="6"/>
      <c r="F5" s="6"/>
    </row>
    <row r="6" spans="1:19" x14ac:dyDescent="0.25">
      <c r="C6" s="12"/>
      <c r="D6" s="6"/>
      <c r="E6" s="6"/>
      <c r="F6" s="693"/>
    </row>
    <row r="7" spans="1:19" x14ac:dyDescent="0.25">
      <c r="F7" s="109"/>
      <c r="G7" s="163"/>
    </row>
    <row r="8" spans="1:19" x14ac:dyDescent="0.25">
      <c r="C8" s="719" t="s">
        <v>403</v>
      </c>
      <c r="D8" s="719"/>
      <c r="E8" s="719"/>
      <c r="F8" s="719"/>
      <c r="G8" s="720">
        <f>CAPEX!G34</f>
        <v>3416.4</v>
      </c>
      <c r="H8" s="720">
        <f>CAPEX!H34</f>
        <v>17082</v>
      </c>
      <c r="I8" s="720">
        <f>CAPEX!I34</f>
        <v>46463.040000000001</v>
      </c>
      <c r="J8" s="720">
        <f>CAPEX!J34</f>
        <v>66961.440000000002</v>
      </c>
      <c r="K8" s="720">
        <f>CAPEX!K34</f>
        <v>102492</v>
      </c>
      <c r="L8" s="720">
        <f>CAPEX!L34</f>
        <v>159887.51999999999</v>
      </c>
      <c r="M8" s="720">
        <f>CAPEX!M34</f>
        <v>288344.15999999997</v>
      </c>
      <c r="N8" s="720">
        <f>CAPEX!N34</f>
        <v>457797.6</v>
      </c>
      <c r="O8" s="720">
        <f>CAPEX!O34</f>
        <v>532958.4</v>
      </c>
      <c r="P8" s="720">
        <f>CAPEX!P34</f>
        <v>625201.19999999995</v>
      </c>
      <c r="Q8" s="720">
        <f>CAPEX!Q34</f>
        <v>819936</v>
      </c>
      <c r="R8" s="720">
        <f>CAPEX!R34</f>
        <v>901929.6</v>
      </c>
      <c r="S8" s="671"/>
    </row>
    <row r="9" spans="1:19" x14ac:dyDescent="0.25">
      <c r="C9" t="s">
        <v>404</v>
      </c>
      <c r="G9" s="112">
        <f>CAPEX!G41</f>
        <v>46801341.136342272</v>
      </c>
      <c r="H9" s="112">
        <f>CAPEX!H41</f>
        <v>187371728.04316276</v>
      </c>
      <c r="I9" s="112">
        <f>CAPEX!I41</f>
        <v>446278387.82742262</v>
      </c>
      <c r="J9" s="112">
        <f>CAPEX!J41</f>
        <v>613370788.11282432</v>
      </c>
      <c r="K9" s="112">
        <f>CAPEX!K41</f>
        <v>889019109.31972647</v>
      </c>
      <c r="L9" s="112">
        <f>CAPEX!L41</f>
        <v>1311197616.5882885</v>
      </c>
      <c r="M9" s="112">
        <f>CAPEX!M41</f>
        <v>2198048756.5061646</v>
      </c>
      <c r="N9" s="112">
        <f>CAPEX!N41</f>
        <v>3299129286.3852224</v>
      </c>
      <c r="O9" s="112">
        <f>CAPEX!O41</f>
        <v>3771260210.2304702</v>
      </c>
      <c r="P9" s="112">
        <f>CAPEX!P41</f>
        <v>4340421495.0176315</v>
      </c>
      <c r="Q9" s="112">
        <f>CAPEX!Q41</f>
        <v>5512399271.1501951</v>
      </c>
      <c r="R9" s="112">
        <f>CAPEX!R41</f>
        <v>5996032245.0777855</v>
      </c>
    </row>
    <row r="10" spans="1:19" x14ac:dyDescent="0.25">
      <c r="C10" s="721" t="s">
        <v>405</v>
      </c>
      <c r="D10" s="50"/>
      <c r="E10" s="50"/>
      <c r="F10" s="82"/>
      <c r="G10" s="691">
        <f>SUM(G11:G17)</f>
        <v>6469595.4476625184</v>
      </c>
      <c r="H10" s="691">
        <f t="shared" ref="H10:Q10" si="0">SUM(H11:H17)</f>
        <v>27917654.362650465</v>
      </c>
      <c r="I10" s="691">
        <f t="shared" si="0"/>
        <v>69915612.183661148</v>
      </c>
      <c r="J10" s="691">
        <f t="shared" si="0"/>
        <v>97930198.449034318</v>
      </c>
      <c r="K10" s="691">
        <f t="shared" si="0"/>
        <v>145160856.57667401</v>
      </c>
      <c r="L10" s="691">
        <f t="shared" si="0"/>
        <v>219262077.83431542</v>
      </c>
      <c r="M10" s="691">
        <f t="shared" si="0"/>
        <v>379595334.41960967</v>
      </c>
      <c r="N10" s="691">
        <f t="shared" si="0"/>
        <v>584561999.52773619</v>
      </c>
      <c r="O10" s="691">
        <f t="shared" si="0"/>
        <v>673930734.16665471</v>
      </c>
      <c r="P10" s="691">
        <f t="shared" si="0"/>
        <v>782634693.29360497</v>
      </c>
      <c r="Q10" s="691">
        <f t="shared" si="0"/>
        <v>1009310260.2896684</v>
      </c>
      <c r="R10" s="691">
        <f>SUM(R11:R17)</f>
        <v>1103818625.7658298</v>
      </c>
    </row>
    <row r="11" spans="1:19" x14ac:dyDescent="0.25">
      <c r="C11" t="s">
        <v>406</v>
      </c>
      <c r="D11" s="75">
        <f>AVERAGE(0.05,0.1)</f>
        <v>7.5000000000000011E-2</v>
      </c>
      <c r="E11" t="s">
        <v>396</v>
      </c>
      <c r="F11" s="51"/>
      <c r="G11" s="74">
        <f>G9*$D$11</f>
        <v>3510100.5852256711</v>
      </c>
      <c r="H11" s="74">
        <f>H9*$D$11</f>
        <v>14052879.60323721</v>
      </c>
      <c r="I11" s="74">
        <f t="shared" ref="I11:Q11" si="1">I9*$D$11</f>
        <v>33470879.0870567</v>
      </c>
      <c r="J11" s="74">
        <f t="shared" si="1"/>
        <v>46002809.108461834</v>
      </c>
      <c r="K11" s="74">
        <f t="shared" si="1"/>
        <v>66676433.198979497</v>
      </c>
      <c r="L11" s="74">
        <f t="shared" si="1"/>
        <v>98339821.244121656</v>
      </c>
      <c r="M11" s="74">
        <f t="shared" si="1"/>
        <v>164853656.73796237</v>
      </c>
      <c r="N11" s="74">
        <f t="shared" si="1"/>
        <v>247434696.47889173</v>
      </c>
      <c r="O11" s="74">
        <f t="shared" si="1"/>
        <v>282844515.76728529</v>
      </c>
      <c r="P11" s="74">
        <f t="shared" si="1"/>
        <v>325531612.12632239</v>
      </c>
      <c r="Q11" s="74">
        <f t="shared" si="1"/>
        <v>413429945.33626467</v>
      </c>
      <c r="R11" s="74">
        <f>R9*$D$11</f>
        <v>449702418.38083398</v>
      </c>
    </row>
    <row r="12" spans="1:19" x14ac:dyDescent="0.25">
      <c r="C12" t="s">
        <v>407</v>
      </c>
      <c r="D12" s="16"/>
      <c r="F12" s="81"/>
      <c r="G12" s="74">
        <f>G8*$E$48*$E$49</f>
        <v>1056641.2740000002</v>
      </c>
      <c r="H12" s="74">
        <f t="shared" ref="H12:Q12" si="2">H8*$E$48*$E$49</f>
        <v>5283206.37</v>
      </c>
      <c r="I12" s="74">
        <f t="shared" si="2"/>
        <v>14370321.326400001</v>
      </c>
      <c r="J12" s="74">
        <f t="shared" si="2"/>
        <v>20710168.970400002</v>
      </c>
      <c r="K12" s="74">
        <f t="shared" si="2"/>
        <v>31699238.219999999</v>
      </c>
      <c r="L12" s="74">
        <f t="shared" si="2"/>
        <v>49450811.623199992</v>
      </c>
      <c r="M12" s="74">
        <f t="shared" si="2"/>
        <v>89180523.525600001</v>
      </c>
      <c r="N12" s="74">
        <f t="shared" si="2"/>
        <v>141589930.71599999</v>
      </c>
      <c r="O12" s="74">
        <f t="shared" si="2"/>
        <v>164836038.74400002</v>
      </c>
      <c r="P12" s="74">
        <f t="shared" si="2"/>
        <v>193365353.14199999</v>
      </c>
      <c r="Q12" s="74">
        <f t="shared" si="2"/>
        <v>253593905.75999999</v>
      </c>
      <c r="R12" s="74">
        <f>R8*$E$48*$E$49</f>
        <v>278953296.33600003</v>
      </c>
    </row>
    <row r="13" spans="1:19" x14ac:dyDescent="0.25">
      <c r="C13" t="s">
        <v>408</v>
      </c>
      <c r="D13" s="75">
        <f>AVERAGE(0.2,0.23)</f>
        <v>0.21500000000000002</v>
      </c>
      <c r="E13" t="s">
        <v>409</v>
      </c>
      <c r="F13" s="74"/>
      <c r="G13" s="74">
        <f>G12*$D$13</f>
        <v>227177.87391000008</v>
      </c>
      <c r="H13" s="74">
        <f t="shared" ref="H13:Q13" si="3">H12*$D$13</f>
        <v>1135889.3695500002</v>
      </c>
      <c r="I13" s="74">
        <f t="shared" si="3"/>
        <v>3089619.0851760004</v>
      </c>
      <c r="J13" s="74">
        <f t="shared" si="3"/>
        <v>4452686.3286360009</v>
      </c>
      <c r="K13" s="74">
        <f t="shared" si="3"/>
        <v>6815336.2173000006</v>
      </c>
      <c r="L13" s="74">
        <f t="shared" si="3"/>
        <v>10631924.498987999</v>
      </c>
      <c r="M13" s="74">
        <f t="shared" si="3"/>
        <v>19173812.558004003</v>
      </c>
      <c r="N13" s="74">
        <f t="shared" si="3"/>
        <v>30441835.103940003</v>
      </c>
      <c r="O13" s="74">
        <f t="shared" si="3"/>
        <v>35439748.329960011</v>
      </c>
      <c r="P13" s="74">
        <f t="shared" si="3"/>
        <v>41573550.925530002</v>
      </c>
      <c r="Q13" s="74">
        <f t="shared" si="3"/>
        <v>54522689.738400005</v>
      </c>
      <c r="R13" s="74">
        <f>R12*$D$13</f>
        <v>59974958.71224001</v>
      </c>
    </row>
    <row r="14" spans="1:19" x14ac:dyDescent="0.25">
      <c r="C14" t="s">
        <v>410</v>
      </c>
      <c r="D14" s="75">
        <v>0.2</v>
      </c>
      <c r="E14" t="s">
        <v>409</v>
      </c>
      <c r="F14" s="51"/>
      <c r="G14" s="74">
        <f>G12*$D$14</f>
        <v>211328.25480000005</v>
      </c>
      <c r="H14" s="74">
        <f t="shared" ref="H14:Q14" si="4">H12*$D$14</f>
        <v>1056641.274</v>
      </c>
      <c r="I14" s="74">
        <f t="shared" si="4"/>
        <v>2874064.2652800004</v>
      </c>
      <c r="J14" s="74">
        <f t="shared" si="4"/>
        <v>4142033.7940800004</v>
      </c>
      <c r="K14" s="74">
        <f t="shared" si="4"/>
        <v>6339847.6440000003</v>
      </c>
      <c r="L14" s="74">
        <f t="shared" si="4"/>
        <v>9890162.3246399984</v>
      </c>
      <c r="M14" s="74">
        <f t="shared" si="4"/>
        <v>17836104.705120001</v>
      </c>
      <c r="N14" s="74">
        <f t="shared" si="4"/>
        <v>28317986.143199999</v>
      </c>
      <c r="O14" s="74">
        <f t="shared" si="4"/>
        <v>32967207.748800006</v>
      </c>
      <c r="P14" s="74">
        <f t="shared" si="4"/>
        <v>38673070.628399998</v>
      </c>
      <c r="Q14" s="74">
        <f t="shared" si="4"/>
        <v>50718781.152000003</v>
      </c>
      <c r="R14" s="74">
        <f>R12*$D$14</f>
        <v>55790659.267200008</v>
      </c>
    </row>
    <row r="15" spans="1:19" x14ac:dyDescent="0.25">
      <c r="C15" t="s">
        <v>411</v>
      </c>
      <c r="D15" s="75">
        <v>0.5</v>
      </c>
      <c r="E15" t="s">
        <v>409</v>
      </c>
      <c r="F15" s="51"/>
      <c r="G15" s="74">
        <f>G12*$D$15</f>
        <v>528320.6370000001</v>
      </c>
      <c r="H15" s="74">
        <f t="shared" ref="H15:Q15" si="5">H12*$D$15</f>
        <v>2641603.1850000001</v>
      </c>
      <c r="I15" s="74">
        <f t="shared" si="5"/>
        <v>7185160.6632000003</v>
      </c>
      <c r="J15" s="74">
        <f t="shared" si="5"/>
        <v>10355084.485200001</v>
      </c>
      <c r="K15" s="74">
        <f t="shared" si="5"/>
        <v>15849619.109999999</v>
      </c>
      <c r="L15" s="74">
        <f t="shared" si="5"/>
        <v>24725405.811599996</v>
      </c>
      <c r="M15" s="74">
        <f t="shared" si="5"/>
        <v>44590261.762800001</v>
      </c>
      <c r="N15" s="74">
        <f t="shared" si="5"/>
        <v>70794965.357999995</v>
      </c>
      <c r="O15" s="74">
        <f t="shared" si="5"/>
        <v>82418019.372000009</v>
      </c>
      <c r="P15" s="74">
        <f t="shared" si="5"/>
        <v>96682676.570999995</v>
      </c>
      <c r="Q15" s="74">
        <f t="shared" si="5"/>
        <v>126796952.88</v>
      </c>
      <c r="R15" s="74">
        <f>R12*$D$15</f>
        <v>139476648.16800001</v>
      </c>
    </row>
    <row r="16" spans="1:19" x14ac:dyDescent="0.25">
      <c r="C16" t="s">
        <v>412</v>
      </c>
      <c r="D16" s="75">
        <v>0.01</v>
      </c>
      <c r="E16" t="s">
        <v>396</v>
      </c>
      <c r="F16" s="51"/>
      <c r="G16" s="74">
        <f>G9*$D$16</f>
        <v>468013.41136342275</v>
      </c>
      <c r="H16" s="74">
        <f t="shared" ref="H16:Q16" si="6">H9*$D$16</f>
        <v>1873717.2804316278</v>
      </c>
      <c r="I16" s="74">
        <f t="shared" si="6"/>
        <v>4462783.8782742266</v>
      </c>
      <c r="J16" s="74">
        <f t="shared" si="6"/>
        <v>6133707.8811282432</v>
      </c>
      <c r="K16" s="74">
        <f t="shared" si="6"/>
        <v>8890191.0931972656</v>
      </c>
      <c r="L16" s="74">
        <f t="shared" si="6"/>
        <v>13111976.165882885</v>
      </c>
      <c r="M16" s="74">
        <f t="shared" si="6"/>
        <v>21980487.565061647</v>
      </c>
      <c r="N16" s="74">
        <f t="shared" si="6"/>
        <v>32991292.863852225</v>
      </c>
      <c r="O16" s="74">
        <f t="shared" si="6"/>
        <v>37712602.102304704</v>
      </c>
      <c r="P16" s="74">
        <f t="shared" si="6"/>
        <v>43404214.950176314</v>
      </c>
      <c r="Q16" s="74">
        <f t="shared" si="6"/>
        <v>55123992.711501956</v>
      </c>
      <c r="R16" s="74">
        <f>R9*$D$16</f>
        <v>59960322.450777858</v>
      </c>
    </row>
    <row r="17" spans="3:18" x14ac:dyDescent="0.25">
      <c r="C17" t="s">
        <v>413</v>
      </c>
      <c r="D17" s="75">
        <v>0.01</v>
      </c>
      <c r="E17" t="s">
        <v>396</v>
      </c>
      <c r="F17" s="51"/>
      <c r="G17" s="74">
        <f>G9*$D$17</f>
        <v>468013.41136342275</v>
      </c>
      <c r="H17" s="74">
        <f t="shared" ref="H17:Q17" si="7">H9*$D$17</f>
        <v>1873717.2804316278</v>
      </c>
      <c r="I17" s="74">
        <f t="shared" si="7"/>
        <v>4462783.8782742266</v>
      </c>
      <c r="J17" s="74">
        <f t="shared" si="7"/>
        <v>6133707.8811282432</v>
      </c>
      <c r="K17" s="74">
        <f t="shared" si="7"/>
        <v>8890191.0931972656</v>
      </c>
      <c r="L17" s="74">
        <f t="shared" si="7"/>
        <v>13111976.165882885</v>
      </c>
      <c r="M17" s="74">
        <f t="shared" si="7"/>
        <v>21980487.565061647</v>
      </c>
      <c r="N17" s="74">
        <f t="shared" si="7"/>
        <v>32991292.863852225</v>
      </c>
      <c r="O17" s="74">
        <f t="shared" si="7"/>
        <v>37712602.102304704</v>
      </c>
      <c r="P17" s="74">
        <f t="shared" si="7"/>
        <v>43404214.950176314</v>
      </c>
      <c r="Q17" s="74">
        <f t="shared" si="7"/>
        <v>55123992.711501956</v>
      </c>
      <c r="R17" s="74">
        <f>R9*$D$17</f>
        <v>59960322.450777858</v>
      </c>
    </row>
    <row r="18" spans="3:18" x14ac:dyDescent="0.25">
      <c r="C18" s="721" t="s">
        <v>414</v>
      </c>
      <c r="D18" s="50"/>
      <c r="E18" s="50"/>
      <c r="F18" s="83"/>
      <c r="G18" s="82">
        <f>G19+G26+G27</f>
        <v>22574758.148833632</v>
      </c>
      <c r="H18" s="82">
        <f t="shared" ref="H18:Q18" si="8">H19+H26+H27</f>
        <v>112873779.74416816</v>
      </c>
      <c r="I18" s="82">
        <f t="shared" si="8"/>
        <v>307016664.6241374</v>
      </c>
      <c r="J18" s="82">
        <f t="shared" si="8"/>
        <v>442465169.5171392</v>
      </c>
      <c r="K18" s="82">
        <f t="shared" si="8"/>
        <v>677242634.46500897</v>
      </c>
      <c r="L18" s="82">
        <f t="shared" si="8"/>
        <v>1056498509.765414</v>
      </c>
      <c r="M18" s="82">
        <f t="shared" si="8"/>
        <v>1905309248.9615586</v>
      </c>
      <c r="N18" s="82">
        <f t="shared" si="8"/>
        <v>3025017063.943707</v>
      </c>
      <c r="O18" s="82">
        <f t="shared" si="8"/>
        <v>3521661655.2180467</v>
      </c>
      <c r="P18" s="82">
        <f t="shared" si="8"/>
        <v>4131180037.2365546</v>
      </c>
      <c r="Q18" s="82">
        <f t="shared" si="8"/>
        <v>5417941020.7200718</v>
      </c>
      <c r="R18" s="82">
        <f>R19+R26+R27</f>
        <v>5959735106.292079</v>
      </c>
    </row>
    <row r="19" spans="3:18" x14ac:dyDescent="0.25">
      <c r="C19" s="673" t="s">
        <v>415</v>
      </c>
      <c r="D19" s="673"/>
      <c r="E19" s="673"/>
      <c r="F19" s="674"/>
      <c r="G19" s="675">
        <f>SUM(G20:G25)</f>
        <v>18936420</v>
      </c>
      <c r="H19" s="675">
        <f t="shared" ref="H19:Q19" si="9">SUM(H20:H25)</f>
        <v>94682090</v>
      </c>
      <c r="I19" s="675">
        <f t="shared" si="9"/>
        <v>257535270</v>
      </c>
      <c r="J19" s="675">
        <f t="shared" si="9"/>
        <v>371153750</v>
      </c>
      <c r="K19" s="675">
        <f t="shared" si="9"/>
        <v>568092500</v>
      </c>
      <c r="L19" s="675">
        <f t="shared" si="9"/>
        <v>886224300</v>
      </c>
      <c r="M19" s="675">
        <f t="shared" si="9"/>
        <v>1598233540</v>
      </c>
      <c r="N19" s="675">
        <f t="shared" si="9"/>
        <v>2537479800</v>
      </c>
      <c r="O19" s="675">
        <f t="shared" si="9"/>
        <v>2954080960</v>
      </c>
      <c r="P19" s="675">
        <f t="shared" si="9"/>
        <v>3465364220</v>
      </c>
      <c r="Q19" s="675">
        <f t="shared" si="9"/>
        <v>4544739950</v>
      </c>
      <c r="R19" s="675">
        <f>SUM(R20:R25)</f>
        <v>4999213930</v>
      </c>
    </row>
    <row r="20" spans="3:18" x14ac:dyDescent="0.25">
      <c r="C20" s="17" t="s">
        <v>316</v>
      </c>
      <c r="G20" s="74">
        <f>ROUND(Compositions!$AB$11*G8*$E$34,-1)</f>
        <v>1104050</v>
      </c>
      <c r="H20" s="74">
        <f>ROUND(Compositions!$AB$11*H8*$E$34,-1)</f>
        <v>5520230</v>
      </c>
      <c r="I20" s="74">
        <f>ROUND(Compositions!$AB$11*I8*$E$34,-1)</f>
        <v>15015020</v>
      </c>
      <c r="J20" s="74">
        <f>ROUND(Compositions!$AB$11*J8*$E$34,-1)</f>
        <v>21639300</v>
      </c>
      <c r="K20" s="74">
        <f>ROUND(Compositions!$AB$11*K8*$E$34,-1)</f>
        <v>33121380</v>
      </c>
      <c r="L20" s="74">
        <f>ROUND(Compositions!$AB$11*L8*$E$34,-1)</f>
        <v>51669350</v>
      </c>
      <c r="M20" s="74">
        <f>ROUND(Compositions!$AB$11*M8*$E$34,-1)</f>
        <v>93181470</v>
      </c>
      <c r="N20" s="74">
        <f>ROUND(Compositions!$AB$11*N8*$E$34,-1)</f>
        <v>147942150</v>
      </c>
      <c r="O20" s="74">
        <f>ROUND(Compositions!$AB$11*O8*$E$34,-1)</f>
        <v>172231160</v>
      </c>
      <c r="P20" s="74">
        <f>ROUND(Compositions!$AB$11*P8*$E$34,-1)</f>
        <v>202040400</v>
      </c>
      <c r="Q20" s="74">
        <f>ROUND(Compositions!$AB$11*Q8*$E$34,-1)</f>
        <v>264971010</v>
      </c>
      <c r="R20" s="74">
        <f>ROUND(Compositions!$AB$11*R8*$E$34,-1)</f>
        <v>291468110</v>
      </c>
    </row>
    <row r="21" spans="3:18" x14ac:dyDescent="0.25">
      <c r="C21" s="17" t="s">
        <v>320</v>
      </c>
      <c r="G21" s="74">
        <f>ROUND(Compositions!$AC$39*G8*$E$35,-1)</f>
        <v>401990</v>
      </c>
      <c r="H21" s="74">
        <f>ROUND(Compositions!$AC$39*H8*$E$35,-1)</f>
        <v>2009970</v>
      </c>
      <c r="I21" s="74">
        <f>ROUND(Compositions!$AC$39*I8*$E$35,-1)</f>
        <v>5467120</v>
      </c>
      <c r="J21" s="74">
        <f>ROUND(Compositions!$AC$39*J8*$E$35,-1)</f>
        <v>7879080</v>
      </c>
      <c r="K21" s="74">
        <f>ROUND(Compositions!$AC$39*K8*$E$35,-1)</f>
        <v>12059820</v>
      </c>
      <c r="L21" s="74">
        <f>ROUND(Compositions!$AC$39*L8*$E$35,-1)</f>
        <v>18813320</v>
      </c>
      <c r="M21" s="74">
        <f>ROUND(Compositions!$AC$39*M8*$E$35,-1)</f>
        <v>33928290</v>
      </c>
      <c r="N21" s="74">
        <f>ROUND(Compositions!$AC$39*N8*$E$35,-1)</f>
        <v>53867190</v>
      </c>
      <c r="O21" s="74">
        <f>ROUND(Compositions!$AC$39*O8*$E$35,-1)</f>
        <v>62711060</v>
      </c>
      <c r="P21" s="74">
        <f>ROUND(Compositions!$AC$39*P8*$E$35,-1)</f>
        <v>73564900</v>
      </c>
      <c r="Q21" s="74">
        <f>ROUND(Compositions!$AC$39*Q8*$E$35,-1)</f>
        <v>96478560</v>
      </c>
      <c r="R21" s="74">
        <f>ROUND(Compositions!$AC$39*R8*$E$35,-1)</f>
        <v>106126410</v>
      </c>
    </row>
    <row r="22" spans="3:18" x14ac:dyDescent="0.25">
      <c r="C22" s="17" t="s">
        <v>323</v>
      </c>
      <c r="G22" s="74">
        <f>ROUND(Compositions!$AC$40*G8*$E$36,-1)</f>
        <v>160800</v>
      </c>
      <c r="H22" s="74">
        <f>ROUND(Compositions!$AC$40*H8*$E$36,-1)</f>
        <v>803990</v>
      </c>
      <c r="I22" s="74">
        <f>ROUND(Compositions!$AC$40*I8*$E$36,-1)</f>
        <v>2186850</v>
      </c>
      <c r="J22" s="74">
        <f>ROUND(Compositions!$AC$40*J8*$E$36,-1)</f>
        <v>3151630</v>
      </c>
      <c r="K22" s="74">
        <f>ROUND(Compositions!$AC$40*K8*$E$36,-1)</f>
        <v>4823930</v>
      </c>
      <c r="L22" s="74">
        <f>ROUND(Compositions!$AC$40*L8*$E$36,-1)</f>
        <v>7525330</v>
      </c>
      <c r="M22" s="74">
        <f>ROUND(Compositions!$AC$40*M8*$E$36,-1)</f>
        <v>13571320</v>
      </c>
      <c r="N22" s="74">
        <f>ROUND(Compositions!$AC$40*N8*$E$36,-1)</f>
        <v>21546880</v>
      </c>
      <c r="O22" s="74">
        <f>ROUND(Compositions!$AC$40*O8*$E$36,-1)</f>
        <v>25084420</v>
      </c>
      <c r="P22" s="74">
        <f>ROUND(Compositions!$AC$40*P8*$E$36,-1)</f>
        <v>29425960</v>
      </c>
      <c r="Q22" s="74">
        <f>ROUND(Compositions!$AC$40*Q8*$E$36,-1)</f>
        <v>38591420</v>
      </c>
      <c r="R22" s="74">
        <f>ROUND(Compositions!$AC$40*R8*$E$36,-1)</f>
        <v>42450560</v>
      </c>
    </row>
    <row r="23" spans="3:18" x14ac:dyDescent="0.25">
      <c r="C23" s="17" t="s">
        <v>326</v>
      </c>
      <c r="G23" s="74">
        <f>ROUND(Compositions!$AC$38*G8*$E$37,-1)</f>
        <v>17267640</v>
      </c>
      <c r="H23" s="74">
        <f>ROUND(Compositions!$AC$38*H8*$E$37,-1)</f>
        <v>86338200</v>
      </c>
      <c r="I23" s="74">
        <f>ROUND(Compositions!$AC$38*I8*$E$37,-1)</f>
        <v>234839900</v>
      </c>
      <c r="J23" s="74">
        <f>ROUND(Compositions!$AC$38*J8*$E$37,-1)</f>
        <v>338445730</v>
      </c>
      <c r="K23" s="74">
        <f>ROUND(Compositions!$AC$38*K8*$E$37,-1)</f>
        <v>518029190</v>
      </c>
      <c r="L23" s="74">
        <f>ROUND(Compositions!$AC$38*L8*$E$37,-1)</f>
        <v>808125530</v>
      </c>
      <c r="M23" s="74">
        <f>ROUND(Compositions!$AC$38*M8*$E$37,-1)</f>
        <v>1457388770</v>
      </c>
      <c r="N23" s="74">
        <f>ROUND(Compositions!$AC$38*N8*$E$37,-1)</f>
        <v>2313863690</v>
      </c>
      <c r="O23" s="74">
        <f>ROUND(Compositions!$AC$38*O8*$E$37,-1)</f>
        <v>2693751760</v>
      </c>
      <c r="P23" s="74">
        <f>ROUND(Compositions!$AC$38*P8*$E$37,-1)</f>
        <v>3159978030</v>
      </c>
      <c r="Q23" s="74">
        <f>ROUND(Compositions!$AC$38*Q8*$E$37,-1)</f>
        <v>4144233480</v>
      </c>
      <c r="R23" s="74">
        <f>ROUND(Compositions!$AC$38*R8*$E$37,-1)</f>
        <v>4558656830</v>
      </c>
    </row>
    <row r="24" spans="3:18" x14ac:dyDescent="0.25">
      <c r="C24" s="17" t="s">
        <v>329</v>
      </c>
      <c r="G24" s="74">
        <f>ROUND(Compositions!$AC$41*G8*$E$38,-1)</f>
        <v>1940</v>
      </c>
      <c r="H24" s="74">
        <f>ROUND(Compositions!$AC$41*H8*$E$38,-1)</f>
        <v>9700</v>
      </c>
      <c r="I24" s="74">
        <f>ROUND(Compositions!$AC$41*I8*$E$38,-1)</f>
        <v>26380</v>
      </c>
      <c r="J24" s="74">
        <f>ROUND(Compositions!$AC$41*J8*$E$38,-1)</f>
        <v>38010</v>
      </c>
      <c r="K24" s="74">
        <f>ROUND(Compositions!$AC$41*K8*$E$38,-1)</f>
        <v>58180</v>
      </c>
      <c r="L24" s="74">
        <f>ROUND(Compositions!$AC$41*L8*$E$38,-1)</f>
        <v>90770</v>
      </c>
      <c r="M24" s="74">
        <f>ROUND(Compositions!$AC$41*M8*$E$38,-1)</f>
        <v>163690</v>
      </c>
      <c r="N24" s="74">
        <f>ROUND(Compositions!$AC$41*N8*$E$38,-1)</f>
        <v>259890</v>
      </c>
      <c r="O24" s="74">
        <f>ROUND(Compositions!$AC$41*O8*$E$38,-1)</f>
        <v>302560</v>
      </c>
      <c r="P24" s="74">
        <f>ROUND(Compositions!$AC$41*P8*$E$38,-1)</f>
        <v>354930</v>
      </c>
      <c r="Q24" s="74">
        <f>ROUND(Compositions!$AC$41*Q8*$E$38,-1)</f>
        <v>465480</v>
      </c>
      <c r="R24" s="74">
        <f>ROUND(Compositions!$AC$41*R8*$E$38,-1)</f>
        <v>512020</v>
      </c>
    </row>
    <row r="25" spans="3:18" x14ac:dyDescent="0.25">
      <c r="C25" s="17" t="s">
        <v>332</v>
      </c>
      <c r="G25" s="74">
        <f>ROUND(Compositions!$AC$37*G8*$E$39,-1)</f>
        <v>0</v>
      </c>
      <c r="H25" s="74">
        <f>ROUND(Compositions!$AC$37*H8*$E$39,-1)</f>
        <v>0</v>
      </c>
      <c r="I25" s="74">
        <f>ROUND(Compositions!$AC$37*I8*$E$39,-1)</f>
        <v>0</v>
      </c>
      <c r="J25" s="74">
        <f>ROUND(Compositions!$AC$37*J8*$E$39,-1)</f>
        <v>0</v>
      </c>
      <c r="K25" s="74">
        <f>ROUND(Compositions!$AC$37*K8*$E$39,-1)</f>
        <v>0</v>
      </c>
      <c r="L25" s="74">
        <f>ROUND(Compositions!$AC$37*L8*$E$39,-1)</f>
        <v>0</v>
      </c>
      <c r="M25" s="74">
        <f>ROUND(Compositions!$AC$37*M8*$E$39,-1)</f>
        <v>0</v>
      </c>
      <c r="N25" s="74">
        <f>ROUND(Compositions!$AC$37*N8*$E$39,-1)</f>
        <v>0</v>
      </c>
      <c r="O25" s="74">
        <f>ROUND(Compositions!$AC$37*O8*$E$39,-1)</f>
        <v>0</v>
      </c>
      <c r="P25" s="74">
        <f>ROUND(Compositions!$AC$37*P8*$E$39,-1)</f>
        <v>0</v>
      </c>
      <c r="Q25" s="74">
        <f>ROUND(Compositions!$AC$37*Q8*$E$39,-1)</f>
        <v>0</v>
      </c>
      <c r="R25" s="74">
        <f>ROUND(Compositions!$AC$37*R8*$E$39,-1)</f>
        <v>0</v>
      </c>
    </row>
    <row r="26" spans="3:18" x14ac:dyDescent="0.25">
      <c r="C26" t="s">
        <v>416</v>
      </c>
      <c r="D26" s="75">
        <v>0.1</v>
      </c>
      <c r="E26" t="s">
        <v>417</v>
      </c>
      <c r="F26" s="51"/>
      <c r="G26" s="676">
        <f>G19*$D$26</f>
        <v>1893642</v>
      </c>
      <c r="H26" s="676">
        <f t="shared" ref="H26:R26" si="10">H19*$D$26</f>
        <v>9468209</v>
      </c>
      <c r="I26" s="676">
        <f t="shared" si="10"/>
        <v>25753527</v>
      </c>
      <c r="J26" s="676">
        <f t="shared" si="10"/>
        <v>37115375</v>
      </c>
      <c r="K26" s="676">
        <f t="shared" si="10"/>
        <v>56809250</v>
      </c>
      <c r="L26" s="676">
        <f t="shared" si="10"/>
        <v>88622430</v>
      </c>
      <c r="M26" s="676">
        <f t="shared" si="10"/>
        <v>159823354</v>
      </c>
      <c r="N26" s="676">
        <f t="shared" si="10"/>
        <v>253747980</v>
      </c>
      <c r="O26" s="676">
        <f>O19*$D$26</f>
        <v>295408096</v>
      </c>
      <c r="P26" s="676">
        <f t="shared" si="10"/>
        <v>346536422</v>
      </c>
      <c r="Q26" s="676">
        <f t="shared" si="10"/>
        <v>454473995</v>
      </c>
      <c r="R26" s="676">
        <f t="shared" si="10"/>
        <v>499921393</v>
      </c>
    </row>
    <row r="27" spans="3:18" x14ac:dyDescent="0.25">
      <c r="C27" t="s">
        <v>418</v>
      </c>
      <c r="D27" s="99"/>
      <c r="E27" s="6"/>
      <c r="F27" s="100"/>
      <c r="G27" s="135">
        <f>($E$42*G8*$E$43)+($E$45*G8)</f>
        <v>1744696.1488336329</v>
      </c>
      <c r="H27" s="135">
        <f t="shared" ref="H27:Q27" si="11">($E$42*H8*$E$43)+($E$45*H8)</f>
        <v>8723480.7441681642</v>
      </c>
      <c r="I27" s="135">
        <f t="shared" si="11"/>
        <v>23727867.624137409</v>
      </c>
      <c r="J27" s="135">
        <f t="shared" si="11"/>
        <v>34196044.517139211</v>
      </c>
      <c r="K27" s="135">
        <f t="shared" si="11"/>
        <v>52340884.465008989</v>
      </c>
      <c r="L27" s="135">
        <f t="shared" si="11"/>
        <v>81651779.765414029</v>
      </c>
      <c r="M27" s="135">
        <f t="shared" si="11"/>
        <v>147252354.96155861</v>
      </c>
      <c r="N27" s="135">
        <f t="shared" si="11"/>
        <v>233789283.94370681</v>
      </c>
      <c r="O27" s="135">
        <f t="shared" si="11"/>
        <v>272172599.21804678</v>
      </c>
      <c r="P27" s="135">
        <f t="shared" si="11"/>
        <v>319279395.2365548</v>
      </c>
      <c r="Q27" s="135">
        <f t="shared" si="11"/>
        <v>418727075.72007191</v>
      </c>
      <c r="R27" s="135">
        <f>($E$42*R8*$E$43)+($E$45*R8)</f>
        <v>460599783.29207909</v>
      </c>
    </row>
    <row r="28" spans="3:18" x14ac:dyDescent="0.25">
      <c r="C28" s="78"/>
      <c r="D28" s="78"/>
      <c r="E28" s="78"/>
      <c r="F28" s="78"/>
      <c r="G28" s="78"/>
      <c r="H28" s="78"/>
      <c r="I28" s="78"/>
      <c r="J28" s="78"/>
      <c r="K28" s="78"/>
      <c r="L28" s="78"/>
      <c r="M28" s="78"/>
      <c r="N28" s="78"/>
      <c r="O28" s="78"/>
      <c r="P28" s="78"/>
      <c r="Q28" s="78"/>
      <c r="R28" s="78"/>
    </row>
    <row r="29" spans="3:18" x14ac:dyDescent="0.25">
      <c r="C29" s="73" t="s">
        <v>419</v>
      </c>
      <c r="D29" s="75">
        <f>AVERAGE(0.2,0.3)</f>
        <v>0.25</v>
      </c>
      <c r="E29" t="s">
        <v>420</v>
      </c>
      <c r="F29" s="72"/>
      <c r="G29" s="74">
        <f>(G18+G10)*$D$29</f>
        <v>7261088.3991240375</v>
      </c>
      <c r="H29" s="74">
        <f t="shared" ref="H29:Q29" si="12">(H18+H10)*$D$29</f>
        <v>35197858.526704654</v>
      </c>
      <c r="I29" s="74">
        <f t="shared" si="12"/>
        <v>94233069.201949641</v>
      </c>
      <c r="J29" s="74">
        <f t="shared" si="12"/>
        <v>135098841.99154338</v>
      </c>
      <c r="K29" s="74">
        <f t="shared" si="12"/>
        <v>205600872.76042074</v>
      </c>
      <c r="L29" s="74">
        <f t="shared" si="12"/>
        <v>318940146.89993238</v>
      </c>
      <c r="M29" s="74">
        <f t="shared" si="12"/>
        <v>571226145.84529209</v>
      </c>
      <c r="N29" s="74">
        <f t="shared" si="12"/>
        <v>902394765.86786079</v>
      </c>
      <c r="O29" s="74">
        <f t="shared" si="12"/>
        <v>1048898097.3461753</v>
      </c>
      <c r="P29" s="74">
        <f t="shared" si="12"/>
        <v>1228453682.63254</v>
      </c>
      <c r="Q29" s="74">
        <f t="shared" si="12"/>
        <v>1606812820.252435</v>
      </c>
      <c r="R29" s="74">
        <f>(R18+R10)*$D$29</f>
        <v>1765888433.0144773</v>
      </c>
    </row>
    <row r="30" spans="3:18" x14ac:dyDescent="0.25">
      <c r="C30" s="694" t="s">
        <v>421</v>
      </c>
      <c r="D30" s="695"/>
      <c r="E30" s="695"/>
      <c r="F30" s="108"/>
      <c r="G30" s="696">
        <f>G29+G18+G10</f>
        <v>36305441.995620191</v>
      </c>
      <c r="H30" s="696">
        <f t="shared" ref="H30:Q30" si="13">H29+H18+H10</f>
        <v>175989292.63352329</v>
      </c>
      <c r="I30" s="696">
        <f t="shared" si="13"/>
        <v>471165346.00974822</v>
      </c>
      <c r="J30" s="696">
        <f t="shared" si="13"/>
        <v>675494209.95771694</v>
      </c>
      <c r="K30" s="696">
        <f t="shared" si="13"/>
        <v>1028004363.8021038</v>
      </c>
      <c r="L30" s="696">
        <f>L29+L18+L10</f>
        <v>1594700734.4996619</v>
      </c>
      <c r="M30" s="696">
        <f t="shared" si="13"/>
        <v>2856130729.22646</v>
      </c>
      <c r="N30" s="696">
        <f t="shared" si="13"/>
        <v>4511973829.339304</v>
      </c>
      <c r="O30" s="696">
        <f t="shared" si="13"/>
        <v>5244490486.7308769</v>
      </c>
      <c r="P30" s="696">
        <f t="shared" si="13"/>
        <v>6142268413.1626997</v>
      </c>
      <c r="Q30" s="696">
        <f t="shared" si="13"/>
        <v>8034064101.2621746</v>
      </c>
      <c r="R30" s="696">
        <f>R29+R18+R10</f>
        <v>8829442165.0723858</v>
      </c>
    </row>
    <row r="34" spans="3:6" x14ac:dyDescent="0.25">
      <c r="C34" s="679" t="str">
        <f>'Cost Analysis (Ref. Interview)'!G13</f>
        <v>Raw Silica Price:</v>
      </c>
      <c r="D34" s="680"/>
      <c r="E34" s="756">
        <f>Reference!P27*1000</f>
        <v>150</v>
      </c>
      <c r="F34" s="682" t="str">
        <f>'Cost Analysis (Ref. Interview)'!I13</f>
        <v>(per mt)</v>
      </c>
    </row>
    <row r="35" spans="3:6" x14ac:dyDescent="0.25">
      <c r="C35" s="683" t="str">
        <f>'Cost Analysis (Ref. Interview)'!G14</f>
        <v>MgF2 Price:</v>
      </c>
      <c r="D35" s="684"/>
      <c r="E35" s="685">
        <f>Reference!P28*1000</f>
        <v>1000</v>
      </c>
      <c r="F35" s="686" t="str">
        <f>'Cost Analysis (Ref. Interview)'!I14</f>
        <v>(per mt)</v>
      </c>
    </row>
    <row r="36" spans="3:6" x14ac:dyDescent="0.25">
      <c r="C36" s="683" t="str">
        <f>'Cost Analysis (Ref. Interview)'!G15</f>
        <v>CaF2 Price:</v>
      </c>
      <c r="D36" s="684"/>
      <c r="E36" s="685">
        <f>Reference!P29*1000</f>
        <v>400</v>
      </c>
      <c r="F36" s="686" t="str">
        <f>'Cost Analysis (Ref. Interview)'!I15</f>
        <v>(per mt)</v>
      </c>
    </row>
    <row r="37" spans="3:6" x14ac:dyDescent="0.25">
      <c r="C37" s="683" t="str">
        <f>'Cost Analysis (Ref. Interview)'!G16</f>
        <v>YF3 Price:</v>
      </c>
      <c r="D37" s="684"/>
      <c r="E37" s="685">
        <f>Reference!P31*1000</f>
        <v>1000000</v>
      </c>
      <c r="F37" s="686" t="str">
        <f>'Cost Analysis (Ref. Interview)'!I16</f>
        <v>(per mt)</v>
      </c>
    </row>
    <row r="38" spans="3:6" x14ac:dyDescent="0.25">
      <c r="C38" s="683" t="str">
        <f>'Cost Analysis (Ref. Interview)'!G17</f>
        <v>CaO Price:</v>
      </c>
      <c r="D38" s="684"/>
      <c r="E38" s="685">
        <f>Reference!P30*1000</f>
        <v>150</v>
      </c>
      <c r="F38" s="686" t="str">
        <f>'Cost Analysis (Ref. Interview)'!I17</f>
        <v>(per mt)</v>
      </c>
    </row>
    <row r="39" spans="3:6" x14ac:dyDescent="0.25">
      <c r="C39" s="683" t="str">
        <f>'Cost Analysis (Ref. Interview)'!G18</f>
        <v>Y2O3 Price:</v>
      </c>
      <c r="D39" s="684"/>
      <c r="E39" s="685">
        <f>Reference!P32*1000</f>
        <v>5000</v>
      </c>
      <c r="F39" s="686" t="str">
        <f>'Cost Analysis (Ref. Interview)'!I18</f>
        <v>(per mt)</v>
      </c>
    </row>
    <row r="40" spans="3:6" x14ac:dyDescent="0.25">
      <c r="C40" s="683" t="str">
        <f>'Cost Analysis (Ref. Interview)'!G19</f>
        <v>Transportation:</v>
      </c>
      <c r="D40" s="684"/>
      <c r="E40" s="685">
        <f>'Cost Analysis (Ref. Interview)'!H19</f>
        <v>16</v>
      </c>
      <c r="F40" s="686" t="str">
        <f>'Cost Analysis (Ref. Interview)'!I19</f>
        <v>(per mt)</v>
      </c>
    </row>
    <row r="41" spans="3:6" x14ac:dyDescent="0.25">
      <c r="C41" s="683" t="str">
        <f>'Cost Analysis (Ref. Interview)'!G20</f>
        <v>Current Efficiency:</v>
      </c>
      <c r="D41" s="684"/>
      <c r="E41" s="684">
        <f>'Cost Analysis (Ref. Interview)'!H20</f>
        <v>0.9</v>
      </c>
      <c r="F41" s="686"/>
    </row>
    <row r="42" spans="3:6" x14ac:dyDescent="0.25">
      <c r="C42" s="683" t="str">
        <f>'Cost Analysis (Ref. Interview)'!G21</f>
        <v>MWh needed to produce 1 ton of Si at 1100C</v>
      </c>
      <c r="D42" s="684"/>
      <c r="E42" s="684">
        <f>'Cost Analysis (Ref. Interview)'!H21</f>
        <v>14.314421114171184</v>
      </c>
      <c r="F42" s="686" t="str">
        <f>'Cost Analysis (Ref. Interview)'!I21</f>
        <v>MWh</v>
      </c>
    </row>
    <row r="43" spans="3:6" x14ac:dyDescent="0.25">
      <c r="C43" s="687" t="str">
        <f>'Cost Analysis (Ref. Interview)'!G22</f>
        <v>Energy Price:</v>
      </c>
      <c r="D43" s="688"/>
      <c r="E43" s="689">
        <f>'Cost Analysis (Ref. Interview)'!H22</f>
        <v>30</v>
      </c>
      <c r="F43" s="690" t="str">
        <f>'Cost Analysis (Ref. Interview)'!I22</f>
        <v>(per MWh)</v>
      </c>
    </row>
    <row r="44" spans="3:6" x14ac:dyDescent="0.25">
      <c r="C44" s="683"/>
      <c r="D44" s="684"/>
      <c r="E44" s="684"/>
      <c r="F44" s="686"/>
    </row>
    <row r="45" spans="3:6" x14ac:dyDescent="0.25">
      <c r="C45" s="679" t="str">
        <f>'Cost Analysis (Ref. Interview)'!G23</f>
        <v>Utility (other than Electricity) per Tonne (Annually)</v>
      </c>
      <c r="D45" s="680"/>
      <c r="E45" s="681">
        <f>'Cost Analysis (Ref. Interview)'!H23</f>
        <v>81.25</v>
      </c>
      <c r="F45" s="682"/>
    </row>
    <row r="46" spans="3:6" x14ac:dyDescent="0.25">
      <c r="C46" s="683" t="str">
        <f>'Cost Analysis (Ref. Interview)'!G24</f>
        <v>Overheads and Misc per Tonne (Annually)</v>
      </c>
      <c r="D46" s="684"/>
      <c r="E46" s="685">
        <f>'Cost Analysis (Ref. Interview)'!H24</f>
        <v>1606.1756875000001</v>
      </c>
      <c r="F46" s="686"/>
    </row>
    <row r="47" spans="3:6" x14ac:dyDescent="0.25">
      <c r="C47" s="687" t="str">
        <f>'Cost Analysis (Ref. Interview)'!G25</f>
        <v>Labor per Tonne (Annually)</v>
      </c>
      <c r="D47" s="688"/>
      <c r="E47" s="689">
        <f>'Cost Analysis (Ref. Interview)'!H25</f>
        <v>367.315</v>
      </c>
      <c r="F47" s="690"/>
    </row>
    <row r="48" spans="3:6" x14ac:dyDescent="0.25">
      <c r="C48" s="679" t="s">
        <v>492</v>
      </c>
      <c r="D48" s="680"/>
      <c r="E48" s="680">
        <v>7.11</v>
      </c>
      <c r="F48" s="682"/>
    </row>
    <row r="49" spans="3:6" x14ac:dyDescent="0.25">
      <c r="C49" s="687" t="s">
        <v>493</v>
      </c>
      <c r="D49" s="688"/>
      <c r="E49" s="689">
        <v>43.5</v>
      </c>
      <c r="F49" s="690"/>
    </row>
  </sheetData>
  <mergeCells count="1">
    <mergeCell ref="G1:L1"/>
  </mergeCells>
  <pageMargins left="0.7" right="0.7" top="0.75" bottom="0.75" header="0.3" footer="0.3"/>
  <pageSetup scale="52"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Z9"/>
  <sheetViews>
    <sheetView zoomScaleNormal="100" workbookViewId="0">
      <pane ySplit="8" topLeftCell="A9" activePane="bottomLeft" state="frozen"/>
      <selection activeCell="G1" sqref="G1"/>
      <selection pane="bottomLeft"/>
    </sheetView>
  </sheetViews>
  <sheetFormatPr defaultRowHeight="15" x14ac:dyDescent="0.25"/>
  <cols>
    <col min="1" max="1" width="12.85546875" style="121" customWidth="1"/>
    <col min="2" max="2" width="9.140625" style="87"/>
    <col min="3" max="3" width="60.5703125" customWidth="1"/>
    <col min="4" max="4" width="36" customWidth="1"/>
    <col min="5" max="5" width="9.140625" style="3"/>
    <col min="6" max="6" width="16.42578125" customWidth="1"/>
    <col min="7" max="7" width="24.42578125" customWidth="1"/>
    <col min="8" max="8" width="16.42578125" customWidth="1"/>
    <col min="9" max="9" width="13" customWidth="1"/>
    <col min="10" max="10" width="13.85546875" customWidth="1"/>
    <col min="11" max="11" width="11.140625" style="3" customWidth="1"/>
    <col min="12" max="12" width="12.42578125" bestFit="1" customWidth="1"/>
    <col min="15" max="16" width="11.85546875" customWidth="1"/>
    <col min="17" max="17" width="12.5703125" bestFit="1" customWidth="1"/>
    <col min="18" max="18" width="15.42578125" style="13" customWidth="1"/>
    <col min="19" max="19" width="10.5703125" customWidth="1"/>
    <col min="20" max="20" width="14.5703125" style="87" customWidth="1"/>
    <col min="21" max="21" width="11.5703125" style="87" customWidth="1"/>
    <col min="22" max="22" width="12.42578125" customWidth="1"/>
    <col min="23" max="23" width="11.42578125" customWidth="1"/>
    <col min="24" max="25" width="14.42578125" customWidth="1"/>
  </cols>
  <sheetData>
    <row r="1" spans="1:26" ht="21" x14ac:dyDescent="0.35">
      <c r="A1" s="1" t="s">
        <v>494</v>
      </c>
      <c r="B1" s="762"/>
      <c r="E1" s="762"/>
      <c r="K1" s="762"/>
      <c r="T1" s="762"/>
      <c r="U1" s="762"/>
    </row>
    <row r="2" spans="1:26" x14ac:dyDescent="0.25">
      <c r="A2" s="140" t="s">
        <v>495</v>
      </c>
      <c r="B2" s="762"/>
      <c r="E2" s="762"/>
      <c r="H2" s="187" t="s">
        <v>496</v>
      </c>
      <c r="K2" s="762"/>
      <c r="T2" s="762"/>
      <c r="U2" s="762"/>
    </row>
    <row r="3" spans="1:26" x14ac:dyDescent="0.25">
      <c r="A3" s="762"/>
      <c r="B3" s="762"/>
      <c r="E3" s="762"/>
      <c r="H3" s="129">
        <f>Financial!$E$32</f>
        <v>2012</v>
      </c>
      <c r="K3" s="762"/>
      <c r="T3" s="762"/>
      <c r="U3" s="762"/>
    </row>
    <row r="4" spans="1:26" ht="15" customHeight="1" thickBot="1" x14ac:dyDescent="0.3">
      <c r="A4" s="762"/>
      <c r="B4" s="762"/>
      <c r="E4" s="762"/>
      <c r="K4" s="762"/>
      <c r="T4" s="762"/>
      <c r="U4" s="762"/>
      <c r="V4" s="98" t="s">
        <v>497</v>
      </c>
      <c r="W4" s="98" t="s">
        <v>498</v>
      </c>
      <c r="X4" s="98" t="s">
        <v>499</v>
      </c>
      <c r="Y4" s="98" t="s">
        <v>500</v>
      </c>
      <c r="Z4" s="18"/>
    </row>
    <row r="5" spans="1:26" x14ac:dyDescent="0.25">
      <c r="A5" s="762">
        <f>COUNT(A9:A972)+ROW(A9)-1</f>
        <v>9</v>
      </c>
      <c r="B5" s="762"/>
      <c r="D5" s="17" t="s">
        <v>501</v>
      </c>
      <c r="E5" s="14" t="s">
        <v>502</v>
      </c>
      <c r="H5" s="167" t="s">
        <v>503</v>
      </c>
      <c r="I5" s="165"/>
      <c r="J5" s="52"/>
      <c r="K5" s="61" t="s">
        <v>504</v>
      </c>
      <c r="L5" s="62"/>
      <c r="M5" s="62"/>
      <c r="N5" s="62"/>
      <c r="O5" s="62"/>
      <c r="P5" s="62"/>
      <c r="Q5" s="70"/>
      <c r="R5" s="160">
        <f>SUM(R8:R963)</f>
        <v>0</v>
      </c>
      <c r="S5" s="173" t="s">
        <v>505</v>
      </c>
      <c r="T5" s="174"/>
      <c r="U5" s="175"/>
      <c r="V5" s="161">
        <f>SUM(V8:V963)</f>
        <v>0</v>
      </c>
      <c r="W5" s="161">
        <f>SUM(W8:W963)</f>
        <v>0</v>
      </c>
      <c r="X5" s="161">
        <f>SUM(X8:X963)</f>
        <v>0</v>
      </c>
      <c r="Y5" s="191">
        <f>SUM(Y8:Y963)</f>
        <v>0</v>
      </c>
    </row>
    <row r="6" spans="1:26" x14ac:dyDescent="0.25">
      <c r="A6" s="9"/>
      <c r="B6" s="762"/>
      <c r="E6" s="169" t="s">
        <v>506</v>
      </c>
      <c r="F6" s="169"/>
      <c r="H6" s="170" t="s">
        <v>507</v>
      </c>
      <c r="I6" s="169"/>
      <c r="J6" s="171"/>
      <c r="K6" s="170" t="s">
        <v>507</v>
      </c>
      <c r="L6" s="169"/>
      <c r="M6" s="169"/>
      <c r="N6" s="169"/>
      <c r="O6" s="169"/>
      <c r="P6" s="169"/>
      <c r="Q6" s="171"/>
      <c r="R6" s="89" t="s">
        <v>508</v>
      </c>
      <c r="S6" s="170" t="s">
        <v>509</v>
      </c>
      <c r="T6" s="98"/>
      <c r="U6" s="172"/>
      <c r="V6" s="146" t="s">
        <v>508</v>
      </c>
      <c r="W6" s="147"/>
      <c r="X6" s="147"/>
      <c r="Y6" s="78"/>
      <c r="Z6" s="188"/>
    </row>
    <row r="7" spans="1:26" s="37" customFormat="1" ht="30" x14ac:dyDescent="0.25">
      <c r="A7" s="32" t="s">
        <v>510</v>
      </c>
      <c r="B7" s="32" t="s">
        <v>511</v>
      </c>
      <c r="C7" s="36" t="s">
        <v>512</v>
      </c>
      <c r="D7" s="36" t="s">
        <v>513</v>
      </c>
      <c r="E7" s="32" t="s">
        <v>514</v>
      </c>
      <c r="F7" s="32" t="s">
        <v>515</v>
      </c>
      <c r="G7" s="820" t="s">
        <v>516</v>
      </c>
      <c r="H7" s="53" t="s">
        <v>517</v>
      </c>
      <c r="I7" s="54" t="s">
        <v>518</v>
      </c>
      <c r="J7" s="770" t="s">
        <v>519</v>
      </c>
      <c r="K7" s="821" t="s">
        <v>520</v>
      </c>
      <c r="L7" s="822"/>
      <c r="M7" s="822"/>
      <c r="N7" s="54" t="s">
        <v>521</v>
      </c>
      <c r="O7" s="54" t="s">
        <v>522</v>
      </c>
      <c r="P7" s="54" t="s">
        <v>523</v>
      </c>
      <c r="Q7" s="770" t="s">
        <v>524</v>
      </c>
      <c r="R7" s="819" t="s">
        <v>525</v>
      </c>
      <c r="S7" s="91" t="s">
        <v>526</v>
      </c>
      <c r="T7" s="92" t="s">
        <v>527</v>
      </c>
      <c r="U7" s="141" t="s">
        <v>528</v>
      </c>
      <c r="V7" s="92" t="s">
        <v>529</v>
      </c>
      <c r="W7" s="93" t="s">
        <v>530</v>
      </c>
      <c r="X7" s="92" t="s">
        <v>531</v>
      </c>
      <c r="Y7" s="117" t="s">
        <v>532</v>
      </c>
    </row>
    <row r="8" spans="1:26" s="37" customFormat="1" x14ac:dyDescent="0.25">
      <c r="A8" s="320"/>
      <c r="B8" s="320"/>
      <c r="C8" s="8"/>
      <c r="D8" s="8"/>
      <c r="E8" s="320"/>
      <c r="F8" s="8"/>
      <c r="G8" s="820"/>
      <c r="H8" s="55" t="str">
        <f>"(at CEPCI "&amp;VLOOKUP(H3,Reference!$J$6:$K$28,2,FALSE)&amp;")"</f>
        <v>(at CEPCI 584.6)</v>
      </c>
      <c r="I8" s="148">
        <v>0.18</v>
      </c>
      <c r="J8" s="57"/>
      <c r="K8" s="63" t="s">
        <v>514</v>
      </c>
      <c r="L8" s="761" t="s">
        <v>533</v>
      </c>
      <c r="M8" s="761" t="s">
        <v>375</v>
      </c>
      <c r="N8" s="56"/>
      <c r="O8" s="761"/>
      <c r="P8" s="761"/>
      <c r="Q8" s="64"/>
      <c r="R8" s="819"/>
      <c r="S8" s="94" t="s">
        <v>534</v>
      </c>
      <c r="T8" s="95"/>
      <c r="U8" s="142"/>
      <c r="V8" s="95" t="s">
        <v>534</v>
      </c>
      <c r="W8" s="95" t="s">
        <v>534</v>
      </c>
      <c r="X8" s="95" t="s">
        <v>534</v>
      </c>
      <c r="Y8" s="95" t="s">
        <v>534</v>
      </c>
    </row>
    <row r="9" spans="1:26" x14ac:dyDescent="0.25">
      <c r="A9" s="9">
        <f>IF(TYPE(A8)=2,1,1+A8)</f>
        <v>1</v>
      </c>
      <c r="B9" s="14"/>
      <c r="C9" s="2"/>
      <c r="D9" s="2"/>
      <c r="E9" s="38"/>
      <c r="F9" s="38"/>
      <c r="G9" s="25"/>
      <c r="H9" s="58"/>
      <c r="I9" s="59">
        <f t="shared" ref="I9" si="0">$I$8*H9</f>
        <v>0</v>
      </c>
      <c r="J9" s="60">
        <f>(H9+I9)*(VLOOKUP($H$3,Reference!$J$6:$K$28,2,FALSE)/584.6)</f>
        <v>0</v>
      </c>
      <c r="K9" s="65"/>
      <c r="L9" s="66"/>
      <c r="M9" s="67"/>
      <c r="N9" s="67"/>
      <c r="O9" s="67"/>
      <c r="P9" s="68" t="e">
        <f>((E9/K9)^N9)*L9*(VLOOKUP($H$3,Reference!$J$6:$K$28,2,FALSE)/VLOOKUP(M9,Reference!$J$6:$K$28,2,FALSE))</f>
        <v>#DIV/0!</v>
      </c>
      <c r="Q9" s="69" t="e">
        <f t="shared" ref="Q9" si="1">P9*O9</f>
        <v>#DIV/0!</v>
      </c>
      <c r="R9" s="90" t="str">
        <f>IF(G9="Module Factor Method",J9*B9,IF(G9="Individual Factor Method",Q9*B9,"error"))</f>
        <v>error</v>
      </c>
      <c r="S9" s="96"/>
      <c r="T9" s="97"/>
      <c r="U9" s="143"/>
      <c r="V9" s="123">
        <f t="shared" ref="V9" si="2">B9*IF(T9="Electricity",S9/U9,0)</f>
        <v>0</v>
      </c>
      <c r="W9" s="123">
        <f t="shared" ref="W9" si="3">B9*IF(T9="Natural Gas",S9/U9,0)</f>
        <v>0</v>
      </c>
      <c r="X9" s="123">
        <f>B9*IF(T9="Cooling Water",S9/U9,0)</f>
        <v>0</v>
      </c>
      <c r="Y9" s="124">
        <f>B9*IF(T9="Refrigerant",S9/U9,0)</f>
        <v>0</v>
      </c>
    </row>
  </sheetData>
  <mergeCells count="3">
    <mergeCell ref="R7:R8"/>
    <mergeCell ref="G7:G8"/>
    <mergeCell ref="K7:M7"/>
  </mergeCells>
  <conditionalFormatting sqref="A9">
    <cfRule type="expression" dxfId="10" priority="145">
      <formula>OR(#REF!="no",#REF!="add species?")</formula>
    </cfRule>
  </conditionalFormatting>
  <conditionalFormatting sqref="J9">
    <cfRule type="expression" dxfId="9" priority="33">
      <formula>$G9="Individual Factor Method"</formula>
    </cfRule>
  </conditionalFormatting>
  <conditionalFormatting sqref="K9:Q9">
    <cfRule type="expression" dxfId="8" priority="35">
      <formula>$G9="Module Factor Method"</formula>
    </cfRule>
  </conditionalFormatting>
  <conditionalFormatting sqref="H9:I9">
    <cfRule type="expression" dxfId="7" priority="34">
      <formula>$G9="Individual Factor Method"</formula>
    </cfRule>
  </conditionalFormatting>
  <dataValidations disablePrompts="1" count="3">
    <dataValidation type="list" allowBlank="1" showInputMessage="1" showErrorMessage="1" sqref="G9" xr:uid="{00000000-0002-0000-0C00-000000000000}">
      <formula1>"Module Factor Method, Individual Factor Method"</formula1>
    </dataValidation>
    <dataValidation type="list" allowBlank="1" showInputMessage="1" showErrorMessage="1" sqref="E5" xr:uid="{00000000-0002-0000-0C00-000001000000}">
      <formula1>"yes, no"</formula1>
    </dataValidation>
    <dataValidation type="list" allowBlank="1" showInputMessage="1" showErrorMessage="1" sqref="T9" xr:uid="{00000000-0002-0000-0C00-000002000000}">
      <formula1>$V$7:$Y$7</formula1>
    </dataValidation>
  </dataValidations>
  <pageMargins left="0.7" right="0.7" top="0.75" bottom="0.75" header="0.3" footer="0.3"/>
  <pageSetup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92D050"/>
  </sheetPr>
  <dimension ref="A1:AP58"/>
  <sheetViews>
    <sheetView zoomScaleNormal="100" workbookViewId="0">
      <selection activeCell="J13" sqref="J13"/>
    </sheetView>
  </sheetViews>
  <sheetFormatPr defaultRowHeight="15" x14ac:dyDescent="0.25"/>
  <cols>
    <col min="3" max="3" width="40.5703125" customWidth="1"/>
    <col min="4" max="4" width="8" customWidth="1"/>
    <col min="5" max="5" width="8.5703125" customWidth="1"/>
    <col min="7" max="7" width="15.42578125" bestFit="1" customWidth="1"/>
    <col min="8" max="8" width="17.5703125" customWidth="1"/>
    <col min="12" max="12" width="18.140625" customWidth="1"/>
    <col min="13" max="13" width="15.42578125" customWidth="1"/>
    <col min="14" max="14" width="15.140625" customWidth="1"/>
    <col min="15" max="15" width="17.5703125" customWidth="1"/>
    <col min="16" max="20" width="15.140625" customWidth="1"/>
    <col min="21" max="21" width="16.85546875" customWidth="1"/>
    <col min="22" max="22" width="16.42578125" customWidth="1"/>
    <col min="23" max="24" width="15.140625" customWidth="1"/>
    <col min="25" max="25" width="19.85546875" customWidth="1"/>
    <col min="26" max="27" width="21.85546875" customWidth="1"/>
    <col min="28" max="31" width="15.140625" customWidth="1"/>
    <col min="32" max="32" width="17" customWidth="1"/>
    <col min="33" max="33" width="15.140625" customWidth="1"/>
    <col min="34" max="34" width="16.42578125" customWidth="1"/>
    <col min="35" max="35" width="17" customWidth="1"/>
    <col min="36" max="36" width="17.140625" customWidth="1"/>
    <col min="37" max="37" width="18.42578125" customWidth="1"/>
    <col min="38" max="38" width="17.5703125" customWidth="1"/>
    <col min="40" max="40" width="15.42578125" bestFit="1" customWidth="1"/>
    <col min="42" max="42" width="15.42578125" bestFit="1" customWidth="1"/>
  </cols>
  <sheetData>
    <row r="1" spans="1:42" ht="21" x14ac:dyDescent="0.35">
      <c r="A1" s="79" t="s">
        <v>535</v>
      </c>
      <c r="N1" s="74"/>
      <c r="S1" s="74"/>
    </row>
    <row r="2" spans="1:42" x14ac:dyDescent="0.25">
      <c r="A2" s="128" t="s">
        <v>536</v>
      </c>
      <c r="O2" s="49"/>
      <c r="S2" s="109"/>
    </row>
    <row r="3" spans="1:42" x14ac:dyDescent="0.25">
      <c r="A3" s="128" t="s">
        <v>537</v>
      </c>
      <c r="O3" s="49"/>
    </row>
    <row r="4" spans="1:42" x14ac:dyDescent="0.25">
      <c r="A4" s="10" t="s">
        <v>538</v>
      </c>
      <c r="O4" s="49"/>
      <c r="AA4" s="6"/>
    </row>
    <row r="5" spans="1:42" x14ac:dyDescent="0.25">
      <c r="G5" s="74"/>
      <c r="K5" s="122" t="s">
        <v>539</v>
      </c>
      <c r="L5" s="185"/>
      <c r="M5" s="185"/>
      <c r="N5" s="74"/>
      <c r="O5" s="74"/>
      <c r="P5" s="74"/>
      <c r="Q5" s="74"/>
      <c r="R5" s="74"/>
      <c r="S5" s="74"/>
      <c r="T5" s="74"/>
      <c r="U5" s="74"/>
      <c r="V5" s="74"/>
      <c r="W5" s="74"/>
      <c r="X5" s="74"/>
      <c r="Y5" s="74"/>
      <c r="Z5" s="74"/>
      <c r="AA5" s="112"/>
      <c r="AD5" s="49"/>
      <c r="AF5" s="49"/>
      <c r="AL5" s="74"/>
      <c r="AN5" s="49">
        <f>INDEX(AN8:AN58,E23+E22)</f>
        <v>0</v>
      </c>
    </row>
    <row r="6" spans="1:42" x14ac:dyDescent="0.25">
      <c r="N6" s="74"/>
      <c r="O6" s="86"/>
      <c r="Q6" s="74"/>
      <c r="S6" s="74"/>
      <c r="T6" s="74"/>
      <c r="W6" s="74"/>
      <c r="Y6" s="74"/>
      <c r="AA6" s="112">
        <f>SUM(AA8:AA58)</f>
        <v>-11340.163717995252</v>
      </c>
      <c r="AC6" s="109">
        <f>SUM(AC8:AC58)</f>
        <v>0</v>
      </c>
      <c r="AD6" s="109">
        <f>SUM(AD8:AD58)</f>
        <v>0</v>
      </c>
      <c r="AF6" s="109">
        <f>SUM(AF8:AF58)</f>
        <v>-2603552.843526742</v>
      </c>
      <c r="AH6" s="8" t="s">
        <v>540</v>
      </c>
      <c r="AI6" s="8"/>
      <c r="AJ6" s="8"/>
      <c r="AK6" s="8"/>
      <c r="AL6" s="111" t="s">
        <v>541</v>
      </c>
      <c r="AN6" s="8" t="s">
        <v>542</v>
      </c>
    </row>
    <row r="7" spans="1:42" x14ac:dyDescent="0.25">
      <c r="C7" s="80" t="s">
        <v>543</v>
      </c>
      <c r="D7" s="80"/>
      <c r="E7" s="50"/>
      <c r="F7" s="50"/>
      <c r="G7" s="82"/>
      <c r="H7" s="78"/>
      <c r="K7" s="80" t="s">
        <v>544</v>
      </c>
      <c r="L7" s="80" t="s">
        <v>545</v>
      </c>
      <c r="M7" s="80" t="s">
        <v>546</v>
      </c>
      <c r="N7" s="80" t="s">
        <v>547</v>
      </c>
      <c r="O7" s="80" t="s">
        <v>548</v>
      </c>
      <c r="P7" s="80" t="s">
        <v>549</v>
      </c>
      <c r="Q7" s="80" t="s">
        <v>550</v>
      </c>
      <c r="R7" s="80" t="s">
        <v>551</v>
      </c>
      <c r="S7" s="80" t="s">
        <v>552</v>
      </c>
      <c r="T7" s="80" t="s">
        <v>553</v>
      </c>
      <c r="U7" s="80" t="s">
        <v>554</v>
      </c>
      <c r="V7" s="80" t="s">
        <v>555</v>
      </c>
      <c r="W7" s="80" t="s">
        <v>556</v>
      </c>
      <c r="X7" s="80" t="s">
        <v>557</v>
      </c>
      <c r="Y7" s="80" t="s">
        <v>558</v>
      </c>
      <c r="Z7" s="80" t="s">
        <v>559</v>
      </c>
      <c r="AA7" s="80" t="s">
        <v>560</v>
      </c>
      <c r="AC7" s="80" t="s">
        <v>561</v>
      </c>
      <c r="AD7" s="80" t="s">
        <v>562</v>
      </c>
      <c r="AE7" s="80" t="s">
        <v>563</v>
      </c>
      <c r="AF7" s="80" t="s">
        <v>564</v>
      </c>
      <c r="AH7" s="80" t="s">
        <v>565</v>
      </c>
      <c r="AI7" s="80" t="s">
        <v>566</v>
      </c>
      <c r="AJ7" s="80" t="s">
        <v>567</v>
      </c>
      <c r="AK7" s="80" t="s">
        <v>568</v>
      </c>
      <c r="AL7" s="80" t="s">
        <v>569</v>
      </c>
      <c r="AN7" s="80" t="s">
        <v>570</v>
      </c>
    </row>
    <row r="8" spans="1:42" x14ac:dyDescent="0.25">
      <c r="C8" s="13" t="s">
        <v>571</v>
      </c>
      <c r="D8" s="13"/>
      <c r="E8" s="13"/>
      <c r="F8" s="13"/>
      <c r="G8" s="106">
        <f>CAPEX!F14</f>
        <v>5299.966713686872</v>
      </c>
      <c r="K8">
        <v>0</v>
      </c>
      <c r="L8" s="74">
        <f t="shared" ref="L8:L39" si="0">IF(K8&gt;$E$15,0,1)*(-1)*VLOOKUP(K8,$D$16:$E$21,2)*$G$8*(1+$E$26)^K8</f>
        <v>0</v>
      </c>
      <c r="M8" s="74">
        <f t="shared" ref="M8:M39" si="1">(-1)*IF(K8=($E$22-1),$G$9-$G$8,0)*(1+$E$24)^K8</f>
        <v>0</v>
      </c>
      <c r="N8" s="51">
        <f>(L9+M9)*(-1)</f>
        <v>532.10259924972331</v>
      </c>
      <c r="O8" s="51">
        <f>(CAPEX!$F$14-CAPEX!$F$12)</f>
        <v>5220.7079844187028</v>
      </c>
      <c r="P8" s="51">
        <f>IF(K8&lt;$E$23+$E$22,1,0)*IF(K8&lt;$E$22,0,1)*OPEX!$F$7*((1+$E$24)^K8)</f>
        <v>0</v>
      </c>
      <c r="Q8" s="51">
        <f>IF(K8&lt;$E$23+$E$22,1,0)*IF(K8&lt;$E$22,0,-1)*OPEX!$F$30*(1+$E$24)^K8</f>
        <v>0</v>
      </c>
      <c r="R8" s="51">
        <f t="shared" ref="R8:R48" si="2">Q8+P8</f>
        <v>0</v>
      </c>
      <c r="S8" s="51">
        <v>0</v>
      </c>
      <c r="T8" s="51">
        <f t="shared" ref="T8:T11" si="3">AI8*(-1)</f>
        <v>0</v>
      </c>
      <c r="U8" s="107">
        <v>0</v>
      </c>
      <c r="V8" s="51">
        <f>R8+S8+T8+U8</f>
        <v>0</v>
      </c>
      <c r="W8" s="51">
        <f t="shared" ref="W8:W39" si="4">IF(V8&lt;0,0,V8*$E$29)*(-1)</f>
        <v>0</v>
      </c>
      <c r="X8" s="51">
        <f>V8+W8</f>
        <v>0</v>
      </c>
      <c r="Y8" s="51">
        <f t="shared" ref="Y8:Y39" si="5">IF(X8&gt;0,$E$13*X8,0)</f>
        <v>0</v>
      </c>
      <c r="Z8" s="51">
        <f>X8-S8-U8-Y8+L8+M8+AJ8</f>
        <v>0</v>
      </c>
      <c r="AA8" s="51">
        <f t="shared" ref="AA8:AA39" si="6">Z8*(1+$E$25)^(-$K8)</f>
        <v>0</v>
      </c>
      <c r="AC8" s="49">
        <f>IF(K8&gt;E$22+E$23-1,0,IF(K8&lt;$E$22,0,Streams!$A$7)*24*365*OPEX!$D$4)</f>
        <v>0</v>
      </c>
      <c r="AD8" s="49">
        <f>AC8/((1+$E$31)^$K8)</f>
        <v>0</v>
      </c>
      <c r="AE8" s="49">
        <f>L8+M8+Q8+T8+W8-Y8</f>
        <v>0</v>
      </c>
      <c r="AF8" s="49">
        <f>AE8/((1+$E$31)^$K8)</f>
        <v>0</v>
      </c>
      <c r="AH8" s="135">
        <f>N8*$E$10</f>
        <v>266.05129962486166</v>
      </c>
      <c r="AI8" s="74">
        <v>0</v>
      </c>
      <c r="AJ8" s="112">
        <v>0</v>
      </c>
      <c r="AK8" s="74">
        <f>AH8</f>
        <v>266.05129962486166</v>
      </c>
      <c r="AL8" s="107">
        <v>0</v>
      </c>
      <c r="AN8" s="74">
        <f>Y8</f>
        <v>0</v>
      </c>
    </row>
    <row r="9" spans="1:42" x14ac:dyDescent="0.25">
      <c r="C9" s="13" t="s">
        <v>377</v>
      </c>
      <c r="D9" s="13"/>
      <c r="E9" s="13"/>
      <c r="F9" s="13"/>
      <c r="G9" s="106">
        <f>CAPEX!F17</f>
        <v>6796.4285714285716</v>
      </c>
      <c r="K9">
        <v>1</v>
      </c>
      <c r="L9" s="74">
        <f t="shared" si="0"/>
        <v>-532.10259924972331</v>
      </c>
      <c r="M9" s="74">
        <f t="shared" si="1"/>
        <v>0</v>
      </c>
      <c r="N9" s="51">
        <f>(L10+M10)*(-1)</f>
        <v>3205.3013698799559</v>
      </c>
      <c r="O9" s="51">
        <f t="shared" ref="O9:O40" si="7">IF(K9&lt;$E$23+$E$22,1,0)*O8*IF(K9&lt;$E$22,1,1-$E$28/$E$27)</f>
        <v>5220.7079844187028</v>
      </c>
      <c r="P9" s="51">
        <f>IF(K9&lt;$E$23+$E$22,1,0)*IF(K9&lt;$E$22,0,1)*OPEX!$F$7*((1+$E$24)^K9)</f>
        <v>0</v>
      </c>
      <c r="Q9" s="51">
        <f>IF(K9&lt;$E$23+$E$22,1,0)*IF(K9&lt;$E$22,0,-1)*OPEX!$F$30*(1+$E$24)^K9</f>
        <v>0</v>
      </c>
      <c r="R9" s="51">
        <f t="shared" si="2"/>
        <v>0</v>
      </c>
      <c r="S9" s="51">
        <f t="shared" ref="S9:S40" si="8">(O9-O8)*IF(K9&gt;$E$22+$E$27-1,0,1)</f>
        <v>0</v>
      </c>
      <c r="T9" s="51">
        <f t="shared" si="3"/>
        <v>-11.972308483118773</v>
      </c>
      <c r="U9" s="107">
        <f t="shared" ref="U9:U40" si="9">IF(R9+S9+T9&gt;0,AL8,0)</f>
        <v>0</v>
      </c>
      <c r="V9" s="51">
        <f t="shared" ref="V9:V48" si="10">R9+S9+T9+U9</f>
        <v>-11.972308483118773</v>
      </c>
      <c r="W9" s="51">
        <f t="shared" si="4"/>
        <v>0</v>
      </c>
      <c r="X9" s="51">
        <f>V9+W9</f>
        <v>-11.972308483118773</v>
      </c>
      <c r="Y9" s="51">
        <f t="shared" si="5"/>
        <v>0</v>
      </c>
      <c r="Z9" s="51">
        <f>X9-S9-U9-Y9+L9+M9+AJ9</f>
        <v>-568.84795739479637</v>
      </c>
      <c r="AA9" s="51">
        <f t="shared" si="6"/>
        <v>-552.13595995629896</v>
      </c>
      <c r="AC9" s="49">
        <f>IF(K9&gt;E$22+E$23-1,0,IF(K9&lt;$E$22,0,Streams!$A$7)*24*365*OPEX!$D$4)</f>
        <v>0</v>
      </c>
      <c r="AD9" s="49">
        <f t="shared" ref="AD9:AD58" si="11">AC9/((1+$E$31)^$K9)</f>
        <v>0</v>
      </c>
      <c r="AE9" s="49">
        <f t="shared" ref="AE9:AE58" si="12">L9+M9+Q9+T9+W9-Y9</f>
        <v>-544.07490773284212</v>
      </c>
      <c r="AF9" s="49">
        <f t="shared" ref="AF9:AF58" si="13">AE9/((1+$E$31)^$K9)</f>
        <v>-1041.2916894408463</v>
      </c>
      <c r="AH9" s="74">
        <f t="shared" ref="AH9:AH48" si="14">N9*$E$10</f>
        <v>1602.650684939978</v>
      </c>
      <c r="AI9" s="74">
        <f>AK8*$E$12</f>
        <v>11.972308483118773</v>
      </c>
      <c r="AJ9" s="112">
        <f t="shared" ref="AJ9:AJ40" si="15">IF(-AJ8&gt;AK8,-AI9-AK8,-(AH8*$E$12*1/(1-(1+$E$12)^(-$E$14)))+AJ8)</f>
        <v>-24.773049661954271</v>
      </c>
      <c r="AK9" s="74">
        <f t="shared" ref="AK9:AK48" si="16">AK8+AH9+AI9+AJ9</f>
        <v>1855.9012433860041</v>
      </c>
      <c r="AL9" s="107">
        <f t="shared" ref="AL9:AL40" si="17">IF(R9+S9+T9&lt;0,R9+S9+T9+AL8,0)</f>
        <v>-11.972308483118773</v>
      </c>
      <c r="AN9" s="74">
        <f t="shared" ref="AN9:AN40" si="18">AN8+Y9</f>
        <v>0</v>
      </c>
      <c r="AP9" s="49"/>
    </row>
    <row r="10" spans="1:42" x14ac:dyDescent="0.25">
      <c r="C10" t="s">
        <v>572</v>
      </c>
      <c r="E10" s="101">
        <v>0.5</v>
      </c>
      <c r="H10" s="135"/>
      <c r="K10">
        <v>2</v>
      </c>
      <c r="L10" s="74">
        <f t="shared" si="0"/>
        <v>-3205.3013698799559</v>
      </c>
      <c r="M10" s="74">
        <f t="shared" si="1"/>
        <v>0</v>
      </c>
      <c r="N10" s="51">
        <f>(L11+M11)*(-1)</f>
        <v>3245.5193471878929</v>
      </c>
      <c r="O10" s="51">
        <f t="shared" si="7"/>
        <v>5220.7079844187028</v>
      </c>
      <c r="P10" s="51">
        <f>IF(K10&lt;$E$23+$E$22,1,0)*IF(K10&lt;$E$22,0,1)*OPEX!$F$7*((1+$E$24)^K10)</f>
        <v>0</v>
      </c>
      <c r="Q10" s="51">
        <f>IF(K10&lt;$E$23+$E$22,1,0)*IF(K10&lt;$E$22,0,-1)*OPEX!$F$30*(1+$E$24)^K10</f>
        <v>0</v>
      </c>
      <c r="R10" s="51">
        <f t="shared" si="2"/>
        <v>0</v>
      </c>
      <c r="S10" s="51">
        <f t="shared" si="8"/>
        <v>0</v>
      </c>
      <c r="T10" s="51">
        <f t="shared" si="3"/>
        <v>-83.515555952370178</v>
      </c>
      <c r="U10" s="107">
        <f t="shared" si="9"/>
        <v>0</v>
      </c>
      <c r="V10" s="51">
        <f t="shared" si="10"/>
        <v>-83.515555952370178</v>
      </c>
      <c r="W10" s="51">
        <f t="shared" si="4"/>
        <v>0</v>
      </c>
      <c r="X10" s="51">
        <f>V10+W10</f>
        <v>-83.515555952370178</v>
      </c>
      <c r="Y10" s="51">
        <f t="shared" si="5"/>
        <v>0</v>
      </c>
      <c r="Z10" s="51">
        <f t="shared" ref="Z10:Z58" si="19">X10-S10-U10-Y10+L10+M10+AJ10</f>
        <v>-3462.8188838467845</v>
      </c>
      <c r="AA10" s="51">
        <f t="shared" si="6"/>
        <v>-3262.3416259246678</v>
      </c>
      <c r="AC10" s="49">
        <f>IF(K10&gt;E$22+E$23-1,0,IF(K10&lt;$E$22,0,Streams!$A$7)*24*365*OPEX!$D$4)</f>
        <v>0</v>
      </c>
      <c r="AD10" s="49">
        <f t="shared" si="11"/>
        <v>0</v>
      </c>
      <c r="AE10" s="49">
        <f t="shared" si="12"/>
        <v>-3288.816925832326</v>
      </c>
      <c r="AF10" s="49">
        <f t="shared" si="13"/>
        <v>-12046.672652484427</v>
      </c>
      <c r="AH10" s="74">
        <f t="shared" si="14"/>
        <v>1622.7596735939464</v>
      </c>
      <c r="AI10" s="74">
        <f>AK9*$E$12</f>
        <v>83.515555952370178</v>
      </c>
      <c r="AJ10" s="112">
        <f t="shared" si="15"/>
        <v>-174.00195801445841</v>
      </c>
      <c r="AK10" s="74">
        <f t="shared" si="16"/>
        <v>3388.1745149178619</v>
      </c>
      <c r="AL10" s="107">
        <f t="shared" si="17"/>
        <v>-95.487864435488945</v>
      </c>
      <c r="AN10" s="74">
        <f t="shared" si="18"/>
        <v>0</v>
      </c>
      <c r="AP10" s="49"/>
    </row>
    <row r="11" spans="1:42" x14ac:dyDescent="0.25">
      <c r="C11" t="s">
        <v>573</v>
      </c>
      <c r="E11" s="125">
        <f>1-E10</f>
        <v>0.5</v>
      </c>
      <c r="K11">
        <v>3</v>
      </c>
      <c r="L11" s="74">
        <f t="shared" si="0"/>
        <v>-1609.0187754267743</v>
      </c>
      <c r="M11" s="74">
        <f t="shared" si="1"/>
        <v>-1636.5005717611186</v>
      </c>
      <c r="N11" s="51">
        <f t="shared" ref="N11:N48" si="20">(L12+M12)*(-1)</f>
        <v>0</v>
      </c>
      <c r="O11" s="51">
        <f t="shared" si="7"/>
        <v>5220.7079844187028</v>
      </c>
      <c r="P11" s="51">
        <f>IF(K11&lt;$E$23+$E$22,1,0)*IF(K11&lt;$E$22,0,1)*OPEX!$F$7*((1+$E$24)^K11)</f>
        <v>0</v>
      </c>
      <c r="Q11" s="51">
        <f>IF(K11&lt;$E$23+$E$22,1,0)*IF(K11&lt;$E$22,0,-1)*OPEX!$F$30*(1+$E$24)^K11</f>
        <v>0</v>
      </c>
      <c r="R11" s="51">
        <f t="shared" si="2"/>
        <v>0</v>
      </c>
      <c r="S11" s="51">
        <f t="shared" si="8"/>
        <v>0</v>
      </c>
      <c r="T11" s="51">
        <f t="shared" si="3"/>
        <v>-152.46785317130377</v>
      </c>
      <c r="U11" s="107">
        <f t="shared" si="9"/>
        <v>0</v>
      </c>
      <c r="V11" s="51">
        <f t="shared" si="10"/>
        <v>-152.46785317130377</v>
      </c>
      <c r="W11" s="51">
        <f t="shared" si="4"/>
        <v>0</v>
      </c>
      <c r="X11" s="51">
        <f>V11+W11</f>
        <v>-152.46785317130377</v>
      </c>
      <c r="Y11" s="51">
        <f t="shared" si="5"/>
        <v>0</v>
      </c>
      <c r="Z11" s="51">
        <f t="shared" si="19"/>
        <v>-3723.0904912370665</v>
      </c>
      <c r="AA11" s="51">
        <f t="shared" si="6"/>
        <v>-3404.497993582338</v>
      </c>
      <c r="AC11" s="49">
        <f>IF(K11&gt;E$22+E$23-1,0,IF(K11&lt;$E$22,0,Streams!$A$7)*24*365*OPEX!$D$4)</f>
        <v>0</v>
      </c>
      <c r="AD11" s="49">
        <f t="shared" si="11"/>
        <v>0</v>
      </c>
      <c r="AE11" s="49">
        <f t="shared" si="12"/>
        <v>-3397.9872003591968</v>
      </c>
      <c r="AF11" s="49">
        <f t="shared" si="13"/>
        <v>-23821.157154374505</v>
      </c>
      <c r="AH11" s="74">
        <f t="shared" si="14"/>
        <v>0</v>
      </c>
      <c r="AI11" s="74">
        <f t="shared" ref="AI11:AI48" si="21">AK10*$E$12</f>
        <v>152.46785317130377</v>
      </c>
      <c r="AJ11" s="112">
        <f t="shared" si="15"/>
        <v>-325.10329087787022</v>
      </c>
      <c r="AK11" s="74">
        <f t="shared" si="16"/>
        <v>3215.5390772112955</v>
      </c>
      <c r="AL11" s="107">
        <f t="shared" si="17"/>
        <v>-247.95571760679272</v>
      </c>
      <c r="AN11" s="74">
        <f t="shared" si="18"/>
        <v>0</v>
      </c>
      <c r="AP11" s="49"/>
    </row>
    <row r="12" spans="1:42" x14ac:dyDescent="0.25">
      <c r="C12" t="s">
        <v>574</v>
      </c>
      <c r="E12" s="76">
        <v>4.4999999999999998E-2</v>
      </c>
      <c r="G12" s="74"/>
      <c r="K12">
        <v>4</v>
      </c>
      <c r="L12" s="74">
        <f t="shared" si="0"/>
        <v>0</v>
      </c>
      <c r="M12" s="74">
        <f t="shared" si="1"/>
        <v>0</v>
      </c>
      <c r="N12" s="51">
        <f t="shared" si="20"/>
        <v>0</v>
      </c>
      <c r="O12" s="51">
        <f t="shared" si="7"/>
        <v>4698.6371859768324</v>
      </c>
      <c r="P12" s="51">
        <f>IF(K12&lt;$E$23+$E$22,1,0)*IF(K12&lt;$E$22,0,1)*OPEX!$F$7*((1+$E$24)^K12)</f>
        <v>0</v>
      </c>
      <c r="Q12" s="51">
        <f>IF(K12&lt;$E$23+$E$22,1,0)*IF(K12&lt;$E$22,0,-1)*OPEX!$F$30*(1+$E$24)^K12</f>
        <v>0</v>
      </c>
      <c r="R12" s="51">
        <f t="shared" si="2"/>
        <v>0</v>
      </c>
      <c r="S12" s="51">
        <f t="shared" si="8"/>
        <v>-522.07079844187047</v>
      </c>
      <c r="T12" s="51">
        <f>AI12*(-1)</f>
        <v>-144.6992584745083</v>
      </c>
      <c r="U12" s="51">
        <f t="shared" si="9"/>
        <v>0</v>
      </c>
      <c r="V12" s="51">
        <f t="shared" si="10"/>
        <v>-666.77005691637873</v>
      </c>
      <c r="W12" s="51">
        <f t="shared" si="4"/>
        <v>0</v>
      </c>
      <c r="X12" s="51">
        <f t="shared" ref="X12:X58" si="22">V12+W12</f>
        <v>-666.77005691637873</v>
      </c>
      <c r="Y12" s="51">
        <f t="shared" si="5"/>
        <v>0</v>
      </c>
      <c r="Z12" s="51">
        <f t="shared" si="19"/>
        <v>-469.80254935237849</v>
      </c>
      <c r="AA12" s="51">
        <f t="shared" si="6"/>
        <v>-416.97948613886103</v>
      </c>
      <c r="AC12" s="49">
        <f>IF(K12&gt;E$22+E$23-1,0,IF(K12&lt;$E$22,0,Streams!$A$7)*24*365*OPEX!$D$4)</f>
        <v>0</v>
      </c>
      <c r="AD12" s="49">
        <f t="shared" si="11"/>
        <v>0</v>
      </c>
      <c r="AE12" s="49">
        <f t="shared" si="12"/>
        <v>-144.6992584745083</v>
      </c>
      <c r="AF12" s="49">
        <f t="shared" si="13"/>
        <v>-1941.4272736532091</v>
      </c>
      <c r="AH12" s="74">
        <f t="shared" si="14"/>
        <v>0</v>
      </c>
      <c r="AI12" s="74">
        <f t="shared" si="21"/>
        <v>144.6992584745083</v>
      </c>
      <c r="AJ12" s="112">
        <f t="shared" si="15"/>
        <v>-325.10329087787022</v>
      </c>
      <c r="AK12" s="74">
        <f t="shared" si="16"/>
        <v>3035.1350448079338</v>
      </c>
      <c r="AL12" s="107">
        <f t="shared" si="17"/>
        <v>-914.72577452317148</v>
      </c>
      <c r="AN12" s="74">
        <f t="shared" si="18"/>
        <v>0</v>
      </c>
      <c r="AP12" s="49"/>
    </row>
    <row r="13" spans="1:42" x14ac:dyDescent="0.25">
      <c r="C13" t="s">
        <v>575</v>
      </c>
      <c r="E13" s="76">
        <v>0.15</v>
      </c>
      <c r="G13" s="74"/>
      <c r="K13">
        <v>5</v>
      </c>
      <c r="L13" s="74">
        <f t="shared" si="0"/>
        <v>0</v>
      </c>
      <c r="M13" s="74">
        <f t="shared" si="1"/>
        <v>0</v>
      </c>
      <c r="N13" s="51">
        <f t="shared" si="20"/>
        <v>0</v>
      </c>
      <c r="O13" s="51">
        <f t="shared" si="7"/>
        <v>4228.7734673791492</v>
      </c>
      <c r="P13" s="51">
        <f>IF(K13&lt;$E$23+$E$22,1,0)*IF(K13&lt;$E$22,0,1)*OPEX!$F$7*((1+$E$24)^K13)</f>
        <v>0</v>
      </c>
      <c r="Q13" s="51">
        <f>IF(K13&lt;$E$23+$E$22,1,0)*IF(K13&lt;$E$22,0,-1)*OPEX!$F$30*(1+$E$24)^K13</f>
        <v>0</v>
      </c>
      <c r="R13" s="51">
        <f t="shared" si="2"/>
        <v>0</v>
      </c>
      <c r="S13" s="51">
        <f t="shared" si="8"/>
        <v>-469.86371859768315</v>
      </c>
      <c r="T13" s="51">
        <f t="shared" ref="T13:T48" si="23">AI13*(-1)</f>
        <v>-136.58107701635703</v>
      </c>
      <c r="U13" s="107">
        <f t="shared" si="9"/>
        <v>0</v>
      </c>
      <c r="V13" s="51">
        <f t="shared" si="10"/>
        <v>-606.44479561404023</v>
      </c>
      <c r="W13" s="51">
        <f t="shared" si="4"/>
        <v>0</v>
      </c>
      <c r="X13" s="51">
        <f t="shared" si="22"/>
        <v>-606.44479561404023</v>
      </c>
      <c r="Y13" s="51">
        <f t="shared" si="5"/>
        <v>0</v>
      </c>
      <c r="Z13" s="51">
        <f t="shared" si="19"/>
        <v>-461.68436789422731</v>
      </c>
      <c r="AA13" s="51">
        <f t="shared" si="6"/>
        <v>-397.73546807721846</v>
      </c>
      <c r="AC13" s="49">
        <f>IF(K13&gt;E$22+E$23-1,0,IF(K13&lt;$E$22,0,Streams!$A$7)*24*365*OPEX!$D$4)</f>
        <v>0</v>
      </c>
      <c r="AD13" s="49">
        <f t="shared" si="11"/>
        <v>0</v>
      </c>
      <c r="AE13" s="49">
        <f t="shared" si="12"/>
        <v>-136.58107701635703</v>
      </c>
      <c r="AF13" s="49">
        <f t="shared" si="13"/>
        <v>-3507.1881018869194</v>
      </c>
      <c r="AH13" s="74">
        <f t="shared" si="14"/>
        <v>0</v>
      </c>
      <c r="AI13" s="74">
        <f t="shared" si="21"/>
        <v>136.58107701635703</v>
      </c>
      <c r="AJ13" s="112">
        <f t="shared" si="15"/>
        <v>-325.10329087787022</v>
      </c>
      <c r="AK13" s="74">
        <f t="shared" si="16"/>
        <v>2846.6128309464207</v>
      </c>
      <c r="AL13" s="107">
        <f t="shared" si="17"/>
        <v>-1521.1705701372116</v>
      </c>
      <c r="AN13" s="74">
        <f t="shared" si="18"/>
        <v>0</v>
      </c>
      <c r="AP13" s="49"/>
    </row>
    <row r="14" spans="1:42" x14ac:dyDescent="0.25">
      <c r="C14" t="s">
        <v>576</v>
      </c>
      <c r="E14" s="2">
        <v>15</v>
      </c>
      <c r="F14" t="s">
        <v>577</v>
      </c>
      <c r="K14">
        <v>6</v>
      </c>
      <c r="L14" s="74">
        <f t="shared" si="0"/>
        <v>0</v>
      </c>
      <c r="M14" s="74">
        <f t="shared" si="1"/>
        <v>0</v>
      </c>
      <c r="N14" s="51">
        <f t="shared" si="20"/>
        <v>0</v>
      </c>
      <c r="O14" s="51">
        <f t="shared" si="7"/>
        <v>3805.8961206412346</v>
      </c>
      <c r="P14" s="51">
        <f>IF(K14&lt;$E$23+$E$22,1,0)*IF(K14&lt;$E$22,0,1)*OPEX!$F$7*((1+$E$24)^K14)</f>
        <v>0</v>
      </c>
      <c r="Q14" s="51">
        <f>IF(K14&lt;$E$23+$E$22,1,0)*IF(K14&lt;$E$22,0,-1)*OPEX!$F$30*(1+$E$24)^K14</f>
        <v>0</v>
      </c>
      <c r="R14" s="51">
        <f t="shared" si="2"/>
        <v>0</v>
      </c>
      <c r="S14" s="51">
        <f t="shared" si="8"/>
        <v>-422.87734673791465</v>
      </c>
      <c r="T14" s="51">
        <f t="shared" si="23"/>
        <v>-128.09757739258893</v>
      </c>
      <c r="U14" s="107">
        <f t="shared" si="9"/>
        <v>0</v>
      </c>
      <c r="V14" s="51">
        <f t="shared" si="10"/>
        <v>-550.97492413050361</v>
      </c>
      <c r="W14" s="51">
        <f t="shared" si="4"/>
        <v>0</v>
      </c>
      <c r="X14" s="51">
        <f t="shared" si="22"/>
        <v>-550.97492413050361</v>
      </c>
      <c r="Y14" s="51">
        <f t="shared" si="5"/>
        <v>0</v>
      </c>
      <c r="Z14" s="51">
        <f t="shared" si="19"/>
        <v>-453.20086827045918</v>
      </c>
      <c r="AA14" s="51">
        <f t="shared" si="6"/>
        <v>-378.95680856707429</v>
      </c>
      <c r="AC14" s="49">
        <f>IF(K14&gt;E$22+E$23-1,0,IF(K14&lt;$E$22,0,Streams!$A$7)*24*365*OPEX!$D$4)</f>
        <v>0</v>
      </c>
      <c r="AD14" s="49">
        <f t="shared" si="11"/>
        <v>0</v>
      </c>
      <c r="AE14" s="49">
        <f t="shared" si="12"/>
        <v>-128.09757739258893</v>
      </c>
      <c r="AF14" s="49">
        <f t="shared" si="13"/>
        <v>-6295.3973608657079</v>
      </c>
      <c r="AH14" s="74">
        <f t="shared" si="14"/>
        <v>0</v>
      </c>
      <c r="AI14" s="74">
        <f t="shared" si="21"/>
        <v>128.09757739258893</v>
      </c>
      <c r="AJ14" s="112">
        <f t="shared" si="15"/>
        <v>-325.10329087787022</v>
      </c>
      <c r="AK14" s="74">
        <f t="shared" si="16"/>
        <v>2649.6071174611393</v>
      </c>
      <c r="AL14" s="107">
        <f t="shared" si="17"/>
        <v>-2072.1454942677151</v>
      </c>
      <c r="AN14" s="74">
        <f t="shared" si="18"/>
        <v>0</v>
      </c>
      <c r="AP14" s="49"/>
    </row>
    <row r="15" spans="1:42" x14ac:dyDescent="0.25">
      <c r="C15" t="s">
        <v>578</v>
      </c>
      <c r="E15" s="6">
        <v>3</v>
      </c>
      <c r="F15" t="s">
        <v>577</v>
      </c>
      <c r="K15">
        <v>7</v>
      </c>
      <c r="L15" s="74">
        <f t="shared" si="0"/>
        <v>0</v>
      </c>
      <c r="M15" s="74">
        <f t="shared" si="1"/>
        <v>0</v>
      </c>
      <c r="N15" s="51">
        <f t="shared" si="20"/>
        <v>0</v>
      </c>
      <c r="O15" s="51">
        <f t="shared" si="7"/>
        <v>3425.3065085771113</v>
      </c>
      <c r="P15" s="51">
        <f>IF(K15&lt;$E$23+$E$22,1,0)*IF(K15&lt;$E$22,0,1)*OPEX!$F$7*((1+$E$24)^K15)</f>
        <v>0</v>
      </c>
      <c r="Q15" s="51">
        <f>IF(K15&lt;$E$23+$E$22,1,0)*IF(K15&lt;$E$22,0,-1)*OPEX!$F$30*(1+$E$24)^K15</f>
        <v>0</v>
      </c>
      <c r="R15" s="51">
        <f t="shared" si="2"/>
        <v>0</v>
      </c>
      <c r="S15" s="51">
        <f t="shared" si="8"/>
        <v>-380.58961206412323</v>
      </c>
      <c r="T15" s="51">
        <f t="shared" si="23"/>
        <v>-119.23232028575126</v>
      </c>
      <c r="U15" s="107">
        <f t="shared" si="9"/>
        <v>0</v>
      </c>
      <c r="V15" s="51">
        <f t="shared" si="10"/>
        <v>-499.82193234987449</v>
      </c>
      <c r="W15" s="51">
        <f t="shared" si="4"/>
        <v>0</v>
      </c>
      <c r="X15" s="51">
        <f t="shared" si="22"/>
        <v>-499.82193234987449</v>
      </c>
      <c r="Y15" s="51">
        <f t="shared" si="5"/>
        <v>0</v>
      </c>
      <c r="Z15" s="51">
        <f t="shared" si="19"/>
        <v>-444.33561116362148</v>
      </c>
      <c r="AA15" s="51">
        <f t="shared" si="6"/>
        <v>-360.62840598999702</v>
      </c>
      <c r="AC15" s="49">
        <f>IF(K15&gt;E$22+E$23-1,0,IF(K15&lt;$E$22,0,Streams!$A$7)*24*365*OPEX!$D$4)</f>
        <v>0</v>
      </c>
      <c r="AD15" s="49">
        <f t="shared" si="11"/>
        <v>0</v>
      </c>
      <c r="AE15" s="49">
        <f t="shared" si="12"/>
        <v>-119.23232028575126</v>
      </c>
      <c r="AF15" s="49">
        <f t="shared" si="13"/>
        <v>-11214.758658749342</v>
      </c>
      <c r="AH15" s="74">
        <f t="shared" si="14"/>
        <v>0</v>
      </c>
      <c r="AI15" s="74">
        <f t="shared" si="21"/>
        <v>119.23232028575126</v>
      </c>
      <c r="AJ15" s="112">
        <f t="shared" si="15"/>
        <v>-325.10329087787022</v>
      </c>
      <c r="AK15" s="74">
        <f t="shared" si="16"/>
        <v>2443.7361468690201</v>
      </c>
      <c r="AL15" s="107">
        <f t="shared" si="17"/>
        <v>-2571.9674266175898</v>
      </c>
      <c r="AN15" s="74">
        <f t="shared" si="18"/>
        <v>0</v>
      </c>
      <c r="AP15" s="49"/>
    </row>
    <row r="16" spans="1:42" x14ac:dyDescent="0.25">
      <c r="C16" s="17" t="s">
        <v>579</v>
      </c>
      <c r="D16" s="105">
        <v>0</v>
      </c>
      <c r="E16" s="101">
        <v>0</v>
      </c>
      <c r="K16">
        <v>8</v>
      </c>
      <c r="L16" s="74">
        <f t="shared" si="0"/>
        <v>0</v>
      </c>
      <c r="M16" s="74">
        <f t="shared" si="1"/>
        <v>0</v>
      </c>
      <c r="N16" s="51">
        <f t="shared" si="20"/>
        <v>0</v>
      </c>
      <c r="O16" s="51">
        <f t="shared" si="7"/>
        <v>3082.7758577194004</v>
      </c>
      <c r="P16" s="51">
        <f>IF(K16&lt;$E$23+$E$22,1,0)*IF(K16&lt;$E$22,0,1)*OPEX!$F$7*((1+$E$24)^K16)</f>
        <v>0</v>
      </c>
      <c r="Q16" s="51">
        <f>IF(K16&lt;$E$23+$E$22,1,0)*IF(K16&lt;$E$22,0,-1)*OPEX!$F$30*(1+$E$24)^K16</f>
        <v>0</v>
      </c>
      <c r="R16" s="51">
        <f t="shared" si="2"/>
        <v>0</v>
      </c>
      <c r="S16" s="51">
        <f t="shared" si="8"/>
        <v>-342.53065085771095</v>
      </c>
      <c r="T16" s="51">
        <f t="shared" si="23"/>
        <v>-109.96812660910589</v>
      </c>
      <c r="U16" s="107">
        <f t="shared" si="9"/>
        <v>0</v>
      </c>
      <c r="V16" s="51">
        <f t="shared" si="10"/>
        <v>-452.49877746681682</v>
      </c>
      <c r="W16" s="51">
        <f t="shared" si="4"/>
        <v>0</v>
      </c>
      <c r="X16" s="51">
        <f t="shared" si="22"/>
        <v>-452.49877746681682</v>
      </c>
      <c r="Y16" s="51">
        <f t="shared" si="5"/>
        <v>0</v>
      </c>
      <c r="Z16" s="51">
        <f t="shared" si="19"/>
        <v>-435.07141748697609</v>
      </c>
      <c r="AA16" s="51">
        <f t="shared" si="6"/>
        <v>-342.73558194503181</v>
      </c>
      <c r="AB16" s="136"/>
      <c r="AC16" s="49">
        <f>IF(K16&gt;E$22+E$23-1,0,IF(K16&lt;$E$22,0,Streams!$A$7)*24*365*OPEX!$D$4)</f>
        <v>0</v>
      </c>
      <c r="AD16" s="49">
        <f t="shared" si="11"/>
        <v>0</v>
      </c>
      <c r="AE16" s="49">
        <f t="shared" si="12"/>
        <v>-109.96812660910589</v>
      </c>
      <c r="AF16" s="49">
        <f t="shared" si="13"/>
        <v>-19795.9554744708</v>
      </c>
      <c r="AH16" s="74">
        <f t="shared" si="14"/>
        <v>0</v>
      </c>
      <c r="AI16" s="74">
        <f t="shared" si="21"/>
        <v>109.96812660910589</v>
      </c>
      <c r="AJ16" s="112">
        <f t="shared" si="15"/>
        <v>-325.10329087787022</v>
      </c>
      <c r="AK16" s="74">
        <f t="shared" si="16"/>
        <v>2228.600982600256</v>
      </c>
      <c r="AL16" s="107">
        <f t="shared" si="17"/>
        <v>-3024.4662040844069</v>
      </c>
      <c r="AN16" s="74">
        <f t="shared" si="18"/>
        <v>0</v>
      </c>
      <c r="AP16" s="49"/>
    </row>
    <row r="17" spans="3:42" x14ac:dyDescent="0.25">
      <c r="C17" s="17" t="s">
        <v>579</v>
      </c>
      <c r="D17" s="105">
        <v>1</v>
      </c>
      <c r="E17" s="101">
        <v>0.1</v>
      </c>
      <c r="K17">
        <v>9</v>
      </c>
      <c r="L17" s="74">
        <f t="shared" si="0"/>
        <v>0</v>
      </c>
      <c r="M17" s="74">
        <f t="shared" si="1"/>
        <v>0</v>
      </c>
      <c r="N17" s="51">
        <f t="shared" si="20"/>
        <v>0</v>
      </c>
      <c r="O17" s="51">
        <f t="shared" si="7"/>
        <v>2774.4982719474606</v>
      </c>
      <c r="P17" s="51">
        <f>IF(K17&lt;$E$23+$E$22,1,0)*IF(K17&lt;$E$22,0,1)*OPEX!$F$7*((1+$E$24)^K17)</f>
        <v>0</v>
      </c>
      <c r="Q17" s="51">
        <f>IF(K17&lt;$E$23+$E$22,1,0)*IF(K17&lt;$E$22,0,-1)*OPEX!$F$30*(1+$E$24)^K17</f>
        <v>0</v>
      </c>
      <c r="R17" s="51">
        <f t="shared" si="2"/>
        <v>0</v>
      </c>
      <c r="S17" s="51">
        <f t="shared" si="8"/>
        <v>-308.27758577193981</v>
      </c>
      <c r="T17" s="51">
        <f t="shared" si="23"/>
        <v>-100.28704421701151</v>
      </c>
      <c r="U17" s="107">
        <f t="shared" si="9"/>
        <v>0</v>
      </c>
      <c r="V17" s="51">
        <f t="shared" si="10"/>
        <v>-408.56462998895131</v>
      </c>
      <c r="W17" s="51">
        <f t="shared" si="4"/>
        <v>0</v>
      </c>
      <c r="X17" s="51">
        <f t="shared" si="22"/>
        <v>-408.56462998895131</v>
      </c>
      <c r="Y17" s="51">
        <f t="shared" si="5"/>
        <v>0</v>
      </c>
      <c r="Z17" s="51">
        <f t="shared" si="19"/>
        <v>-425.39033509488172</v>
      </c>
      <c r="AA17" s="51">
        <f t="shared" si="6"/>
        <v>-325.26406852274158</v>
      </c>
      <c r="AC17" s="49">
        <f>IF(K17&gt;E$22+E$23-1,0,IF(K17&lt;$E$22,0,Streams!$A$7)*24*365*OPEX!$D$4)</f>
        <v>0</v>
      </c>
      <c r="AD17" s="49">
        <f t="shared" si="11"/>
        <v>0</v>
      </c>
      <c r="AE17" s="49">
        <f t="shared" si="12"/>
        <v>-100.28704421701151</v>
      </c>
      <c r="AF17" s="49">
        <f t="shared" si="13"/>
        <v>-34551.601201519807</v>
      </c>
      <c r="AH17" s="74">
        <f t="shared" si="14"/>
        <v>0</v>
      </c>
      <c r="AI17" s="74">
        <f t="shared" si="21"/>
        <v>100.28704421701151</v>
      </c>
      <c r="AJ17" s="112">
        <f t="shared" si="15"/>
        <v>-325.10329087787022</v>
      </c>
      <c r="AK17" s="74">
        <f t="shared" si="16"/>
        <v>2003.7847359393973</v>
      </c>
      <c r="AL17" s="107">
        <f t="shared" si="17"/>
        <v>-3433.0308340733582</v>
      </c>
      <c r="AN17" s="74">
        <f t="shared" si="18"/>
        <v>0</v>
      </c>
      <c r="AP17" s="49"/>
    </row>
    <row r="18" spans="3:42" x14ac:dyDescent="0.25">
      <c r="C18" s="17" t="s">
        <v>579</v>
      </c>
      <c r="D18" s="105">
        <v>2</v>
      </c>
      <c r="E18" s="101">
        <v>0.6</v>
      </c>
      <c r="K18">
        <v>10</v>
      </c>
      <c r="L18" s="74">
        <f t="shared" si="0"/>
        <v>0</v>
      </c>
      <c r="M18" s="74">
        <f t="shared" si="1"/>
        <v>0</v>
      </c>
      <c r="N18" s="51">
        <f t="shared" si="20"/>
        <v>0</v>
      </c>
      <c r="O18" s="51">
        <f t="shared" si="7"/>
        <v>2497.0484447527147</v>
      </c>
      <c r="P18" s="51">
        <f>IF(K18&lt;$E$23+$E$22,1,0)*IF(K18&lt;$E$22,0,1)*OPEX!$F$7*((1+$E$24)^K18)</f>
        <v>0</v>
      </c>
      <c r="Q18" s="51">
        <f>IF(K18&lt;$E$23+$E$22,1,0)*IF(K18&lt;$E$22,0,-1)*OPEX!$F$30*(1+$E$24)^K18</f>
        <v>0</v>
      </c>
      <c r="R18" s="51">
        <f t="shared" si="2"/>
        <v>0</v>
      </c>
      <c r="S18" s="51">
        <f t="shared" si="8"/>
        <v>-277.44982719474592</v>
      </c>
      <c r="T18" s="51">
        <f t="shared" si="23"/>
        <v>-90.170313117272869</v>
      </c>
      <c r="U18" s="107">
        <f t="shared" si="9"/>
        <v>0</v>
      </c>
      <c r="V18" s="51">
        <f t="shared" si="10"/>
        <v>-367.6201403120188</v>
      </c>
      <c r="W18" s="51">
        <f t="shared" si="4"/>
        <v>0</v>
      </c>
      <c r="X18" s="51">
        <f t="shared" si="22"/>
        <v>-367.6201403120188</v>
      </c>
      <c r="Y18" s="51">
        <f t="shared" si="5"/>
        <v>0</v>
      </c>
      <c r="Z18" s="51">
        <f t="shared" si="19"/>
        <v>-415.27360399514311</v>
      </c>
      <c r="AA18" s="51">
        <f t="shared" si="6"/>
        <v>-308.19999594893801</v>
      </c>
      <c r="AC18" s="49">
        <f>IF(K18&gt;E$22+E$23-1,0,IF(K18&lt;$E$22,0,Streams!$A$7)*24*365*OPEX!$D$4)</f>
        <v>0</v>
      </c>
      <c r="AD18" s="49">
        <f t="shared" si="11"/>
        <v>0</v>
      </c>
      <c r="AE18" s="49">
        <f t="shared" si="12"/>
        <v>-90.170313117272869</v>
      </c>
      <c r="AF18" s="49">
        <f t="shared" si="13"/>
        <v>-59456.676570653413</v>
      </c>
      <c r="AH18" s="74">
        <f t="shared" si="14"/>
        <v>0</v>
      </c>
      <c r="AI18" s="74">
        <f t="shared" si="21"/>
        <v>90.170313117272869</v>
      </c>
      <c r="AJ18" s="112">
        <f t="shared" si="15"/>
        <v>-325.10329087787022</v>
      </c>
      <c r="AK18" s="74">
        <f t="shared" si="16"/>
        <v>1768.8517581788001</v>
      </c>
      <c r="AL18" s="107">
        <f t="shared" si="17"/>
        <v>-3800.6509743853771</v>
      </c>
      <c r="AN18" s="74">
        <f t="shared" si="18"/>
        <v>0</v>
      </c>
      <c r="AP18" s="49"/>
    </row>
    <row r="19" spans="3:42" x14ac:dyDescent="0.25">
      <c r="C19" s="17" t="s">
        <v>579</v>
      </c>
      <c r="D19" s="105">
        <v>3</v>
      </c>
      <c r="E19" s="101">
        <v>0.3</v>
      </c>
      <c r="K19">
        <v>11</v>
      </c>
      <c r="L19" s="74">
        <f t="shared" si="0"/>
        <v>0</v>
      </c>
      <c r="M19" s="74">
        <f t="shared" si="1"/>
        <v>0</v>
      </c>
      <c r="N19" s="51">
        <f t="shared" si="20"/>
        <v>0</v>
      </c>
      <c r="O19" s="51">
        <f t="shared" si="7"/>
        <v>2247.3436002774433</v>
      </c>
      <c r="P19" s="51">
        <f>IF(K19&lt;$E$23+$E$22,1,0)*IF(K19&lt;$E$22,0,1)*OPEX!$F$7*((1+$E$24)^K19)</f>
        <v>0</v>
      </c>
      <c r="Q19" s="51">
        <f>IF(K19&lt;$E$23+$E$22,1,0)*IF(K19&lt;$E$22,0,-1)*OPEX!$F$30*(1+$E$24)^K19</f>
        <v>0</v>
      </c>
      <c r="R19" s="51">
        <f t="shared" si="2"/>
        <v>0</v>
      </c>
      <c r="S19" s="51">
        <f t="shared" si="8"/>
        <v>-249.70484447527133</v>
      </c>
      <c r="T19" s="51">
        <f t="shared" si="23"/>
        <v>-79.598329118045996</v>
      </c>
      <c r="U19" s="107">
        <f t="shared" si="9"/>
        <v>0</v>
      </c>
      <c r="V19" s="51">
        <f t="shared" si="10"/>
        <v>-329.3031735933173</v>
      </c>
      <c r="W19" s="51">
        <f t="shared" si="4"/>
        <v>0</v>
      </c>
      <c r="X19" s="51">
        <f t="shared" si="22"/>
        <v>-329.3031735933173</v>
      </c>
      <c r="Y19" s="51">
        <f t="shared" si="5"/>
        <v>0</v>
      </c>
      <c r="Z19" s="51">
        <f t="shared" si="19"/>
        <v>-404.70161999591619</v>
      </c>
      <c r="AA19" s="51">
        <f t="shared" si="6"/>
        <v>-291.52988058718319</v>
      </c>
      <c r="AC19" s="49">
        <f>IF(K19&gt;E$22+E$23-1,0,IF(K19&lt;$E$22,0,Streams!$A$7)*24*365*OPEX!$D$4)</f>
        <v>0</v>
      </c>
      <c r="AD19" s="49">
        <f t="shared" si="11"/>
        <v>0</v>
      </c>
      <c r="AE19" s="49">
        <f t="shared" si="12"/>
        <v>-79.598329118045996</v>
      </c>
      <c r="AF19" s="49">
        <f t="shared" si="13"/>
        <v>-100451.10274439542</v>
      </c>
      <c r="AH19" s="74">
        <f t="shared" si="14"/>
        <v>0</v>
      </c>
      <c r="AI19" s="74">
        <f t="shared" si="21"/>
        <v>79.598329118045996</v>
      </c>
      <c r="AJ19" s="112">
        <f t="shared" si="15"/>
        <v>-325.10329087787022</v>
      </c>
      <c r="AK19" s="74">
        <f t="shared" si="16"/>
        <v>1523.3467964189758</v>
      </c>
      <c r="AL19" s="107">
        <f t="shared" si="17"/>
        <v>-4129.9541479786949</v>
      </c>
      <c r="AN19" s="74">
        <f t="shared" si="18"/>
        <v>0</v>
      </c>
      <c r="AP19" s="49"/>
    </row>
    <row r="20" spans="3:42" x14ac:dyDescent="0.25">
      <c r="C20" s="17" t="s">
        <v>579</v>
      </c>
      <c r="D20" s="105">
        <v>4</v>
      </c>
      <c r="E20" s="101">
        <v>0</v>
      </c>
      <c r="K20">
        <v>12</v>
      </c>
      <c r="L20" s="74">
        <f t="shared" si="0"/>
        <v>0</v>
      </c>
      <c r="M20" s="74">
        <f t="shared" si="1"/>
        <v>0</v>
      </c>
      <c r="N20" s="51">
        <f t="shared" si="20"/>
        <v>0</v>
      </c>
      <c r="O20" s="51">
        <f t="shared" si="7"/>
        <v>2022.609240249699</v>
      </c>
      <c r="P20" s="51">
        <f>IF(K20&lt;$E$23+$E$22,1,0)*IF(K20&lt;$E$22,0,1)*OPEX!$F$7*((1+$E$24)^K20)</f>
        <v>0</v>
      </c>
      <c r="Q20" s="51">
        <f>IF(K20&lt;$E$23+$E$22,1,0)*IF(K20&lt;$E$22,0,-1)*OPEX!$F$30*(1+$E$24)^K20</f>
        <v>0</v>
      </c>
      <c r="R20" s="51">
        <f t="shared" si="2"/>
        <v>0</v>
      </c>
      <c r="S20" s="51">
        <f t="shared" si="8"/>
        <v>-224.73436002774429</v>
      </c>
      <c r="T20" s="51">
        <f t="shared" si="23"/>
        <v>-68.550605838853912</v>
      </c>
      <c r="U20" s="107">
        <f t="shared" si="9"/>
        <v>0</v>
      </c>
      <c r="V20" s="51">
        <f t="shared" si="10"/>
        <v>-293.28496586659821</v>
      </c>
      <c r="W20" s="51">
        <f t="shared" si="4"/>
        <v>0</v>
      </c>
      <c r="X20" s="51">
        <f t="shared" si="22"/>
        <v>-293.28496586659821</v>
      </c>
      <c r="Y20" s="51">
        <f t="shared" si="5"/>
        <v>0</v>
      </c>
      <c r="Z20" s="51">
        <f t="shared" si="19"/>
        <v>-393.65389671672415</v>
      </c>
      <c r="AA20" s="51">
        <f t="shared" si="6"/>
        <v>-275.24061328945999</v>
      </c>
      <c r="AC20" s="49">
        <f>IF(K20&gt;E$22+E$23-1,0,IF(K20&lt;$E$22,0,Streams!$A$7)*24*365*OPEX!$D$4)</f>
        <v>0</v>
      </c>
      <c r="AD20" s="49">
        <f t="shared" si="11"/>
        <v>0</v>
      </c>
      <c r="AE20" s="49">
        <f t="shared" si="12"/>
        <v>-68.550605838853912</v>
      </c>
      <c r="AF20" s="49">
        <f t="shared" si="13"/>
        <v>-165567.75496838626</v>
      </c>
      <c r="AH20" s="74">
        <f t="shared" si="14"/>
        <v>0</v>
      </c>
      <c r="AI20" s="74">
        <f t="shared" si="21"/>
        <v>68.550605838853912</v>
      </c>
      <c r="AJ20" s="112">
        <f t="shared" si="15"/>
        <v>-325.10329087787022</v>
      </c>
      <c r="AK20" s="74">
        <f t="shared" si="16"/>
        <v>1266.7941113799595</v>
      </c>
      <c r="AL20" s="107">
        <f t="shared" si="17"/>
        <v>-4423.2391138452931</v>
      </c>
      <c r="AN20" s="74">
        <f t="shared" si="18"/>
        <v>0</v>
      </c>
      <c r="AP20" s="49"/>
    </row>
    <row r="21" spans="3:42" x14ac:dyDescent="0.25">
      <c r="C21" s="17" t="s">
        <v>579</v>
      </c>
      <c r="D21" s="105">
        <v>5</v>
      </c>
      <c r="E21" s="101">
        <v>0</v>
      </c>
      <c r="K21">
        <v>13</v>
      </c>
      <c r="L21" s="74">
        <f t="shared" si="0"/>
        <v>0</v>
      </c>
      <c r="M21" s="74">
        <f t="shared" si="1"/>
        <v>0</v>
      </c>
      <c r="N21" s="51">
        <f t="shared" si="20"/>
        <v>0</v>
      </c>
      <c r="O21" s="51">
        <f t="shared" si="7"/>
        <v>1820.3483162247292</v>
      </c>
      <c r="P21" s="51">
        <f>IF(K21&lt;$E$23+$E$22,1,0)*IF(K21&lt;$E$22,0,1)*OPEX!$F$7*((1+$E$24)^K21)</f>
        <v>0</v>
      </c>
      <c r="Q21" s="51">
        <f>IF(K21&lt;$E$23+$E$22,1,0)*IF(K21&lt;$E$22,0,-1)*OPEX!$F$30*(1+$E$24)^K21</f>
        <v>0</v>
      </c>
      <c r="R21" s="51">
        <f t="shared" si="2"/>
        <v>0</v>
      </c>
      <c r="S21" s="51">
        <f t="shared" si="8"/>
        <v>-202.26092402496988</v>
      </c>
      <c r="T21" s="51">
        <f t="shared" si="23"/>
        <v>-57.005735012098178</v>
      </c>
      <c r="U21" s="107">
        <f t="shared" si="9"/>
        <v>0</v>
      </c>
      <c r="V21" s="51">
        <f t="shared" si="10"/>
        <v>-259.26665903706805</v>
      </c>
      <c r="W21" s="51">
        <f t="shared" si="4"/>
        <v>0</v>
      </c>
      <c r="X21" s="51">
        <f t="shared" si="22"/>
        <v>-259.26665903706805</v>
      </c>
      <c r="Y21" s="51">
        <f t="shared" si="5"/>
        <v>0</v>
      </c>
      <c r="Z21" s="51">
        <f t="shared" si="19"/>
        <v>-382.10902588996839</v>
      </c>
      <c r="AA21" s="51">
        <f t="shared" si="6"/>
        <v>-259.31944808472133</v>
      </c>
      <c r="AC21" s="49">
        <f>IF(K21&gt;E$22+E$23-1,0,IF(K21&lt;$E$22,0,Streams!$A$7)*24*365*OPEX!$D$4)</f>
        <v>0</v>
      </c>
      <c r="AD21" s="49">
        <f t="shared" si="11"/>
        <v>0</v>
      </c>
      <c r="AE21" s="49">
        <f t="shared" si="12"/>
        <v>-57.005735012098178</v>
      </c>
      <c r="AF21" s="49">
        <f t="shared" si="13"/>
        <v>-263509.76731398847</v>
      </c>
      <c r="AH21" s="74">
        <f t="shared" si="14"/>
        <v>0</v>
      </c>
      <c r="AI21" s="74">
        <f t="shared" si="21"/>
        <v>57.005735012098178</v>
      </c>
      <c r="AJ21" s="112">
        <f t="shared" si="15"/>
        <v>-325.10329087787022</v>
      </c>
      <c r="AK21" s="74">
        <f t="shared" si="16"/>
        <v>998.69655551418759</v>
      </c>
      <c r="AL21" s="107">
        <f t="shared" si="17"/>
        <v>-4682.5057728823613</v>
      </c>
      <c r="AN21" s="74">
        <f t="shared" si="18"/>
        <v>0</v>
      </c>
      <c r="AP21" s="49"/>
    </row>
    <row r="22" spans="3:42" x14ac:dyDescent="0.25">
      <c r="C22" t="s">
        <v>580</v>
      </c>
      <c r="E22" s="2">
        <v>4</v>
      </c>
      <c r="K22">
        <v>14</v>
      </c>
      <c r="L22" s="74">
        <f t="shared" si="0"/>
        <v>0</v>
      </c>
      <c r="M22" s="74">
        <f t="shared" si="1"/>
        <v>0</v>
      </c>
      <c r="N22" s="51">
        <f t="shared" si="20"/>
        <v>0</v>
      </c>
      <c r="O22" s="51">
        <f t="shared" si="7"/>
        <v>1638.3134846022563</v>
      </c>
      <c r="P22" s="51">
        <f>IF(K22&lt;$E$23+$E$22,1,0)*IF(K22&lt;$E$22,0,1)*OPEX!$F$7*((1+$E$24)^K22)</f>
        <v>0</v>
      </c>
      <c r="Q22" s="51">
        <f>IF(K22&lt;$E$23+$E$22,1,0)*IF(K22&lt;$E$22,0,-1)*OPEX!$F$30*(1+$E$24)^K22</f>
        <v>0</v>
      </c>
      <c r="R22" s="51">
        <f t="shared" si="2"/>
        <v>0</v>
      </c>
      <c r="S22" s="51">
        <f t="shared" si="8"/>
        <v>-182.03483162247289</v>
      </c>
      <c r="T22" s="51">
        <f t="shared" si="23"/>
        <v>-44.94134499813844</v>
      </c>
      <c r="U22" s="107">
        <f t="shared" si="9"/>
        <v>0</v>
      </c>
      <c r="V22" s="51">
        <f t="shared" si="10"/>
        <v>-226.97617662061134</v>
      </c>
      <c r="W22" s="51">
        <f t="shared" si="4"/>
        <v>0</v>
      </c>
      <c r="X22" s="51">
        <f t="shared" si="22"/>
        <v>-226.97617662061134</v>
      </c>
      <c r="Y22" s="51">
        <f t="shared" si="5"/>
        <v>0</v>
      </c>
      <c r="Z22" s="51">
        <f t="shared" si="19"/>
        <v>-370.04463587600867</v>
      </c>
      <c r="AA22" s="51">
        <f t="shared" si="6"/>
        <v>-243.75399119533026</v>
      </c>
      <c r="AC22" s="49">
        <f>IF(K22&gt;E$22+E$23-1,0,IF(K22&lt;$E$22,0,Streams!$A$7)*24*365*OPEX!$D$4)</f>
        <v>0</v>
      </c>
      <c r="AD22" s="49">
        <f t="shared" si="11"/>
        <v>0</v>
      </c>
      <c r="AE22" s="49">
        <f t="shared" si="12"/>
        <v>-44.94134499813844</v>
      </c>
      <c r="AF22" s="49">
        <f t="shared" si="13"/>
        <v>-397592.2760197781</v>
      </c>
      <c r="AH22" s="74">
        <f t="shared" si="14"/>
        <v>0</v>
      </c>
      <c r="AI22" s="74">
        <f t="shared" si="21"/>
        <v>44.94134499813844</v>
      </c>
      <c r="AJ22" s="112">
        <f t="shared" si="15"/>
        <v>-325.10329087787022</v>
      </c>
      <c r="AK22" s="74">
        <f t="shared" si="16"/>
        <v>718.53460963445582</v>
      </c>
      <c r="AL22" s="107">
        <f t="shared" si="17"/>
        <v>-4909.4819495029724</v>
      </c>
      <c r="AN22" s="74">
        <f t="shared" si="18"/>
        <v>0</v>
      </c>
      <c r="AP22" s="49"/>
    </row>
    <row r="23" spans="3:42" x14ac:dyDescent="0.25">
      <c r="C23" t="s">
        <v>581</v>
      </c>
      <c r="E23" s="2">
        <v>30</v>
      </c>
      <c r="F23" t="s">
        <v>577</v>
      </c>
      <c r="K23">
        <v>15</v>
      </c>
      <c r="L23" s="74">
        <f t="shared" si="0"/>
        <v>0</v>
      </c>
      <c r="M23" s="74">
        <f t="shared" si="1"/>
        <v>0</v>
      </c>
      <c r="N23" s="51">
        <f t="shared" si="20"/>
        <v>0</v>
      </c>
      <c r="O23" s="51">
        <f t="shared" si="7"/>
        <v>1474.4821361420306</v>
      </c>
      <c r="P23" s="51">
        <f>IF(K23&lt;$E$23+$E$22,1,0)*IF(K23&lt;$E$22,0,1)*OPEX!$F$7*((1+$E$24)^K23)</f>
        <v>0</v>
      </c>
      <c r="Q23" s="51">
        <f>IF(K23&lt;$E$23+$E$22,1,0)*IF(K23&lt;$E$22,0,-1)*OPEX!$F$30*(1+$E$24)^K23</f>
        <v>0</v>
      </c>
      <c r="R23" s="51">
        <f t="shared" si="2"/>
        <v>0</v>
      </c>
      <c r="S23" s="51">
        <f t="shared" si="8"/>
        <v>-163.83134846022563</v>
      </c>
      <c r="T23" s="51">
        <f t="shared" si="23"/>
        <v>-32.334057433550512</v>
      </c>
      <c r="U23" s="107">
        <f t="shared" si="9"/>
        <v>0</v>
      </c>
      <c r="V23" s="51">
        <f t="shared" si="10"/>
        <v>-196.16540589377615</v>
      </c>
      <c r="W23" s="51">
        <f t="shared" si="4"/>
        <v>0</v>
      </c>
      <c r="X23" s="51">
        <f t="shared" si="22"/>
        <v>-196.16540589377615</v>
      </c>
      <c r="Y23" s="51">
        <f t="shared" si="5"/>
        <v>0</v>
      </c>
      <c r="Z23" s="51">
        <f t="shared" si="19"/>
        <v>-357.43734831142075</v>
      </c>
      <c r="AA23" s="51">
        <f t="shared" si="6"/>
        <v>-228.53219037169242</v>
      </c>
      <c r="AC23" s="49">
        <f>IF(K23&gt;E$22+E$23-1,0,IF(K23&lt;$E$22,0,Streams!$A$7)*24*365*OPEX!$D$4)</f>
        <v>0</v>
      </c>
      <c r="AD23" s="49">
        <f t="shared" si="11"/>
        <v>0</v>
      </c>
      <c r="AE23" s="49">
        <f t="shared" si="12"/>
        <v>-32.334057433550512</v>
      </c>
      <c r="AF23" s="49">
        <f t="shared" si="13"/>
        <v>-547476.88006214169</v>
      </c>
      <c r="AH23" s="74">
        <f t="shared" si="14"/>
        <v>0</v>
      </c>
      <c r="AI23" s="74">
        <f t="shared" si="21"/>
        <v>32.334057433550512</v>
      </c>
      <c r="AJ23" s="112">
        <f t="shared" si="15"/>
        <v>-325.10329087787022</v>
      </c>
      <c r="AK23" s="74">
        <f t="shared" si="16"/>
        <v>425.76537619013607</v>
      </c>
      <c r="AL23" s="107">
        <f t="shared" si="17"/>
        <v>-5105.6473553967489</v>
      </c>
      <c r="AN23" s="74">
        <f t="shared" si="18"/>
        <v>0</v>
      </c>
      <c r="AP23" s="49"/>
    </row>
    <row r="24" spans="3:42" x14ac:dyDescent="0.25">
      <c r="C24" t="s">
        <v>582</v>
      </c>
      <c r="E24" s="102">
        <f>(Reference!P19/Reference!P15)^(1/(COUNT(Reference!P15:P19)-1))-1</f>
        <v>3.026790256483225E-2</v>
      </c>
      <c r="K24">
        <v>16</v>
      </c>
      <c r="L24" s="74">
        <f t="shared" si="0"/>
        <v>0</v>
      </c>
      <c r="M24" s="74">
        <f t="shared" si="1"/>
        <v>0</v>
      </c>
      <c r="N24" s="51">
        <f t="shared" si="20"/>
        <v>0</v>
      </c>
      <c r="O24" s="51">
        <f t="shared" si="7"/>
        <v>1327.0339225278276</v>
      </c>
      <c r="P24" s="51">
        <f>IF(K24&lt;$E$23+$E$22,1,0)*IF(K24&lt;$E$22,0,1)*OPEX!$F$7*((1+$E$24)^K24)</f>
        <v>0</v>
      </c>
      <c r="Q24" s="51">
        <f>IF(K24&lt;$E$23+$E$22,1,0)*IF(K24&lt;$E$22,0,-1)*OPEX!$F$30*(1+$E$24)^K24</f>
        <v>0</v>
      </c>
      <c r="R24" s="51">
        <f t="shared" si="2"/>
        <v>0</v>
      </c>
      <c r="S24" s="51">
        <f t="shared" si="8"/>
        <v>-147.44821361420304</v>
      </c>
      <c r="T24" s="51">
        <f t="shared" si="23"/>
        <v>-19.159441928556124</v>
      </c>
      <c r="U24" s="107">
        <f t="shared" si="9"/>
        <v>0</v>
      </c>
      <c r="V24" s="51">
        <f t="shared" si="10"/>
        <v>-166.60765554275918</v>
      </c>
      <c r="W24" s="51">
        <f t="shared" si="4"/>
        <v>0</v>
      </c>
      <c r="X24" s="51">
        <f t="shared" si="22"/>
        <v>-166.60765554275918</v>
      </c>
      <c r="Y24" s="51">
        <f t="shared" si="5"/>
        <v>0</v>
      </c>
      <c r="Z24" s="51">
        <f t="shared" si="19"/>
        <v>-344.26273280642636</v>
      </c>
      <c r="AA24" s="51">
        <f t="shared" si="6"/>
        <v>-213.64232453567158</v>
      </c>
      <c r="AC24" s="49">
        <f>IF(K24&gt;E$22+E$23-1,0,IF(K24&lt;$E$22,0,Streams!$A$7)*24*365*OPEX!$D$4)</f>
        <v>0</v>
      </c>
      <c r="AD24" s="49">
        <f t="shared" si="11"/>
        <v>0</v>
      </c>
      <c r="AE24" s="49">
        <f t="shared" si="12"/>
        <v>-19.159441928556124</v>
      </c>
      <c r="AF24" s="49">
        <f t="shared" si="13"/>
        <v>-620872.09126798809</v>
      </c>
      <c r="AH24" s="74">
        <f t="shared" si="14"/>
        <v>0</v>
      </c>
      <c r="AI24" s="74">
        <f t="shared" si="21"/>
        <v>19.159441928556124</v>
      </c>
      <c r="AJ24" s="112">
        <f t="shared" si="15"/>
        <v>-325.10329087787022</v>
      </c>
      <c r="AK24" s="74">
        <f t="shared" si="16"/>
        <v>119.82152724082198</v>
      </c>
      <c r="AL24" s="107">
        <f t="shared" si="17"/>
        <v>-5272.2550109395079</v>
      </c>
      <c r="AN24" s="74">
        <f t="shared" si="18"/>
        <v>0</v>
      </c>
      <c r="AP24" s="49"/>
    </row>
    <row r="25" spans="3:42" x14ac:dyDescent="0.25">
      <c r="C25" t="s">
        <v>583</v>
      </c>
      <c r="E25" s="102">
        <f>E24</f>
        <v>3.026790256483225E-2</v>
      </c>
      <c r="K25">
        <v>17</v>
      </c>
      <c r="L25" s="74">
        <f t="shared" si="0"/>
        <v>0</v>
      </c>
      <c r="M25" s="74">
        <f t="shared" si="1"/>
        <v>0</v>
      </c>
      <c r="N25" s="51">
        <f t="shared" si="20"/>
        <v>0</v>
      </c>
      <c r="O25" s="51">
        <f t="shared" si="7"/>
        <v>1194.3305302750448</v>
      </c>
      <c r="P25" s="51">
        <f>IF(K25&lt;$E$23+$E$22,1,0)*IF(K25&lt;$E$22,0,1)*OPEX!$F$7*((1+$E$24)^K25)</f>
        <v>0</v>
      </c>
      <c r="Q25" s="51">
        <f>IF(K25&lt;$E$23+$E$22,1,0)*IF(K25&lt;$E$22,0,-1)*OPEX!$F$30*(1+$E$24)^K25</f>
        <v>0</v>
      </c>
      <c r="R25" s="51">
        <f t="shared" si="2"/>
        <v>0</v>
      </c>
      <c r="S25" s="51">
        <f t="shared" si="8"/>
        <v>-132.70339225278281</v>
      </c>
      <c r="T25" s="51">
        <f t="shared" si="23"/>
        <v>-5.3919687258369891</v>
      </c>
      <c r="U25" s="107">
        <f t="shared" si="9"/>
        <v>0</v>
      </c>
      <c r="V25" s="51">
        <f t="shared" si="10"/>
        <v>-138.09536097861979</v>
      </c>
      <c r="W25" s="51">
        <f t="shared" si="4"/>
        <v>0</v>
      </c>
      <c r="X25" s="51">
        <f t="shared" si="22"/>
        <v>-138.09536097861979</v>
      </c>
      <c r="Y25" s="51">
        <f t="shared" si="5"/>
        <v>0</v>
      </c>
      <c r="Z25" s="51">
        <f t="shared" si="19"/>
        <v>-130.60546469249596</v>
      </c>
      <c r="AA25" s="51">
        <f t="shared" si="6"/>
        <v>-78.669875278029124</v>
      </c>
      <c r="AC25" s="49">
        <f>IF(K25&gt;E$22+E$23-1,0,IF(K25&lt;$E$22,0,Streams!$A$7)*24*365*OPEX!$D$4)</f>
        <v>0</v>
      </c>
      <c r="AD25" s="49">
        <f t="shared" si="11"/>
        <v>0</v>
      </c>
      <c r="AE25" s="49">
        <f t="shared" si="12"/>
        <v>-5.3919687258369891</v>
      </c>
      <c r="AF25" s="49">
        <f t="shared" si="13"/>
        <v>-334410.84501196496</v>
      </c>
      <c r="AH25" s="74">
        <f t="shared" si="14"/>
        <v>0</v>
      </c>
      <c r="AI25" s="74">
        <f t="shared" si="21"/>
        <v>5.3919687258369891</v>
      </c>
      <c r="AJ25" s="112">
        <f t="shared" si="15"/>
        <v>-125.21349596665897</v>
      </c>
      <c r="AK25" s="74">
        <f t="shared" si="16"/>
        <v>0</v>
      </c>
      <c r="AL25" s="107">
        <f t="shared" si="17"/>
        <v>-5410.3503719181281</v>
      </c>
      <c r="AN25" s="74">
        <f t="shared" si="18"/>
        <v>0</v>
      </c>
      <c r="AP25" s="49"/>
    </row>
    <row r="26" spans="3:42" x14ac:dyDescent="0.25">
      <c r="C26" t="s">
        <v>584</v>
      </c>
      <c r="E26" s="103">
        <f>(Reference!K28/Reference!K24)^(1/(COUNT(Reference!K24:K28)-1))-1</f>
        <v>3.9734737872931802E-3</v>
      </c>
      <c r="K26">
        <v>18</v>
      </c>
      <c r="L26" s="74">
        <f t="shared" si="0"/>
        <v>0</v>
      </c>
      <c r="M26" s="74">
        <f t="shared" si="1"/>
        <v>0</v>
      </c>
      <c r="N26" s="51">
        <f t="shared" si="20"/>
        <v>0</v>
      </c>
      <c r="O26" s="51">
        <f t="shared" si="7"/>
        <v>1074.8974772475403</v>
      </c>
      <c r="P26" s="51">
        <f>IF(K26&lt;$E$23+$E$22,1,0)*IF(K26&lt;$E$22,0,1)*OPEX!$F$7*((1+$E$24)^K26)</f>
        <v>0</v>
      </c>
      <c r="Q26" s="51">
        <f>IF(K26&lt;$E$23+$E$22,1,0)*IF(K26&lt;$E$22,0,-1)*OPEX!$F$30*(1+$E$24)^K26</f>
        <v>0</v>
      </c>
      <c r="R26" s="51">
        <f t="shared" si="2"/>
        <v>0</v>
      </c>
      <c r="S26" s="51">
        <f t="shared" si="8"/>
        <v>-119.43305302750446</v>
      </c>
      <c r="T26" s="51">
        <f t="shared" si="23"/>
        <v>0</v>
      </c>
      <c r="U26" s="107">
        <f t="shared" si="9"/>
        <v>0</v>
      </c>
      <c r="V26" s="51">
        <f t="shared" si="10"/>
        <v>-119.43305302750446</v>
      </c>
      <c r="W26" s="51">
        <f t="shared" si="4"/>
        <v>0</v>
      </c>
      <c r="X26" s="51">
        <f t="shared" si="22"/>
        <v>-119.43305302750446</v>
      </c>
      <c r="Y26" s="51">
        <f t="shared" si="5"/>
        <v>0</v>
      </c>
      <c r="Z26" s="51">
        <f t="shared" si="19"/>
        <v>0</v>
      </c>
      <c r="AA26" s="51">
        <f t="shared" si="6"/>
        <v>0</v>
      </c>
      <c r="AC26" s="49">
        <f>IF(K26&gt;E$22+E$23-1,0,IF(K26&lt;$E$22,0,Streams!$A$7)*24*365*OPEX!$D$4)</f>
        <v>0</v>
      </c>
      <c r="AD26" s="49">
        <f t="shared" si="11"/>
        <v>0</v>
      </c>
      <c r="AE26" s="49">
        <f t="shared" si="12"/>
        <v>0</v>
      </c>
      <c r="AF26" s="49">
        <f t="shared" si="13"/>
        <v>0</v>
      </c>
      <c r="AH26" s="74">
        <f t="shared" si="14"/>
        <v>0</v>
      </c>
      <c r="AI26" s="74">
        <f t="shared" si="21"/>
        <v>0</v>
      </c>
      <c r="AJ26" s="112">
        <f t="shared" si="15"/>
        <v>0</v>
      </c>
      <c r="AK26" s="74">
        <f t="shared" si="16"/>
        <v>0</v>
      </c>
      <c r="AL26" s="107">
        <f t="shared" si="17"/>
        <v>-5529.7834249456328</v>
      </c>
      <c r="AN26" s="74">
        <f t="shared" si="18"/>
        <v>0</v>
      </c>
      <c r="AP26" s="49"/>
    </row>
    <row r="27" spans="3:42" x14ac:dyDescent="0.25">
      <c r="C27" t="s">
        <v>585</v>
      </c>
      <c r="E27" s="2">
        <v>20</v>
      </c>
      <c r="F27" t="s">
        <v>577</v>
      </c>
      <c r="K27">
        <v>19</v>
      </c>
      <c r="L27" s="74">
        <f t="shared" si="0"/>
        <v>0</v>
      </c>
      <c r="M27" s="74">
        <f t="shared" si="1"/>
        <v>0</v>
      </c>
      <c r="N27" s="51">
        <f t="shared" si="20"/>
        <v>0</v>
      </c>
      <c r="O27" s="51">
        <f t="shared" si="7"/>
        <v>967.40772952278633</v>
      </c>
      <c r="P27" s="51">
        <f>IF(K27&lt;$E$23+$E$22,1,0)*IF(K27&lt;$E$22,0,1)*OPEX!$F$7*((1+$E$24)^K27)</f>
        <v>0</v>
      </c>
      <c r="Q27" s="51">
        <f>IF(K27&lt;$E$23+$E$22,1,0)*IF(K27&lt;$E$22,0,-1)*OPEX!$F$30*(1+$E$24)^K27</f>
        <v>0</v>
      </c>
      <c r="R27" s="51">
        <f t="shared" si="2"/>
        <v>0</v>
      </c>
      <c r="S27" s="51">
        <f t="shared" si="8"/>
        <v>-107.48974772475401</v>
      </c>
      <c r="T27" s="51">
        <f t="shared" si="23"/>
        <v>0</v>
      </c>
      <c r="U27" s="107">
        <f t="shared" si="9"/>
        <v>0</v>
      </c>
      <c r="V27" s="51">
        <f t="shared" si="10"/>
        <v>-107.48974772475401</v>
      </c>
      <c r="W27" s="51">
        <f t="shared" si="4"/>
        <v>0</v>
      </c>
      <c r="X27" s="51">
        <f t="shared" si="22"/>
        <v>-107.48974772475401</v>
      </c>
      <c r="Y27" s="51">
        <f t="shared" si="5"/>
        <v>0</v>
      </c>
      <c r="Z27" s="51">
        <f t="shared" si="19"/>
        <v>0</v>
      </c>
      <c r="AA27" s="51">
        <f t="shared" si="6"/>
        <v>0</v>
      </c>
      <c r="AC27" s="49">
        <f>IF(K27&gt;E$22+E$23-1,0,IF(K27&lt;$E$22,0,Streams!$A$7)*24*365*OPEX!$D$4)</f>
        <v>0</v>
      </c>
      <c r="AD27" s="49">
        <f t="shared" si="11"/>
        <v>0</v>
      </c>
      <c r="AE27" s="49">
        <f t="shared" si="12"/>
        <v>0</v>
      </c>
      <c r="AF27" s="49">
        <f t="shared" si="13"/>
        <v>0</v>
      </c>
      <c r="AH27" s="74">
        <f t="shared" si="14"/>
        <v>0</v>
      </c>
      <c r="AI27" s="74">
        <f t="shared" si="21"/>
        <v>0</v>
      </c>
      <c r="AJ27" s="112">
        <f t="shared" si="15"/>
        <v>0</v>
      </c>
      <c r="AK27" s="74">
        <f t="shared" si="16"/>
        <v>0</v>
      </c>
      <c r="AL27" s="107">
        <f t="shared" si="17"/>
        <v>-5637.2731726703869</v>
      </c>
      <c r="AN27" s="74">
        <f t="shared" si="18"/>
        <v>0</v>
      </c>
      <c r="AP27" s="49"/>
    </row>
    <row r="28" spans="3:42" x14ac:dyDescent="0.25">
      <c r="C28" t="s">
        <v>586</v>
      </c>
      <c r="D28" s="6"/>
      <c r="E28" s="101">
        <v>2</v>
      </c>
      <c r="F28" s="6"/>
      <c r="K28">
        <v>20</v>
      </c>
      <c r="L28" s="74">
        <f t="shared" si="0"/>
        <v>0</v>
      </c>
      <c r="M28" s="74">
        <f t="shared" si="1"/>
        <v>0</v>
      </c>
      <c r="N28" s="51">
        <f t="shared" si="20"/>
        <v>0</v>
      </c>
      <c r="O28" s="51">
        <f t="shared" si="7"/>
        <v>870.66695657050775</v>
      </c>
      <c r="P28" s="51">
        <f>IF(K28&lt;$E$23+$E$22,1,0)*IF(K28&lt;$E$22,0,1)*OPEX!$F$7*((1+$E$24)^K28)</f>
        <v>0</v>
      </c>
      <c r="Q28" s="51">
        <f>IF(K28&lt;$E$23+$E$22,1,0)*IF(K28&lt;$E$22,0,-1)*OPEX!$F$30*(1+$E$24)^K28</f>
        <v>0</v>
      </c>
      <c r="R28" s="51">
        <f t="shared" si="2"/>
        <v>0</v>
      </c>
      <c r="S28" s="51">
        <f t="shared" si="8"/>
        <v>-96.740772952278576</v>
      </c>
      <c r="T28" s="51">
        <f t="shared" si="23"/>
        <v>0</v>
      </c>
      <c r="U28" s="107">
        <f t="shared" si="9"/>
        <v>0</v>
      </c>
      <c r="V28" s="51">
        <f t="shared" si="10"/>
        <v>-96.740772952278576</v>
      </c>
      <c r="W28" s="51">
        <f t="shared" si="4"/>
        <v>0</v>
      </c>
      <c r="X28" s="51">
        <f t="shared" si="22"/>
        <v>-96.740772952278576</v>
      </c>
      <c r="Y28" s="51">
        <f t="shared" si="5"/>
        <v>0</v>
      </c>
      <c r="Z28" s="51">
        <f t="shared" si="19"/>
        <v>0</v>
      </c>
      <c r="AA28" s="51">
        <f t="shared" si="6"/>
        <v>0</v>
      </c>
      <c r="AC28" s="49">
        <f>IF(K28&gt;E$22+E$23-1,0,IF(K28&lt;$E$22,0,Streams!$A$7)*24*365*OPEX!$D$4)</f>
        <v>0</v>
      </c>
      <c r="AD28" s="49">
        <f t="shared" si="11"/>
        <v>0</v>
      </c>
      <c r="AE28" s="49">
        <f t="shared" si="12"/>
        <v>0</v>
      </c>
      <c r="AF28" s="49">
        <f t="shared" si="13"/>
        <v>0</v>
      </c>
      <c r="AH28" s="74">
        <f t="shared" si="14"/>
        <v>0</v>
      </c>
      <c r="AI28" s="74">
        <f t="shared" si="21"/>
        <v>0</v>
      </c>
      <c r="AJ28" s="112">
        <f t="shared" si="15"/>
        <v>0</v>
      </c>
      <c r="AK28" s="74">
        <f t="shared" si="16"/>
        <v>0</v>
      </c>
      <c r="AL28" s="107">
        <f t="shared" si="17"/>
        <v>-5734.0139456226652</v>
      </c>
      <c r="AN28" s="74">
        <f t="shared" si="18"/>
        <v>0</v>
      </c>
      <c r="AP28" s="49"/>
    </row>
    <row r="29" spans="3:42" x14ac:dyDescent="0.25">
      <c r="C29" t="s">
        <v>587</v>
      </c>
      <c r="D29" s="9"/>
      <c r="E29" s="101">
        <v>0.35</v>
      </c>
      <c r="K29">
        <v>21</v>
      </c>
      <c r="L29" s="74">
        <f t="shared" si="0"/>
        <v>0</v>
      </c>
      <c r="M29" s="74">
        <f t="shared" si="1"/>
        <v>0</v>
      </c>
      <c r="N29" s="51">
        <f t="shared" si="20"/>
        <v>0</v>
      </c>
      <c r="O29" s="51">
        <f t="shared" si="7"/>
        <v>783.60026091345696</v>
      </c>
      <c r="P29" s="51">
        <f>IF(K29&lt;$E$23+$E$22,1,0)*IF(K29&lt;$E$22,0,1)*OPEX!$F$7*((1+$E$24)^K29)</f>
        <v>0</v>
      </c>
      <c r="Q29" s="51">
        <f>IF(K29&lt;$E$23+$E$22,1,0)*IF(K29&lt;$E$22,0,-1)*OPEX!$F$30*(1+$E$24)^K29</f>
        <v>0</v>
      </c>
      <c r="R29" s="51">
        <f t="shared" si="2"/>
        <v>0</v>
      </c>
      <c r="S29" s="51">
        <f t="shared" si="8"/>
        <v>-87.066695657050786</v>
      </c>
      <c r="T29" s="51">
        <f t="shared" si="23"/>
        <v>0</v>
      </c>
      <c r="U29" s="107">
        <f t="shared" si="9"/>
        <v>0</v>
      </c>
      <c r="V29" s="51">
        <f t="shared" si="10"/>
        <v>-87.066695657050786</v>
      </c>
      <c r="W29" s="51">
        <f t="shared" si="4"/>
        <v>0</v>
      </c>
      <c r="X29" s="51">
        <f t="shared" si="22"/>
        <v>-87.066695657050786</v>
      </c>
      <c r="Y29" s="51">
        <f t="shared" si="5"/>
        <v>0</v>
      </c>
      <c r="Z29" s="51">
        <f t="shared" si="19"/>
        <v>0</v>
      </c>
      <c r="AA29" s="51">
        <f t="shared" si="6"/>
        <v>0</v>
      </c>
      <c r="AC29" s="49">
        <f>IF(K29&gt;E$22+E$23-1,0,IF(K29&lt;$E$22,0,Streams!$A$7)*24*365*OPEX!$D$4)</f>
        <v>0</v>
      </c>
      <c r="AD29" s="49">
        <f t="shared" si="11"/>
        <v>0</v>
      </c>
      <c r="AE29" s="49">
        <f t="shared" si="12"/>
        <v>0</v>
      </c>
      <c r="AF29" s="49">
        <f t="shared" si="13"/>
        <v>0</v>
      </c>
      <c r="AH29" s="74">
        <f t="shared" si="14"/>
        <v>0</v>
      </c>
      <c r="AI29" s="74">
        <f t="shared" si="21"/>
        <v>0</v>
      </c>
      <c r="AJ29" s="112">
        <f t="shared" si="15"/>
        <v>0</v>
      </c>
      <c r="AK29" s="74">
        <f t="shared" si="16"/>
        <v>0</v>
      </c>
      <c r="AL29" s="107">
        <f t="shared" si="17"/>
        <v>-5821.0806412797156</v>
      </c>
      <c r="AN29" s="74">
        <f t="shared" si="18"/>
        <v>0</v>
      </c>
      <c r="AP29" s="49"/>
    </row>
    <row r="30" spans="3:42" x14ac:dyDescent="0.25">
      <c r="C30" t="s">
        <v>588</v>
      </c>
      <c r="E30" s="136">
        <f>(($AN$5/($E$11*$G$9))^(1/($E$23+$E$22-1))-1)</f>
        <v>-1</v>
      </c>
      <c r="K30">
        <v>22</v>
      </c>
      <c r="L30" s="74">
        <f t="shared" si="0"/>
        <v>0</v>
      </c>
      <c r="M30" s="74">
        <f t="shared" si="1"/>
        <v>0</v>
      </c>
      <c r="N30" s="51">
        <f t="shared" si="20"/>
        <v>0</v>
      </c>
      <c r="O30" s="51">
        <f t="shared" si="7"/>
        <v>705.24023482211123</v>
      </c>
      <c r="P30" s="51">
        <f>IF(K30&lt;$E$23+$E$22,1,0)*IF(K30&lt;$E$22,0,1)*OPEX!$F$7*((1+$E$24)^K30)</f>
        <v>0</v>
      </c>
      <c r="Q30" s="51">
        <f>IF(K30&lt;$E$23+$E$22,1,0)*IF(K30&lt;$E$22,0,-1)*OPEX!$F$30*(1+$E$24)^K30</f>
        <v>0</v>
      </c>
      <c r="R30" s="51">
        <f t="shared" si="2"/>
        <v>0</v>
      </c>
      <c r="S30" s="51">
        <f t="shared" si="8"/>
        <v>-78.36002609134573</v>
      </c>
      <c r="T30" s="51">
        <f t="shared" si="23"/>
        <v>0</v>
      </c>
      <c r="U30" s="107">
        <f t="shared" si="9"/>
        <v>0</v>
      </c>
      <c r="V30" s="51">
        <f t="shared" si="10"/>
        <v>-78.36002609134573</v>
      </c>
      <c r="W30" s="51">
        <f t="shared" si="4"/>
        <v>0</v>
      </c>
      <c r="X30" s="51">
        <f t="shared" si="22"/>
        <v>-78.36002609134573</v>
      </c>
      <c r="Y30" s="51">
        <f t="shared" si="5"/>
        <v>0</v>
      </c>
      <c r="Z30" s="51">
        <f t="shared" si="19"/>
        <v>0</v>
      </c>
      <c r="AA30" s="51">
        <f t="shared" si="6"/>
        <v>0</v>
      </c>
      <c r="AC30" s="49">
        <f>IF(K30&gt;E$22+E$23-1,0,IF(K30&lt;$E$22,0,Streams!$A$7)*24*365*OPEX!$D$4)</f>
        <v>0</v>
      </c>
      <c r="AD30" s="49">
        <f t="shared" si="11"/>
        <v>0</v>
      </c>
      <c r="AE30" s="49">
        <f t="shared" si="12"/>
        <v>0</v>
      </c>
      <c r="AF30" s="49">
        <f t="shared" si="13"/>
        <v>0</v>
      </c>
      <c r="AH30" s="74">
        <f t="shared" si="14"/>
        <v>0</v>
      </c>
      <c r="AI30" s="74">
        <f t="shared" si="21"/>
        <v>0</v>
      </c>
      <c r="AJ30" s="112">
        <f t="shared" si="15"/>
        <v>0</v>
      </c>
      <c r="AK30" s="74">
        <f t="shared" si="16"/>
        <v>0</v>
      </c>
      <c r="AL30" s="107">
        <f t="shared" si="17"/>
        <v>-5899.440667371061</v>
      </c>
      <c r="AN30" s="74">
        <f t="shared" si="18"/>
        <v>0</v>
      </c>
      <c r="AP30" s="49"/>
    </row>
    <row r="31" spans="3:42" x14ac:dyDescent="0.25">
      <c r="C31" t="s">
        <v>589</v>
      </c>
      <c r="E31" s="153">
        <f>E10*E12+E11*E30</f>
        <v>-0.47749999999999998</v>
      </c>
      <c r="K31">
        <v>23</v>
      </c>
      <c r="L31" s="74">
        <f t="shared" si="0"/>
        <v>0</v>
      </c>
      <c r="M31" s="74">
        <f t="shared" si="1"/>
        <v>0</v>
      </c>
      <c r="N31" s="51">
        <f t="shared" si="20"/>
        <v>0</v>
      </c>
      <c r="O31" s="51">
        <f t="shared" si="7"/>
        <v>634.71621133990016</v>
      </c>
      <c r="P31" s="51">
        <f>IF(K31&lt;$E$23+$E$22,1,0)*IF(K31&lt;$E$22,0,1)*OPEX!$F$7*((1+$E$24)^K31)</f>
        <v>0</v>
      </c>
      <c r="Q31" s="51">
        <f>IF(K31&lt;$E$23+$E$22,1,0)*IF(K31&lt;$E$22,0,-1)*OPEX!$F$30*(1+$E$24)^K31</f>
        <v>0</v>
      </c>
      <c r="R31" s="51">
        <f t="shared" si="2"/>
        <v>0</v>
      </c>
      <c r="S31" s="51">
        <f t="shared" si="8"/>
        <v>-70.524023482211078</v>
      </c>
      <c r="T31" s="51">
        <f t="shared" si="23"/>
        <v>0</v>
      </c>
      <c r="U31" s="107">
        <f t="shared" si="9"/>
        <v>0</v>
      </c>
      <c r="V31" s="51">
        <f t="shared" si="10"/>
        <v>-70.524023482211078</v>
      </c>
      <c r="W31" s="51">
        <f t="shared" si="4"/>
        <v>0</v>
      </c>
      <c r="X31" s="51">
        <f t="shared" si="22"/>
        <v>-70.524023482211078</v>
      </c>
      <c r="Y31" s="51">
        <f t="shared" si="5"/>
        <v>0</v>
      </c>
      <c r="Z31" s="51">
        <f t="shared" si="19"/>
        <v>0</v>
      </c>
      <c r="AA31" s="51">
        <f t="shared" si="6"/>
        <v>0</v>
      </c>
      <c r="AC31" s="49">
        <f>IF(K31&gt;E$22+E$23-1,0,IF(K31&lt;$E$22,0,Streams!$A$7)*24*365*OPEX!$D$4)</f>
        <v>0</v>
      </c>
      <c r="AD31" s="49">
        <f t="shared" si="11"/>
        <v>0</v>
      </c>
      <c r="AE31" s="49">
        <f t="shared" si="12"/>
        <v>0</v>
      </c>
      <c r="AF31" s="49">
        <f t="shared" si="13"/>
        <v>0</v>
      </c>
      <c r="AH31" s="74">
        <f t="shared" si="14"/>
        <v>0</v>
      </c>
      <c r="AI31" s="74">
        <f t="shared" si="21"/>
        <v>0</v>
      </c>
      <c r="AJ31" s="112">
        <f t="shared" si="15"/>
        <v>0</v>
      </c>
      <c r="AK31" s="74">
        <f t="shared" si="16"/>
        <v>0</v>
      </c>
      <c r="AL31" s="107">
        <f t="shared" si="17"/>
        <v>-5969.9646908532723</v>
      </c>
      <c r="AN31" s="74">
        <f t="shared" si="18"/>
        <v>0</v>
      </c>
      <c r="AP31" s="49"/>
    </row>
    <row r="32" spans="3:42" x14ac:dyDescent="0.25">
      <c r="C32" t="s">
        <v>590</v>
      </c>
      <c r="E32" s="42">
        <v>2012</v>
      </c>
      <c r="K32">
        <v>24</v>
      </c>
      <c r="L32" s="74">
        <f t="shared" si="0"/>
        <v>0</v>
      </c>
      <c r="M32" s="74">
        <f t="shared" si="1"/>
        <v>0</v>
      </c>
      <c r="N32" s="51">
        <f t="shared" si="20"/>
        <v>0</v>
      </c>
      <c r="O32" s="51">
        <f t="shared" si="7"/>
        <v>571.24459020591019</v>
      </c>
      <c r="P32" s="51">
        <f>IF(K32&lt;$E$23+$E$22,1,0)*IF(K32&lt;$E$22,0,1)*OPEX!$F$7*((1+$E$24)^K32)</f>
        <v>0</v>
      </c>
      <c r="Q32" s="51">
        <f>IF(K32&lt;$E$23+$E$22,1,0)*IF(K32&lt;$E$22,0,-1)*OPEX!$F$30*(1+$E$24)^K32</f>
        <v>0</v>
      </c>
      <c r="R32" s="51">
        <f t="shared" si="2"/>
        <v>0</v>
      </c>
      <c r="S32" s="51">
        <f t="shared" si="8"/>
        <v>0</v>
      </c>
      <c r="T32" s="51">
        <f t="shared" si="23"/>
        <v>0</v>
      </c>
      <c r="U32" s="107">
        <f t="shared" si="9"/>
        <v>0</v>
      </c>
      <c r="V32" s="51">
        <f t="shared" si="10"/>
        <v>0</v>
      </c>
      <c r="W32" s="51">
        <f t="shared" si="4"/>
        <v>0</v>
      </c>
      <c r="X32" s="51">
        <f t="shared" si="22"/>
        <v>0</v>
      </c>
      <c r="Y32" s="51">
        <f t="shared" si="5"/>
        <v>0</v>
      </c>
      <c r="Z32" s="51">
        <f t="shared" si="19"/>
        <v>0</v>
      </c>
      <c r="AA32" s="51">
        <f t="shared" si="6"/>
        <v>0</v>
      </c>
      <c r="AC32" s="49">
        <f>IF(K32&gt;E$22+E$23-1,0,IF(K32&lt;$E$22,0,Streams!$A$7)*24*365*OPEX!$D$4)</f>
        <v>0</v>
      </c>
      <c r="AD32" s="49">
        <f t="shared" si="11"/>
        <v>0</v>
      </c>
      <c r="AE32" s="49">
        <f t="shared" si="12"/>
        <v>0</v>
      </c>
      <c r="AF32" s="49">
        <f t="shared" si="13"/>
        <v>0</v>
      </c>
      <c r="AH32" s="74">
        <f t="shared" si="14"/>
        <v>0</v>
      </c>
      <c r="AI32" s="74">
        <f t="shared" si="21"/>
        <v>0</v>
      </c>
      <c r="AJ32" s="112">
        <f t="shared" si="15"/>
        <v>0</v>
      </c>
      <c r="AK32" s="74">
        <f t="shared" si="16"/>
        <v>0</v>
      </c>
      <c r="AL32" s="107">
        <f t="shared" si="17"/>
        <v>0</v>
      </c>
      <c r="AN32" s="74">
        <f t="shared" si="18"/>
        <v>0</v>
      </c>
      <c r="AP32" s="49"/>
    </row>
    <row r="33" spans="11:42" x14ac:dyDescent="0.25">
      <c r="K33">
        <v>25</v>
      </c>
      <c r="L33" s="74">
        <f t="shared" si="0"/>
        <v>0</v>
      </c>
      <c r="M33" s="74">
        <f t="shared" si="1"/>
        <v>0</v>
      </c>
      <c r="N33" s="51">
        <f t="shared" si="20"/>
        <v>0</v>
      </c>
      <c r="O33" s="51">
        <f t="shared" si="7"/>
        <v>514.12013118531922</v>
      </c>
      <c r="P33" s="51">
        <f>IF(K33&lt;$E$23+$E$22,1,0)*IF(K33&lt;$E$22,0,1)*OPEX!$F$7*((1+$E$24)^K33)</f>
        <v>0</v>
      </c>
      <c r="Q33" s="51">
        <f>IF(K33&lt;$E$23+$E$22,1,0)*IF(K33&lt;$E$22,0,-1)*OPEX!$F$30*(1+$E$24)^K33</f>
        <v>0</v>
      </c>
      <c r="R33" s="51">
        <f t="shared" si="2"/>
        <v>0</v>
      </c>
      <c r="S33" s="51">
        <f t="shared" si="8"/>
        <v>0</v>
      </c>
      <c r="T33" s="51">
        <f t="shared" si="23"/>
        <v>0</v>
      </c>
      <c r="U33" s="107">
        <f t="shared" si="9"/>
        <v>0</v>
      </c>
      <c r="V33" s="51">
        <f t="shared" si="10"/>
        <v>0</v>
      </c>
      <c r="W33" s="51">
        <f t="shared" si="4"/>
        <v>0</v>
      </c>
      <c r="X33" s="51">
        <f t="shared" si="22"/>
        <v>0</v>
      </c>
      <c r="Y33" s="51">
        <f t="shared" si="5"/>
        <v>0</v>
      </c>
      <c r="Z33" s="51">
        <f t="shared" si="19"/>
        <v>0</v>
      </c>
      <c r="AA33" s="51">
        <f t="shared" si="6"/>
        <v>0</v>
      </c>
      <c r="AC33" s="49">
        <f>IF(K33&gt;E$22+E$23-1,0,IF(K33&lt;$E$22,0,Streams!$A$7)*24*365*OPEX!$D$4)</f>
        <v>0</v>
      </c>
      <c r="AD33" s="49">
        <f t="shared" si="11"/>
        <v>0</v>
      </c>
      <c r="AE33" s="49">
        <f t="shared" si="12"/>
        <v>0</v>
      </c>
      <c r="AF33" s="49">
        <f t="shared" si="13"/>
        <v>0</v>
      </c>
      <c r="AH33" s="74">
        <f t="shared" si="14"/>
        <v>0</v>
      </c>
      <c r="AI33" s="74">
        <f t="shared" si="21"/>
        <v>0</v>
      </c>
      <c r="AJ33" s="112">
        <f t="shared" si="15"/>
        <v>0</v>
      </c>
      <c r="AK33" s="74">
        <f t="shared" si="16"/>
        <v>0</v>
      </c>
      <c r="AL33" s="107">
        <f t="shared" si="17"/>
        <v>0</v>
      </c>
      <c r="AN33" s="74">
        <f t="shared" si="18"/>
        <v>0</v>
      </c>
      <c r="AP33" s="49"/>
    </row>
    <row r="34" spans="11:42" x14ac:dyDescent="0.25">
      <c r="K34">
        <v>26</v>
      </c>
      <c r="L34" s="74">
        <f t="shared" si="0"/>
        <v>0</v>
      </c>
      <c r="M34" s="74">
        <f t="shared" si="1"/>
        <v>0</v>
      </c>
      <c r="N34" s="51">
        <f t="shared" si="20"/>
        <v>0</v>
      </c>
      <c r="O34" s="51">
        <f t="shared" si="7"/>
        <v>462.70811806678734</v>
      </c>
      <c r="P34" s="51">
        <f>IF(K34&lt;$E$23+$E$22,1,0)*IF(K34&lt;$E$22,0,1)*OPEX!$F$7*((1+$E$24)^K34)</f>
        <v>0</v>
      </c>
      <c r="Q34" s="51">
        <f>IF(K34&lt;$E$23+$E$22,1,0)*IF(K34&lt;$E$22,0,-1)*OPEX!$F$30*(1+$E$24)^K34</f>
        <v>0</v>
      </c>
      <c r="R34" s="51">
        <f t="shared" si="2"/>
        <v>0</v>
      </c>
      <c r="S34" s="51">
        <f t="shared" si="8"/>
        <v>0</v>
      </c>
      <c r="T34" s="51">
        <f t="shared" si="23"/>
        <v>0</v>
      </c>
      <c r="U34" s="107">
        <f t="shared" si="9"/>
        <v>0</v>
      </c>
      <c r="V34" s="51">
        <f t="shared" si="10"/>
        <v>0</v>
      </c>
      <c r="W34" s="51">
        <f t="shared" si="4"/>
        <v>0</v>
      </c>
      <c r="X34" s="51">
        <f t="shared" si="22"/>
        <v>0</v>
      </c>
      <c r="Y34" s="51">
        <f t="shared" si="5"/>
        <v>0</v>
      </c>
      <c r="Z34" s="51">
        <f t="shared" si="19"/>
        <v>0</v>
      </c>
      <c r="AA34" s="51">
        <f t="shared" si="6"/>
        <v>0</v>
      </c>
      <c r="AC34" s="49">
        <f>IF(K34&gt;E$22+E$23-1,0,IF(K34&lt;$E$22,0,Streams!$A$7)*24*365*OPEX!$D$4)</f>
        <v>0</v>
      </c>
      <c r="AD34" s="49">
        <f t="shared" si="11"/>
        <v>0</v>
      </c>
      <c r="AE34" s="49">
        <f t="shared" si="12"/>
        <v>0</v>
      </c>
      <c r="AF34" s="49">
        <f t="shared" si="13"/>
        <v>0</v>
      </c>
      <c r="AH34" s="74">
        <f t="shared" si="14"/>
        <v>0</v>
      </c>
      <c r="AI34" s="74">
        <f t="shared" si="21"/>
        <v>0</v>
      </c>
      <c r="AJ34" s="112">
        <f t="shared" si="15"/>
        <v>0</v>
      </c>
      <c r="AK34" s="74">
        <f t="shared" si="16"/>
        <v>0</v>
      </c>
      <c r="AL34" s="107">
        <f t="shared" si="17"/>
        <v>0</v>
      </c>
      <c r="AN34" s="74">
        <f t="shared" si="18"/>
        <v>0</v>
      </c>
      <c r="AP34" s="49"/>
    </row>
    <row r="35" spans="11:42" x14ac:dyDescent="0.25">
      <c r="K35">
        <v>27</v>
      </c>
      <c r="L35" s="74">
        <f t="shared" si="0"/>
        <v>0</v>
      </c>
      <c r="M35" s="74">
        <f t="shared" si="1"/>
        <v>0</v>
      </c>
      <c r="N35" s="51">
        <f t="shared" si="20"/>
        <v>0</v>
      </c>
      <c r="O35" s="51">
        <f t="shared" si="7"/>
        <v>416.43730626010858</v>
      </c>
      <c r="P35" s="51">
        <f>IF(K35&lt;$E$23+$E$22,1,0)*IF(K35&lt;$E$22,0,1)*OPEX!$F$7*((1+$E$24)^K35)</f>
        <v>0</v>
      </c>
      <c r="Q35" s="51">
        <f>IF(K35&lt;$E$23+$E$22,1,0)*IF(K35&lt;$E$22,0,-1)*OPEX!$F$30*(1+$E$24)^K35</f>
        <v>0</v>
      </c>
      <c r="R35" s="51">
        <f t="shared" si="2"/>
        <v>0</v>
      </c>
      <c r="S35" s="51">
        <f t="shared" si="8"/>
        <v>0</v>
      </c>
      <c r="T35" s="51">
        <f t="shared" si="23"/>
        <v>0</v>
      </c>
      <c r="U35" s="107">
        <f t="shared" si="9"/>
        <v>0</v>
      </c>
      <c r="V35" s="51">
        <f t="shared" si="10"/>
        <v>0</v>
      </c>
      <c r="W35" s="51">
        <f t="shared" si="4"/>
        <v>0</v>
      </c>
      <c r="X35" s="51">
        <f t="shared" si="22"/>
        <v>0</v>
      </c>
      <c r="Y35" s="51">
        <f t="shared" si="5"/>
        <v>0</v>
      </c>
      <c r="Z35" s="51">
        <f t="shared" si="19"/>
        <v>0</v>
      </c>
      <c r="AA35" s="51">
        <f t="shared" si="6"/>
        <v>0</v>
      </c>
      <c r="AC35" s="49">
        <f>IF(K35&gt;E$22+E$23-1,0,IF(K35&lt;$E$22,0,Streams!$A$7)*24*365*OPEX!$D$4)</f>
        <v>0</v>
      </c>
      <c r="AD35" s="49">
        <f t="shared" si="11"/>
        <v>0</v>
      </c>
      <c r="AE35" s="49">
        <f t="shared" si="12"/>
        <v>0</v>
      </c>
      <c r="AF35" s="49">
        <f t="shared" si="13"/>
        <v>0</v>
      </c>
      <c r="AH35" s="74">
        <f t="shared" si="14"/>
        <v>0</v>
      </c>
      <c r="AI35" s="74">
        <f t="shared" si="21"/>
        <v>0</v>
      </c>
      <c r="AJ35" s="112">
        <f t="shared" si="15"/>
        <v>0</v>
      </c>
      <c r="AK35" s="74">
        <f t="shared" si="16"/>
        <v>0</v>
      </c>
      <c r="AL35" s="107">
        <f t="shared" si="17"/>
        <v>0</v>
      </c>
      <c r="AN35" s="74">
        <f t="shared" si="18"/>
        <v>0</v>
      </c>
      <c r="AP35" s="49"/>
    </row>
    <row r="36" spans="11:42" x14ac:dyDescent="0.25">
      <c r="K36">
        <v>28</v>
      </c>
      <c r="L36" s="74">
        <f t="shared" si="0"/>
        <v>0</v>
      </c>
      <c r="M36" s="74">
        <f t="shared" si="1"/>
        <v>0</v>
      </c>
      <c r="N36" s="51">
        <f t="shared" si="20"/>
        <v>0</v>
      </c>
      <c r="O36" s="51">
        <f t="shared" si="7"/>
        <v>374.79357563409775</v>
      </c>
      <c r="P36" s="51">
        <f>IF(K36&lt;$E$23+$E$22,1,0)*IF(K36&lt;$E$22,0,1)*OPEX!$F$7*((1+$E$24)^K36)</f>
        <v>0</v>
      </c>
      <c r="Q36" s="51">
        <f>IF(K36&lt;$E$23+$E$22,1,0)*IF(K36&lt;$E$22,0,-1)*OPEX!$F$30*(1+$E$24)^K36</f>
        <v>0</v>
      </c>
      <c r="R36" s="51">
        <f t="shared" si="2"/>
        <v>0</v>
      </c>
      <c r="S36" s="51">
        <f t="shared" si="8"/>
        <v>0</v>
      </c>
      <c r="T36" s="51">
        <f t="shared" si="23"/>
        <v>0</v>
      </c>
      <c r="U36" s="107">
        <f t="shared" si="9"/>
        <v>0</v>
      </c>
      <c r="V36" s="51">
        <f t="shared" si="10"/>
        <v>0</v>
      </c>
      <c r="W36" s="51">
        <f t="shared" si="4"/>
        <v>0</v>
      </c>
      <c r="X36" s="51">
        <f t="shared" si="22"/>
        <v>0</v>
      </c>
      <c r="Y36" s="51">
        <f t="shared" si="5"/>
        <v>0</v>
      </c>
      <c r="Z36" s="51">
        <f t="shared" si="19"/>
        <v>0</v>
      </c>
      <c r="AA36" s="51">
        <f t="shared" si="6"/>
        <v>0</v>
      </c>
      <c r="AC36" s="49">
        <f>IF(K36&gt;E$22+E$23-1,0,IF(K36&lt;$E$22,0,Streams!$A$7)*24*365*OPEX!$D$4)</f>
        <v>0</v>
      </c>
      <c r="AD36" s="49">
        <f t="shared" si="11"/>
        <v>0</v>
      </c>
      <c r="AE36" s="49">
        <f t="shared" si="12"/>
        <v>0</v>
      </c>
      <c r="AF36" s="49">
        <f t="shared" si="13"/>
        <v>0</v>
      </c>
      <c r="AH36" s="74">
        <f t="shared" si="14"/>
        <v>0</v>
      </c>
      <c r="AI36" s="74">
        <f t="shared" si="21"/>
        <v>0</v>
      </c>
      <c r="AJ36" s="112">
        <f t="shared" si="15"/>
        <v>0</v>
      </c>
      <c r="AK36" s="74">
        <f t="shared" si="16"/>
        <v>0</v>
      </c>
      <c r="AL36" s="107">
        <f t="shared" si="17"/>
        <v>0</v>
      </c>
      <c r="AN36" s="74">
        <f t="shared" si="18"/>
        <v>0</v>
      </c>
      <c r="AP36" s="49"/>
    </row>
    <row r="37" spans="11:42" x14ac:dyDescent="0.25">
      <c r="K37">
        <v>29</v>
      </c>
      <c r="L37" s="74">
        <f t="shared" si="0"/>
        <v>0</v>
      </c>
      <c r="M37" s="74">
        <f t="shared" si="1"/>
        <v>0</v>
      </c>
      <c r="N37" s="51">
        <f t="shared" si="20"/>
        <v>0</v>
      </c>
      <c r="O37" s="51">
        <f t="shared" si="7"/>
        <v>337.31421807068796</v>
      </c>
      <c r="P37" s="51">
        <f>IF(K37&lt;$E$23+$E$22,1,0)*IF(K37&lt;$E$22,0,1)*OPEX!$F$7*((1+$E$24)^K37)</f>
        <v>0</v>
      </c>
      <c r="Q37" s="51">
        <f>IF(K37&lt;$E$23+$E$22,1,0)*IF(K37&lt;$E$22,0,-1)*OPEX!$F$30*(1+$E$24)^K37</f>
        <v>0</v>
      </c>
      <c r="R37" s="51">
        <f t="shared" si="2"/>
        <v>0</v>
      </c>
      <c r="S37" s="51">
        <f t="shared" si="8"/>
        <v>0</v>
      </c>
      <c r="T37" s="51">
        <f t="shared" si="23"/>
        <v>0</v>
      </c>
      <c r="U37" s="107">
        <f t="shared" si="9"/>
        <v>0</v>
      </c>
      <c r="V37" s="51">
        <f t="shared" si="10"/>
        <v>0</v>
      </c>
      <c r="W37" s="51">
        <f t="shared" si="4"/>
        <v>0</v>
      </c>
      <c r="X37" s="51">
        <f t="shared" si="22"/>
        <v>0</v>
      </c>
      <c r="Y37" s="51">
        <f t="shared" si="5"/>
        <v>0</v>
      </c>
      <c r="Z37" s="51">
        <f t="shared" si="19"/>
        <v>0</v>
      </c>
      <c r="AA37" s="51">
        <f t="shared" si="6"/>
        <v>0</v>
      </c>
      <c r="AC37" s="49">
        <f>IF(K37&gt;E$22+E$23-1,0,IF(K37&lt;$E$22,0,Streams!$A$7)*24*365*OPEX!$D$4)</f>
        <v>0</v>
      </c>
      <c r="AD37" s="49">
        <f t="shared" si="11"/>
        <v>0</v>
      </c>
      <c r="AE37" s="49">
        <f t="shared" si="12"/>
        <v>0</v>
      </c>
      <c r="AF37" s="49">
        <f t="shared" si="13"/>
        <v>0</v>
      </c>
      <c r="AH37" s="74">
        <f t="shared" si="14"/>
        <v>0</v>
      </c>
      <c r="AI37" s="74">
        <f t="shared" si="21"/>
        <v>0</v>
      </c>
      <c r="AJ37" s="112">
        <f t="shared" si="15"/>
        <v>0</v>
      </c>
      <c r="AK37" s="74">
        <f t="shared" si="16"/>
        <v>0</v>
      </c>
      <c r="AL37" s="107">
        <f t="shared" si="17"/>
        <v>0</v>
      </c>
      <c r="AN37" s="74">
        <f t="shared" si="18"/>
        <v>0</v>
      </c>
      <c r="AP37" s="49"/>
    </row>
    <row r="38" spans="11:42" x14ac:dyDescent="0.25">
      <c r="K38">
        <v>30</v>
      </c>
      <c r="L38" s="74">
        <f t="shared" si="0"/>
        <v>0</v>
      </c>
      <c r="M38" s="74">
        <f t="shared" si="1"/>
        <v>0</v>
      </c>
      <c r="N38" s="51">
        <f t="shared" si="20"/>
        <v>0</v>
      </c>
      <c r="O38" s="51">
        <f t="shared" si="7"/>
        <v>303.58279626361917</v>
      </c>
      <c r="P38" s="51">
        <f>IF(K38&lt;$E$23+$E$22,1,0)*IF(K38&lt;$E$22,0,1)*OPEX!$F$7*((1+$E$24)^K38)</f>
        <v>0</v>
      </c>
      <c r="Q38" s="51">
        <f>IF(K38&lt;$E$23+$E$22,1,0)*IF(K38&lt;$E$22,0,-1)*OPEX!$F$30*(1+$E$24)^K38</f>
        <v>0</v>
      </c>
      <c r="R38" s="51">
        <f t="shared" si="2"/>
        <v>0</v>
      </c>
      <c r="S38" s="51">
        <f t="shared" si="8"/>
        <v>0</v>
      </c>
      <c r="T38" s="51">
        <f t="shared" si="23"/>
        <v>0</v>
      </c>
      <c r="U38" s="107">
        <f t="shared" si="9"/>
        <v>0</v>
      </c>
      <c r="V38" s="51">
        <f t="shared" si="10"/>
        <v>0</v>
      </c>
      <c r="W38" s="51">
        <f t="shared" si="4"/>
        <v>0</v>
      </c>
      <c r="X38" s="51">
        <f t="shared" si="22"/>
        <v>0</v>
      </c>
      <c r="Y38" s="51">
        <f t="shared" si="5"/>
        <v>0</v>
      </c>
      <c r="Z38" s="51">
        <f t="shared" si="19"/>
        <v>0</v>
      </c>
      <c r="AA38" s="51">
        <f t="shared" si="6"/>
        <v>0</v>
      </c>
      <c r="AC38" s="49">
        <f>IF(K38&gt;E$22+E$23-1,0,IF(K38&lt;$E$22,0,Streams!$A$7)*24*365*OPEX!$D$4)</f>
        <v>0</v>
      </c>
      <c r="AD38" s="49">
        <f t="shared" si="11"/>
        <v>0</v>
      </c>
      <c r="AE38" s="49">
        <f t="shared" si="12"/>
        <v>0</v>
      </c>
      <c r="AF38" s="49">
        <f t="shared" si="13"/>
        <v>0</v>
      </c>
      <c r="AH38" s="74">
        <f t="shared" si="14"/>
        <v>0</v>
      </c>
      <c r="AI38" s="74">
        <f t="shared" si="21"/>
        <v>0</v>
      </c>
      <c r="AJ38" s="112">
        <f t="shared" si="15"/>
        <v>0</v>
      </c>
      <c r="AK38" s="74">
        <f t="shared" si="16"/>
        <v>0</v>
      </c>
      <c r="AL38" s="107">
        <f t="shared" si="17"/>
        <v>0</v>
      </c>
      <c r="AN38" s="74">
        <f t="shared" si="18"/>
        <v>0</v>
      </c>
      <c r="AP38" s="49"/>
    </row>
    <row r="39" spans="11:42" x14ac:dyDescent="0.25">
      <c r="K39">
        <v>31</v>
      </c>
      <c r="L39" s="74">
        <f t="shared" si="0"/>
        <v>0</v>
      </c>
      <c r="M39" s="74">
        <f t="shared" si="1"/>
        <v>0</v>
      </c>
      <c r="N39" s="51">
        <f t="shared" si="20"/>
        <v>0</v>
      </c>
      <c r="O39" s="51">
        <f t="shared" si="7"/>
        <v>273.22451663725724</v>
      </c>
      <c r="P39" s="51">
        <f>IF(K39&lt;$E$23+$E$22,1,0)*IF(K39&lt;$E$22,0,1)*OPEX!$F$7*((1+$E$24)^K39)</f>
        <v>0</v>
      </c>
      <c r="Q39" s="51">
        <f>IF(K39&lt;$E$23+$E$22,1,0)*IF(K39&lt;$E$22,0,-1)*OPEX!$F$30*(1+$E$24)^K39</f>
        <v>0</v>
      </c>
      <c r="R39" s="51">
        <f t="shared" si="2"/>
        <v>0</v>
      </c>
      <c r="S39" s="51">
        <f t="shared" si="8"/>
        <v>0</v>
      </c>
      <c r="T39" s="51">
        <f t="shared" si="23"/>
        <v>0</v>
      </c>
      <c r="U39" s="107">
        <f t="shared" si="9"/>
        <v>0</v>
      </c>
      <c r="V39" s="51">
        <f t="shared" si="10"/>
        <v>0</v>
      </c>
      <c r="W39" s="51">
        <f t="shared" si="4"/>
        <v>0</v>
      </c>
      <c r="X39" s="51">
        <f t="shared" si="22"/>
        <v>0</v>
      </c>
      <c r="Y39" s="51">
        <f t="shared" si="5"/>
        <v>0</v>
      </c>
      <c r="Z39" s="51">
        <f t="shared" si="19"/>
        <v>0</v>
      </c>
      <c r="AA39" s="51">
        <f t="shared" si="6"/>
        <v>0</v>
      </c>
      <c r="AC39" s="49">
        <f>IF(K39&gt;E$22+E$23-1,0,IF(K39&lt;$E$22,0,Streams!$A$7)*24*365*OPEX!$D$4)</f>
        <v>0</v>
      </c>
      <c r="AD39" s="49">
        <f t="shared" si="11"/>
        <v>0</v>
      </c>
      <c r="AE39" s="49">
        <f t="shared" si="12"/>
        <v>0</v>
      </c>
      <c r="AF39" s="49">
        <f t="shared" si="13"/>
        <v>0</v>
      </c>
      <c r="AH39" s="74">
        <f t="shared" si="14"/>
        <v>0</v>
      </c>
      <c r="AI39" s="74">
        <f t="shared" si="21"/>
        <v>0</v>
      </c>
      <c r="AJ39" s="112">
        <f t="shared" si="15"/>
        <v>0</v>
      </c>
      <c r="AK39" s="74">
        <f t="shared" si="16"/>
        <v>0</v>
      </c>
      <c r="AL39" s="107">
        <f t="shared" si="17"/>
        <v>0</v>
      </c>
      <c r="AN39" s="74">
        <f t="shared" si="18"/>
        <v>0</v>
      </c>
      <c r="AP39" s="49"/>
    </row>
    <row r="40" spans="11:42" x14ac:dyDescent="0.25">
      <c r="K40">
        <v>32</v>
      </c>
      <c r="L40" s="74">
        <f t="shared" ref="L40:L58" si="24">IF(K40&gt;$E$15,0,1)*(-1)*VLOOKUP(K40,$D$16:$E$21,2)*$G$8*(1+$E$26)^K40</f>
        <v>0</v>
      </c>
      <c r="M40" s="74">
        <f t="shared" ref="M40:M58" si="25">(-1)*IF(K40=($E$22-1),$G$9-$G$8,0)*(1+$E$24)^K40</f>
        <v>0</v>
      </c>
      <c r="N40" s="51">
        <f t="shared" si="20"/>
        <v>0</v>
      </c>
      <c r="O40" s="51">
        <f t="shared" si="7"/>
        <v>245.90206497353151</v>
      </c>
      <c r="P40" s="51">
        <f>IF(K40&lt;$E$23+$E$22,1,0)*IF(K40&lt;$E$22,0,1)*OPEX!$F$7*((1+$E$24)^K40)</f>
        <v>0</v>
      </c>
      <c r="Q40" s="51">
        <f>IF(K40&lt;$E$23+$E$22,1,0)*IF(K40&lt;$E$22,0,-1)*OPEX!$F$30*(1+$E$24)^K40</f>
        <v>0</v>
      </c>
      <c r="R40" s="51">
        <f t="shared" si="2"/>
        <v>0</v>
      </c>
      <c r="S40" s="51">
        <f t="shared" si="8"/>
        <v>0</v>
      </c>
      <c r="T40" s="51">
        <f t="shared" si="23"/>
        <v>0</v>
      </c>
      <c r="U40" s="107">
        <f t="shared" si="9"/>
        <v>0</v>
      </c>
      <c r="V40" s="51">
        <f t="shared" si="10"/>
        <v>0</v>
      </c>
      <c r="W40" s="51">
        <f t="shared" ref="W40:W58" si="26">IF(V40&lt;0,0,V40*$E$29)*(-1)</f>
        <v>0</v>
      </c>
      <c r="X40" s="51">
        <f t="shared" si="22"/>
        <v>0</v>
      </c>
      <c r="Y40" s="51">
        <f t="shared" ref="Y40:Y58" si="27">IF(X40&gt;0,$E$13*X40,0)</f>
        <v>0</v>
      </c>
      <c r="Z40" s="51">
        <f t="shared" si="19"/>
        <v>0</v>
      </c>
      <c r="AA40" s="51">
        <f t="shared" ref="AA40:AA58" si="28">Z40*(1+$E$25)^(-$K40)</f>
        <v>0</v>
      </c>
      <c r="AC40" s="49">
        <f>IF(K40&gt;E$22+E$23-1,0,IF(K40&lt;$E$22,0,Streams!$A$7)*24*365*OPEX!$D$4)</f>
        <v>0</v>
      </c>
      <c r="AD40" s="49">
        <f t="shared" si="11"/>
        <v>0</v>
      </c>
      <c r="AE40" s="49">
        <f t="shared" si="12"/>
        <v>0</v>
      </c>
      <c r="AF40" s="49">
        <f t="shared" si="13"/>
        <v>0</v>
      </c>
      <c r="AH40" s="74">
        <f t="shared" si="14"/>
        <v>0</v>
      </c>
      <c r="AI40" s="74">
        <f t="shared" si="21"/>
        <v>0</v>
      </c>
      <c r="AJ40" s="112">
        <f t="shared" si="15"/>
        <v>0</v>
      </c>
      <c r="AK40" s="74">
        <f t="shared" si="16"/>
        <v>0</v>
      </c>
      <c r="AL40" s="107">
        <f t="shared" si="17"/>
        <v>0</v>
      </c>
      <c r="AN40" s="74">
        <f t="shared" si="18"/>
        <v>0</v>
      </c>
      <c r="AP40" s="49"/>
    </row>
    <row r="41" spans="11:42" x14ac:dyDescent="0.25">
      <c r="K41">
        <v>33</v>
      </c>
      <c r="L41" s="74">
        <f t="shared" si="24"/>
        <v>0</v>
      </c>
      <c r="M41" s="74">
        <f t="shared" si="25"/>
        <v>0</v>
      </c>
      <c r="N41" s="51">
        <f t="shared" si="20"/>
        <v>0</v>
      </c>
      <c r="O41" s="51">
        <f t="shared" ref="O41:O58" si="29">IF(K41&lt;$E$23+$E$22,1,0)*O40*IF(K41&lt;$E$22,1,1-$E$28/$E$27)</f>
        <v>221.31185847617837</v>
      </c>
      <c r="P41" s="51">
        <f>IF(K41&lt;$E$23+$E$22,1,0)*IF(K41&lt;$E$22,0,1)*OPEX!$F$7*((1+$E$24)^K41)</f>
        <v>0</v>
      </c>
      <c r="Q41" s="51">
        <f>IF(K41&lt;$E$23+$E$22,1,0)*IF(K41&lt;$E$22,0,-1)*OPEX!$F$30*(1+$E$24)^K41</f>
        <v>0</v>
      </c>
      <c r="R41" s="51">
        <f t="shared" si="2"/>
        <v>0</v>
      </c>
      <c r="S41" s="51">
        <f t="shared" ref="S41:S58" si="30">(O41-O40)*IF(K41&gt;$E$22+$E$27-1,0,1)</f>
        <v>0</v>
      </c>
      <c r="T41" s="51">
        <f t="shared" si="23"/>
        <v>0</v>
      </c>
      <c r="U41" s="107">
        <f t="shared" ref="U41:U58" si="31">IF(R41+S41+T41&gt;0,AL40,0)</f>
        <v>0</v>
      </c>
      <c r="V41" s="51">
        <f t="shared" si="10"/>
        <v>0</v>
      </c>
      <c r="W41" s="51">
        <f t="shared" si="26"/>
        <v>0</v>
      </c>
      <c r="X41" s="51">
        <f t="shared" si="22"/>
        <v>0</v>
      </c>
      <c r="Y41" s="51">
        <f t="shared" si="27"/>
        <v>0</v>
      </c>
      <c r="Z41" s="51">
        <f t="shared" si="19"/>
        <v>0</v>
      </c>
      <c r="AA41" s="51">
        <f t="shared" si="28"/>
        <v>0</v>
      </c>
      <c r="AC41" s="49">
        <f>IF(K41&gt;E$22+E$23-1,0,IF(K41&lt;$E$22,0,Streams!$A$7)*24*365*OPEX!$D$4)</f>
        <v>0</v>
      </c>
      <c r="AD41" s="49">
        <f t="shared" si="11"/>
        <v>0</v>
      </c>
      <c r="AE41" s="49">
        <f t="shared" si="12"/>
        <v>0</v>
      </c>
      <c r="AF41" s="49">
        <f t="shared" si="13"/>
        <v>0</v>
      </c>
      <c r="AH41" s="74">
        <f t="shared" si="14"/>
        <v>0</v>
      </c>
      <c r="AI41" s="74">
        <f t="shared" si="21"/>
        <v>0</v>
      </c>
      <c r="AJ41" s="112">
        <f t="shared" ref="AJ41:AJ58" si="32">IF(-AJ40&gt;AK40,-AI41-AK40,-(AH40*$E$12*1/(1-(1+$E$12)^(-$E$14)))+AJ40)</f>
        <v>0</v>
      </c>
      <c r="AK41" s="74">
        <f t="shared" si="16"/>
        <v>0</v>
      </c>
      <c r="AL41" s="107">
        <f t="shared" ref="AL41:AL58" si="33">IF(R41+S41+T41&lt;0,R41+S41+T41+AL40,0)</f>
        <v>0</v>
      </c>
      <c r="AN41" s="74">
        <f t="shared" ref="AN41:AN58" si="34">AN40+Y41</f>
        <v>0</v>
      </c>
      <c r="AP41" s="49"/>
    </row>
    <row r="42" spans="11:42" x14ac:dyDescent="0.25">
      <c r="K42">
        <v>34</v>
      </c>
      <c r="L42" s="74">
        <f t="shared" si="24"/>
        <v>0</v>
      </c>
      <c r="M42" s="74">
        <f t="shared" si="25"/>
        <v>0</v>
      </c>
      <c r="N42" s="51">
        <f t="shared" si="20"/>
        <v>0</v>
      </c>
      <c r="O42" s="51">
        <f t="shared" si="29"/>
        <v>0</v>
      </c>
      <c r="P42" s="51">
        <f>IF(K42&lt;$E$23+$E$22,1,0)*IF(K42&lt;$E$22,0,1)*OPEX!$F$7*((1+$E$24)^K42)</f>
        <v>0</v>
      </c>
      <c r="Q42" s="51">
        <f>IF(K42&lt;$E$23+$E$22,1,0)*IF(K42&lt;$E$22,0,-1)*OPEX!$F$30*(1+$E$24)^K42</f>
        <v>0</v>
      </c>
      <c r="R42" s="51">
        <f t="shared" si="2"/>
        <v>0</v>
      </c>
      <c r="S42" s="51">
        <f t="shared" si="30"/>
        <v>0</v>
      </c>
      <c r="T42" s="51">
        <f t="shared" si="23"/>
        <v>0</v>
      </c>
      <c r="U42" s="107">
        <f t="shared" si="31"/>
        <v>0</v>
      </c>
      <c r="V42" s="51">
        <f t="shared" si="10"/>
        <v>0</v>
      </c>
      <c r="W42" s="51">
        <f t="shared" si="26"/>
        <v>0</v>
      </c>
      <c r="X42" s="51">
        <f t="shared" si="22"/>
        <v>0</v>
      </c>
      <c r="Y42" s="51">
        <f t="shared" si="27"/>
        <v>0</v>
      </c>
      <c r="Z42" s="51">
        <f t="shared" si="19"/>
        <v>0</v>
      </c>
      <c r="AA42" s="51">
        <f t="shared" si="28"/>
        <v>0</v>
      </c>
      <c r="AC42" s="49">
        <f>IF(K42&gt;E$22+E$23-1,0,IF(K42&lt;$E$22,0,Streams!$A$7)*24*365*OPEX!$D$4)</f>
        <v>0</v>
      </c>
      <c r="AD42" s="49">
        <f t="shared" si="11"/>
        <v>0</v>
      </c>
      <c r="AE42" s="49">
        <f t="shared" si="12"/>
        <v>0</v>
      </c>
      <c r="AF42" s="49">
        <f t="shared" si="13"/>
        <v>0</v>
      </c>
      <c r="AH42" s="74">
        <f t="shared" si="14"/>
        <v>0</v>
      </c>
      <c r="AI42" s="74">
        <f t="shared" si="21"/>
        <v>0</v>
      </c>
      <c r="AJ42" s="112">
        <f t="shared" si="32"/>
        <v>0</v>
      </c>
      <c r="AK42" s="74">
        <f t="shared" si="16"/>
        <v>0</v>
      </c>
      <c r="AL42" s="107">
        <f t="shared" si="33"/>
        <v>0</v>
      </c>
      <c r="AN42" s="74">
        <f t="shared" si="34"/>
        <v>0</v>
      </c>
      <c r="AP42" s="49"/>
    </row>
    <row r="43" spans="11:42" x14ac:dyDescent="0.25">
      <c r="K43">
        <v>35</v>
      </c>
      <c r="L43" s="74">
        <f t="shared" si="24"/>
        <v>0</v>
      </c>
      <c r="M43" s="74">
        <f t="shared" si="25"/>
        <v>0</v>
      </c>
      <c r="N43" s="51">
        <f t="shared" si="20"/>
        <v>0</v>
      </c>
      <c r="O43" s="51">
        <f t="shared" si="29"/>
        <v>0</v>
      </c>
      <c r="P43" s="51">
        <f>IF(K43&lt;$E$23+$E$22,1,0)*IF(K43&lt;$E$22,0,1)*OPEX!$F$7*((1+$E$24)^K43)</f>
        <v>0</v>
      </c>
      <c r="Q43" s="51">
        <f>IF(K43&lt;$E$23+$E$22,1,0)*IF(K43&lt;$E$22,0,-1)*OPEX!$F$30*(1+$E$24)^K43</f>
        <v>0</v>
      </c>
      <c r="R43" s="51">
        <f t="shared" si="2"/>
        <v>0</v>
      </c>
      <c r="S43" s="51">
        <f t="shared" si="30"/>
        <v>0</v>
      </c>
      <c r="T43" s="51">
        <f t="shared" si="23"/>
        <v>0</v>
      </c>
      <c r="U43" s="107">
        <f t="shared" si="31"/>
        <v>0</v>
      </c>
      <c r="V43" s="51">
        <f t="shared" si="10"/>
        <v>0</v>
      </c>
      <c r="W43" s="51">
        <f t="shared" si="26"/>
        <v>0</v>
      </c>
      <c r="X43" s="51">
        <f t="shared" si="22"/>
        <v>0</v>
      </c>
      <c r="Y43" s="51">
        <f t="shared" si="27"/>
        <v>0</v>
      </c>
      <c r="Z43" s="51">
        <f t="shared" si="19"/>
        <v>0</v>
      </c>
      <c r="AA43" s="51">
        <f t="shared" si="28"/>
        <v>0</v>
      </c>
      <c r="AC43" s="49">
        <f>IF(K43&gt;E$22+E$23-1,0,IF(K43&lt;$E$22,0,Streams!$A$7)*24*365*OPEX!$D$4)</f>
        <v>0</v>
      </c>
      <c r="AD43" s="49">
        <f t="shared" si="11"/>
        <v>0</v>
      </c>
      <c r="AE43" s="49">
        <f t="shared" si="12"/>
        <v>0</v>
      </c>
      <c r="AF43" s="49">
        <f t="shared" si="13"/>
        <v>0</v>
      </c>
      <c r="AH43" s="74">
        <f t="shared" si="14"/>
        <v>0</v>
      </c>
      <c r="AI43" s="74">
        <f t="shared" si="21"/>
        <v>0</v>
      </c>
      <c r="AJ43" s="112">
        <f t="shared" si="32"/>
        <v>0</v>
      </c>
      <c r="AK43" s="74">
        <f t="shared" si="16"/>
        <v>0</v>
      </c>
      <c r="AL43" s="107">
        <f t="shared" si="33"/>
        <v>0</v>
      </c>
      <c r="AN43" s="74">
        <f t="shared" si="34"/>
        <v>0</v>
      </c>
      <c r="AP43" s="49"/>
    </row>
    <row r="44" spans="11:42" x14ac:dyDescent="0.25">
      <c r="K44">
        <v>36</v>
      </c>
      <c r="L44" s="74">
        <f t="shared" si="24"/>
        <v>0</v>
      </c>
      <c r="M44" s="74">
        <f t="shared" si="25"/>
        <v>0</v>
      </c>
      <c r="N44" s="51">
        <f t="shared" si="20"/>
        <v>0</v>
      </c>
      <c r="O44" s="51">
        <f t="shared" si="29"/>
        <v>0</v>
      </c>
      <c r="P44" s="51">
        <f>IF(K44&lt;$E$23+$E$22,1,0)*IF(K44&lt;$E$22,0,1)*OPEX!$F$7*((1+$E$24)^K44)</f>
        <v>0</v>
      </c>
      <c r="Q44" s="51">
        <f>IF(K44&lt;$E$23+$E$22,1,0)*IF(K44&lt;$E$22,0,-1)*OPEX!$F$30*(1+$E$24)^K44</f>
        <v>0</v>
      </c>
      <c r="R44" s="51">
        <f t="shared" si="2"/>
        <v>0</v>
      </c>
      <c r="S44" s="51">
        <f t="shared" si="30"/>
        <v>0</v>
      </c>
      <c r="T44" s="51">
        <f t="shared" si="23"/>
        <v>0</v>
      </c>
      <c r="U44" s="107">
        <f t="shared" si="31"/>
        <v>0</v>
      </c>
      <c r="V44" s="51">
        <f t="shared" si="10"/>
        <v>0</v>
      </c>
      <c r="W44" s="51">
        <f t="shared" si="26"/>
        <v>0</v>
      </c>
      <c r="X44" s="51">
        <f t="shared" si="22"/>
        <v>0</v>
      </c>
      <c r="Y44" s="51">
        <f t="shared" si="27"/>
        <v>0</v>
      </c>
      <c r="Z44" s="51">
        <f t="shared" si="19"/>
        <v>0</v>
      </c>
      <c r="AA44" s="51">
        <f t="shared" si="28"/>
        <v>0</v>
      </c>
      <c r="AC44" s="49">
        <f>IF(K44&gt;E$22+E$23-1,0,IF(K44&lt;$E$22,0,Streams!$A$7)*24*365*OPEX!$D$4)</f>
        <v>0</v>
      </c>
      <c r="AD44" s="49">
        <f t="shared" si="11"/>
        <v>0</v>
      </c>
      <c r="AE44" s="49">
        <f t="shared" si="12"/>
        <v>0</v>
      </c>
      <c r="AF44" s="49">
        <f t="shared" si="13"/>
        <v>0</v>
      </c>
      <c r="AH44" s="74">
        <f t="shared" si="14"/>
        <v>0</v>
      </c>
      <c r="AI44" s="74">
        <f t="shared" si="21"/>
        <v>0</v>
      </c>
      <c r="AJ44" s="112">
        <f t="shared" si="32"/>
        <v>0</v>
      </c>
      <c r="AK44" s="74">
        <f t="shared" si="16"/>
        <v>0</v>
      </c>
      <c r="AL44" s="107">
        <f t="shared" si="33"/>
        <v>0</v>
      </c>
      <c r="AN44" s="74">
        <f t="shared" si="34"/>
        <v>0</v>
      </c>
      <c r="AP44" s="49"/>
    </row>
    <row r="45" spans="11:42" x14ac:dyDescent="0.25">
      <c r="K45">
        <v>37</v>
      </c>
      <c r="L45" s="74">
        <f t="shared" si="24"/>
        <v>0</v>
      </c>
      <c r="M45" s="74">
        <f t="shared" si="25"/>
        <v>0</v>
      </c>
      <c r="N45" s="51">
        <f t="shared" si="20"/>
        <v>0</v>
      </c>
      <c r="O45" s="51">
        <f t="shared" si="29"/>
        <v>0</v>
      </c>
      <c r="P45" s="51">
        <f>IF(K45&lt;$E$23+$E$22,1,0)*IF(K45&lt;$E$22,0,1)*OPEX!$F$7*((1+$E$24)^K45)</f>
        <v>0</v>
      </c>
      <c r="Q45" s="51">
        <f>IF(K45&lt;$E$23+$E$22,1,0)*IF(K45&lt;$E$22,0,-1)*OPEX!$F$30*(1+$E$24)^K45</f>
        <v>0</v>
      </c>
      <c r="R45" s="51">
        <f t="shared" si="2"/>
        <v>0</v>
      </c>
      <c r="S45" s="51">
        <f t="shared" si="30"/>
        <v>0</v>
      </c>
      <c r="T45" s="51">
        <f t="shared" si="23"/>
        <v>0</v>
      </c>
      <c r="U45" s="107">
        <f t="shared" si="31"/>
        <v>0</v>
      </c>
      <c r="V45" s="51">
        <f t="shared" si="10"/>
        <v>0</v>
      </c>
      <c r="W45" s="51">
        <f t="shared" si="26"/>
        <v>0</v>
      </c>
      <c r="X45" s="51">
        <f t="shared" si="22"/>
        <v>0</v>
      </c>
      <c r="Y45" s="51">
        <f t="shared" si="27"/>
        <v>0</v>
      </c>
      <c r="Z45" s="51">
        <f t="shared" si="19"/>
        <v>0</v>
      </c>
      <c r="AA45" s="51">
        <f t="shared" si="28"/>
        <v>0</v>
      </c>
      <c r="AC45" s="49">
        <f>IF(K45&gt;E$22+E$23-1,0,IF(K45&lt;$E$22,0,Streams!$A$7)*24*365*OPEX!$D$4)</f>
        <v>0</v>
      </c>
      <c r="AD45" s="49">
        <f t="shared" si="11"/>
        <v>0</v>
      </c>
      <c r="AE45" s="49">
        <f t="shared" si="12"/>
        <v>0</v>
      </c>
      <c r="AF45" s="49">
        <f t="shared" si="13"/>
        <v>0</v>
      </c>
      <c r="AH45" s="74">
        <f t="shared" si="14"/>
        <v>0</v>
      </c>
      <c r="AI45" s="74">
        <f t="shared" si="21"/>
        <v>0</v>
      </c>
      <c r="AJ45" s="112">
        <f t="shared" si="32"/>
        <v>0</v>
      </c>
      <c r="AK45" s="74">
        <f t="shared" si="16"/>
        <v>0</v>
      </c>
      <c r="AL45" s="107">
        <f t="shared" si="33"/>
        <v>0</v>
      </c>
      <c r="AN45" s="74">
        <f t="shared" si="34"/>
        <v>0</v>
      </c>
      <c r="AP45" s="49"/>
    </row>
    <row r="46" spans="11:42" x14ac:dyDescent="0.25">
      <c r="K46">
        <v>38</v>
      </c>
      <c r="L46" s="74">
        <f t="shared" si="24"/>
        <v>0</v>
      </c>
      <c r="M46" s="74">
        <f t="shared" si="25"/>
        <v>0</v>
      </c>
      <c r="N46" s="51">
        <f t="shared" si="20"/>
        <v>0</v>
      </c>
      <c r="O46" s="51">
        <f t="shared" si="29"/>
        <v>0</v>
      </c>
      <c r="P46" s="51">
        <f>IF(K46&lt;$E$23+$E$22,1,0)*IF(K46&lt;$E$22,0,1)*OPEX!$F$7*((1+$E$24)^K46)</f>
        <v>0</v>
      </c>
      <c r="Q46" s="51">
        <f>IF(K46&lt;$E$23+$E$22,1,0)*IF(K46&lt;$E$22,0,-1)*OPEX!$F$30*(1+$E$24)^K46</f>
        <v>0</v>
      </c>
      <c r="R46" s="51">
        <f t="shared" si="2"/>
        <v>0</v>
      </c>
      <c r="S46" s="51">
        <f t="shared" si="30"/>
        <v>0</v>
      </c>
      <c r="T46" s="51">
        <f t="shared" si="23"/>
        <v>0</v>
      </c>
      <c r="U46" s="107">
        <f t="shared" si="31"/>
        <v>0</v>
      </c>
      <c r="V46" s="51">
        <f t="shared" si="10"/>
        <v>0</v>
      </c>
      <c r="W46" s="51">
        <f t="shared" si="26"/>
        <v>0</v>
      </c>
      <c r="X46" s="51">
        <f t="shared" si="22"/>
        <v>0</v>
      </c>
      <c r="Y46" s="51">
        <f t="shared" si="27"/>
        <v>0</v>
      </c>
      <c r="Z46" s="51">
        <f t="shared" si="19"/>
        <v>0</v>
      </c>
      <c r="AA46" s="51">
        <f t="shared" si="28"/>
        <v>0</v>
      </c>
      <c r="AC46" s="49">
        <f>IF(K46&gt;E$22+E$23-1,0,IF(K46&lt;$E$22,0,Streams!$A$7)*24*365*OPEX!$D$4)</f>
        <v>0</v>
      </c>
      <c r="AD46" s="49">
        <f t="shared" si="11"/>
        <v>0</v>
      </c>
      <c r="AE46" s="49">
        <f t="shared" si="12"/>
        <v>0</v>
      </c>
      <c r="AF46" s="49">
        <f t="shared" si="13"/>
        <v>0</v>
      </c>
      <c r="AH46" s="74">
        <f t="shared" si="14"/>
        <v>0</v>
      </c>
      <c r="AI46" s="74">
        <f t="shared" si="21"/>
        <v>0</v>
      </c>
      <c r="AJ46" s="112">
        <f t="shared" si="32"/>
        <v>0</v>
      </c>
      <c r="AK46" s="74">
        <f t="shared" si="16"/>
        <v>0</v>
      </c>
      <c r="AL46" s="107">
        <f t="shared" si="33"/>
        <v>0</v>
      </c>
      <c r="AN46" s="74">
        <f t="shared" si="34"/>
        <v>0</v>
      </c>
      <c r="AP46" s="49"/>
    </row>
    <row r="47" spans="11:42" x14ac:dyDescent="0.25">
      <c r="K47">
        <v>39</v>
      </c>
      <c r="L47" s="74">
        <f t="shared" si="24"/>
        <v>0</v>
      </c>
      <c r="M47" s="74">
        <f t="shared" si="25"/>
        <v>0</v>
      </c>
      <c r="N47" s="51">
        <f t="shared" si="20"/>
        <v>0</v>
      </c>
      <c r="O47" s="51">
        <f t="shared" si="29"/>
        <v>0</v>
      </c>
      <c r="P47" s="51">
        <f>IF(K47&lt;$E$23+$E$22,1,0)*IF(K47&lt;$E$22,0,1)*OPEX!$F$7*((1+$E$24)^K47)</f>
        <v>0</v>
      </c>
      <c r="Q47" s="51">
        <f>IF(K47&lt;$E$23+$E$22,1,0)*IF(K47&lt;$E$22,0,-1)*OPEX!$F$30*(1+$E$24)^K47</f>
        <v>0</v>
      </c>
      <c r="R47" s="51">
        <f t="shared" si="2"/>
        <v>0</v>
      </c>
      <c r="S47" s="51">
        <f t="shared" si="30"/>
        <v>0</v>
      </c>
      <c r="T47" s="51">
        <f t="shared" si="23"/>
        <v>0</v>
      </c>
      <c r="U47" s="107">
        <f t="shared" si="31"/>
        <v>0</v>
      </c>
      <c r="V47" s="51">
        <f t="shared" si="10"/>
        <v>0</v>
      </c>
      <c r="W47" s="51">
        <f t="shared" si="26"/>
        <v>0</v>
      </c>
      <c r="X47" s="51">
        <f t="shared" si="22"/>
        <v>0</v>
      </c>
      <c r="Y47" s="51">
        <f t="shared" si="27"/>
        <v>0</v>
      </c>
      <c r="Z47" s="51">
        <f t="shared" si="19"/>
        <v>0</v>
      </c>
      <c r="AA47" s="51">
        <f t="shared" si="28"/>
        <v>0</v>
      </c>
      <c r="AC47" s="49">
        <f>IF(K47&gt;E$22+E$23-1,0,IF(K47&lt;$E$22,0,Streams!$A$7)*24*365*OPEX!$D$4)</f>
        <v>0</v>
      </c>
      <c r="AD47" s="49">
        <f t="shared" si="11"/>
        <v>0</v>
      </c>
      <c r="AE47" s="49">
        <f t="shared" si="12"/>
        <v>0</v>
      </c>
      <c r="AF47" s="49">
        <f t="shared" si="13"/>
        <v>0</v>
      </c>
      <c r="AH47" s="74">
        <f t="shared" si="14"/>
        <v>0</v>
      </c>
      <c r="AI47" s="74">
        <f t="shared" si="21"/>
        <v>0</v>
      </c>
      <c r="AJ47" s="112">
        <f t="shared" si="32"/>
        <v>0</v>
      </c>
      <c r="AK47" s="74">
        <f t="shared" si="16"/>
        <v>0</v>
      </c>
      <c r="AL47" s="107">
        <f t="shared" si="33"/>
        <v>0</v>
      </c>
      <c r="AN47" s="74">
        <f t="shared" si="34"/>
        <v>0</v>
      </c>
      <c r="AP47" s="49"/>
    </row>
    <row r="48" spans="11:42" x14ac:dyDescent="0.25">
      <c r="K48">
        <v>40</v>
      </c>
      <c r="L48" s="74">
        <f t="shared" si="24"/>
        <v>0</v>
      </c>
      <c r="M48" s="74">
        <f t="shared" si="25"/>
        <v>0</v>
      </c>
      <c r="N48" s="51">
        <f t="shared" si="20"/>
        <v>0</v>
      </c>
      <c r="O48" s="51">
        <f t="shared" si="29"/>
        <v>0</v>
      </c>
      <c r="P48" s="51">
        <f>IF(K48&lt;$E$23+$E$22,1,0)*IF(K48&lt;$E$22,0,1)*OPEX!$F$7*((1+$E$24)^K48)</f>
        <v>0</v>
      </c>
      <c r="Q48" s="51">
        <f>IF(K48&lt;$E$23+$E$22,1,0)*IF(K48&lt;$E$22,0,-1)*OPEX!$F$30*(1+$E$24)^K48</f>
        <v>0</v>
      </c>
      <c r="R48" s="51">
        <f t="shared" si="2"/>
        <v>0</v>
      </c>
      <c r="S48" s="51">
        <f t="shared" si="30"/>
        <v>0</v>
      </c>
      <c r="T48" s="51">
        <f t="shared" si="23"/>
        <v>0</v>
      </c>
      <c r="U48" s="107">
        <f t="shared" si="31"/>
        <v>0</v>
      </c>
      <c r="V48" s="51">
        <f t="shared" si="10"/>
        <v>0</v>
      </c>
      <c r="W48" s="51">
        <f t="shared" si="26"/>
        <v>0</v>
      </c>
      <c r="X48" s="51">
        <f t="shared" si="22"/>
        <v>0</v>
      </c>
      <c r="Y48" s="51">
        <f t="shared" si="27"/>
        <v>0</v>
      </c>
      <c r="Z48" s="51">
        <f t="shared" si="19"/>
        <v>0</v>
      </c>
      <c r="AA48" s="51">
        <f t="shared" si="28"/>
        <v>0</v>
      </c>
      <c r="AC48" s="49">
        <f>IF(K48&gt;E$22+E$23-1,0,IF(K48&lt;$E$22,0,Streams!$A$7)*24*365*OPEX!$D$4)</f>
        <v>0</v>
      </c>
      <c r="AD48" s="49">
        <f t="shared" si="11"/>
        <v>0</v>
      </c>
      <c r="AE48" s="49">
        <f t="shared" si="12"/>
        <v>0</v>
      </c>
      <c r="AF48" s="49">
        <f t="shared" si="13"/>
        <v>0</v>
      </c>
      <c r="AH48" s="74">
        <f t="shared" si="14"/>
        <v>0</v>
      </c>
      <c r="AI48" s="74">
        <f t="shared" si="21"/>
        <v>0</v>
      </c>
      <c r="AJ48" s="112">
        <f t="shared" si="32"/>
        <v>0</v>
      </c>
      <c r="AK48" s="74">
        <f t="shared" si="16"/>
        <v>0</v>
      </c>
      <c r="AL48" s="107">
        <f t="shared" si="33"/>
        <v>0</v>
      </c>
      <c r="AN48" s="74">
        <f t="shared" si="34"/>
        <v>0</v>
      </c>
      <c r="AP48" s="49"/>
    </row>
    <row r="49" spans="11:42" x14ac:dyDescent="0.25">
      <c r="K49">
        <v>41</v>
      </c>
      <c r="L49" s="74">
        <f t="shared" si="24"/>
        <v>0</v>
      </c>
      <c r="M49" s="74">
        <f t="shared" si="25"/>
        <v>0</v>
      </c>
      <c r="N49" s="51">
        <f t="shared" ref="N49:N58" si="35">(L50+M50)*(-1)</f>
        <v>0</v>
      </c>
      <c r="O49" s="51">
        <f t="shared" si="29"/>
        <v>0</v>
      </c>
      <c r="P49" s="51">
        <f>IF(K49&lt;$E$23+$E$22,1,0)*IF(K49&lt;$E$22,0,1)*OPEX!$F$7*((1+$E$24)^K49)</f>
        <v>0</v>
      </c>
      <c r="Q49" s="51">
        <f>IF(K49&lt;$E$23+$E$22,1,0)*IF(K49&lt;$E$22,0,-1)*OPEX!$F$30*(1+$E$24)^K49</f>
        <v>0</v>
      </c>
      <c r="R49" s="51">
        <f t="shared" ref="R49:R58" si="36">Q49+P49</f>
        <v>0</v>
      </c>
      <c r="S49" s="51">
        <f t="shared" si="30"/>
        <v>0</v>
      </c>
      <c r="T49" s="51">
        <f t="shared" ref="T49:T58" si="37">AI49*(-1)</f>
        <v>0</v>
      </c>
      <c r="U49" s="107">
        <f t="shared" si="31"/>
        <v>0</v>
      </c>
      <c r="V49" s="51">
        <f t="shared" ref="V49:V58" si="38">R49+S49+T49+U49</f>
        <v>0</v>
      </c>
      <c r="W49" s="51">
        <f t="shared" si="26"/>
        <v>0</v>
      </c>
      <c r="X49" s="51">
        <f t="shared" si="22"/>
        <v>0</v>
      </c>
      <c r="Y49" s="51">
        <f t="shared" si="27"/>
        <v>0</v>
      </c>
      <c r="Z49" s="51">
        <f t="shared" si="19"/>
        <v>0</v>
      </c>
      <c r="AA49" s="51">
        <f t="shared" si="28"/>
        <v>0</v>
      </c>
      <c r="AC49" s="49">
        <f>IF(K49&gt;E$22+E$23-1,0,IF(K49&lt;$E$22,0,Streams!$A$7)*24*365*OPEX!$D$4)</f>
        <v>0</v>
      </c>
      <c r="AD49" s="49">
        <f t="shared" si="11"/>
        <v>0</v>
      </c>
      <c r="AE49" s="49">
        <f t="shared" si="12"/>
        <v>0</v>
      </c>
      <c r="AF49" s="49">
        <f t="shared" si="13"/>
        <v>0</v>
      </c>
      <c r="AH49" s="74">
        <f t="shared" ref="AH49:AH58" si="39">N49*$E$10</f>
        <v>0</v>
      </c>
      <c r="AI49" s="74">
        <f t="shared" ref="AI49:AI58" si="40">AK48*$E$12</f>
        <v>0</v>
      </c>
      <c r="AJ49" s="112">
        <f t="shared" si="32"/>
        <v>0</v>
      </c>
      <c r="AK49" s="74">
        <f t="shared" ref="AK49:AK58" si="41">AK48+AH49+AI49+AJ49</f>
        <v>0</v>
      </c>
      <c r="AL49" s="107">
        <f t="shared" si="33"/>
        <v>0</v>
      </c>
      <c r="AN49" s="74">
        <f t="shared" si="34"/>
        <v>0</v>
      </c>
      <c r="AP49" s="49"/>
    </row>
    <row r="50" spans="11:42" x14ac:dyDescent="0.25">
      <c r="K50">
        <v>42</v>
      </c>
      <c r="L50" s="74">
        <f t="shared" si="24"/>
        <v>0</v>
      </c>
      <c r="M50" s="74">
        <f t="shared" si="25"/>
        <v>0</v>
      </c>
      <c r="N50" s="51">
        <f t="shared" si="35"/>
        <v>0</v>
      </c>
      <c r="O50" s="51">
        <f t="shared" si="29"/>
        <v>0</v>
      </c>
      <c r="P50" s="51">
        <f>IF(K50&lt;$E$23+$E$22,1,0)*IF(K50&lt;$E$22,0,1)*OPEX!$F$7*((1+$E$24)^K50)</f>
        <v>0</v>
      </c>
      <c r="Q50" s="51">
        <f>IF(K50&lt;$E$23+$E$22,1,0)*IF(K50&lt;$E$22,0,-1)*OPEX!$F$30*(1+$E$24)^K50</f>
        <v>0</v>
      </c>
      <c r="R50" s="51">
        <f t="shared" si="36"/>
        <v>0</v>
      </c>
      <c r="S50" s="51">
        <f t="shared" si="30"/>
        <v>0</v>
      </c>
      <c r="T50" s="51">
        <f t="shared" si="37"/>
        <v>0</v>
      </c>
      <c r="U50" s="107">
        <f t="shared" si="31"/>
        <v>0</v>
      </c>
      <c r="V50" s="51">
        <f t="shared" si="38"/>
        <v>0</v>
      </c>
      <c r="W50" s="51">
        <f t="shared" si="26"/>
        <v>0</v>
      </c>
      <c r="X50" s="51">
        <f t="shared" si="22"/>
        <v>0</v>
      </c>
      <c r="Y50" s="51">
        <f t="shared" si="27"/>
        <v>0</v>
      </c>
      <c r="Z50" s="51">
        <f t="shared" si="19"/>
        <v>0</v>
      </c>
      <c r="AA50" s="51">
        <f t="shared" si="28"/>
        <v>0</v>
      </c>
      <c r="AC50" s="49">
        <f>IF(K50&gt;E$22+E$23-1,0,IF(K50&lt;$E$22,0,Streams!$A$7)*24*365*OPEX!$D$4)</f>
        <v>0</v>
      </c>
      <c r="AD50" s="49">
        <f t="shared" si="11"/>
        <v>0</v>
      </c>
      <c r="AE50" s="49">
        <f t="shared" si="12"/>
        <v>0</v>
      </c>
      <c r="AF50" s="49">
        <f t="shared" si="13"/>
        <v>0</v>
      </c>
      <c r="AH50" s="74">
        <f t="shared" si="39"/>
        <v>0</v>
      </c>
      <c r="AI50" s="74">
        <f t="shared" si="40"/>
        <v>0</v>
      </c>
      <c r="AJ50" s="112">
        <f t="shared" si="32"/>
        <v>0</v>
      </c>
      <c r="AK50" s="74">
        <f t="shared" si="41"/>
        <v>0</v>
      </c>
      <c r="AL50" s="107">
        <f t="shared" si="33"/>
        <v>0</v>
      </c>
      <c r="AN50" s="74">
        <f t="shared" si="34"/>
        <v>0</v>
      </c>
      <c r="AP50" s="49"/>
    </row>
    <row r="51" spans="11:42" x14ac:dyDescent="0.25">
      <c r="K51">
        <v>43</v>
      </c>
      <c r="L51" s="74">
        <f t="shared" si="24"/>
        <v>0</v>
      </c>
      <c r="M51" s="74">
        <f t="shared" si="25"/>
        <v>0</v>
      </c>
      <c r="N51" s="51">
        <f t="shared" si="35"/>
        <v>0</v>
      </c>
      <c r="O51" s="51">
        <f t="shared" si="29"/>
        <v>0</v>
      </c>
      <c r="P51" s="51">
        <f>IF(K51&lt;$E$23+$E$22,1,0)*IF(K51&lt;$E$22,0,1)*OPEX!$F$7*((1+$E$24)^K51)</f>
        <v>0</v>
      </c>
      <c r="Q51" s="51">
        <f>IF(K51&lt;$E$23+$E$22,1,0)*IF(K51&lt;$E$22,0,-1)*OPEX!$F$30*(1+$E$24)^K51</f>
        <v>0</v>
      </c>
      <c r="R51" s="51">
        <f t="shared" si="36"/>
        <v>0</v>
      </c>
      <c r="S51" s="51">
        <f t="shared" si="30"/>
        <v>0</v>
      </c>
      <c r="T51" s="51">
        <f t="shared" si="37"/>
        <v>0</v>
      </c>
      <c r="U51" s="107">
        <f t="shared" si="31"/>
        <v>0</v>
      </c>
      <c r="V51" s="51">
        <f t="shared" si="38"/>
        <v>0</v>
      </c>
      <c r="W51" s="51">
        <f t="shared" si="26"/>
        <v>0</v>
      </c>
      <c r="X51" s="51">
        <f t="shared" si="22"/>
        <v>0</v>
      </c>
      <c r="Y51" s="51">
        <f t="shared" si="27"/>
        <v>0</v>
      </c>
      <c r="Z51" s="51">
        <f t="shared" si="19"/>
        <v>0</v>
      </c>
      <c r="AA51" s="51">
        <f t="shared" si="28"/>
        <v>0</v>
      </c>
      <c r="AC51" s="49">
        <f>IF(K51&gt;E$22+E$23-1,0,IF(K51&lt;$E$22,0,Streams!$A$7)*24*365*OPEX!$D$4)</f>
        <v>0</v>
      </c>
      <c r="AD51" s="49">
        <f t="shared" si="11"/>
        <v>0</v>
      </c>
      <c r="AE51" s="49">
        <f t="shared" si="12"/>
        <v>0</v>
      </c>
      <c r="AF51" s="49">
        <f t="shared" si="13"/>
        <v>0</v>
      </c>
      <c r="AH51" s="74">
        <f t="shared" si="39"/>
        <v>0</v>
      </c>
      <c r="AI51" s="74">
        <f t="shared" si="40"/>
        <v>0</v>
      </c>
      <c r="AJ51" s="112">
        <f t="shared" si="32"/>
        <v>0</v>
      </c>
      <c r="AK51" s="74">
        <f t="shared" si="41"/>
        <v>0</v>
      </c>
      <c r="AL51" s="107">
        <f t="shared" si="33"/>
        <v>0</v>
      </c>
      <c r="AN51" s="74">
        <f t="shared" si="34"/>
        <v>0</v>
      </c>
      <c r="AP51" s="49"/>
    </row>
    <row r="52" spans="11:42" x14ac:dyDescent="0.25">
      <c r="K52">
        <v>44</v>
      </c>
      <c r="L52" s="74">
        <f t="shared" si="24"/>
        <v>0</v>
      </c>
      <c r="M52" s="74">
        <f t="shared" si="25"/>
        <v>0</v>
      </c>
      <c r="N52" s="51">
        <f t="shared" si="35"/>
        <v>0</v>
      </c>
      <c r="O52" s="51">
        <f t="shared" si="29"/>
        <v>0</v>
      </c>
      <c r="P52" s="51">
        <f>IF(K52&lt;$E$23+$E$22,1,0)*IF(K52&lt;$E$22,0,1)*OPEX!$F$7*((1+$E$24)^K52)</f>
        <v>0</v>
      </c>
      <c r="Q52" s="51">
        <f>IF(K52&lt;$E$23+$E$22,1,0)*IF(K52&lt;$E$22,0,-1)*OPEX!$F$30*(1+$E$24)^K52</f>
        <v>0</v>
      </c>
      <c r="R52" s="51">
        <f t="shared" si="36"/>
        <v>0</v>
      </c>
      <c r="S52" s="51">
        <f t="shared" si="30"/>
        <v>0</v>
      </c>
      <c r="T52" s="51">
        <f t="shared" si="37"/>
        <v>0</v>
      </c>
      <c r="U52" s="107">
        <f t="shared" si="31"/>
        <v>0</v>
      </c>
      <c r="V52" s="51">
        <f t="shared" si="38"/>
        <v>0</v>
      </c>
      <c r="W52" s="51">
        <f t="shared" si="26"/>
        <v>0</v>
      </c>
      <c r="X52" s="51">
        <f t="shared" si="22"/>
        <v>0</v>
      </c>
      <c r="Y52" s="51">
        <f t="shared" si="27"/>
        <v>0</v>
      </c>
      <c r="Z52" s="51">
        <f t="shared" si="19"/>
        <v>0</v>
      </c>
      <c r="AA52" s="51">
        <f t="shared" si="28"/>
        <v>0</v>
      </c>
      <c r="AC52" s="49">
        <f>IF(K52&gt;E$22+E$23-1,0,IF(K52&lt;$E$22,0,Streams!$A$7)*24*365*OPEX!$D$4)</f>
        <v>0</v>
      </c>
      <c r="AD52" s="49">
        <f t="shared" si="11"/>
        <v>0</v>
      </c>
      <c r="AE52" s="49">
        <f t="shared" si="12"/>
        <v>0</v>
      </c>
      <c r="AF52" s="49">
        <f t="shared" si="13"/>
        <v>0</v>
      </c>
      <c r="AH52" s="74">
        <f t="shared" si="39"/>
        <v>0</v>
      </c>
      <c r="AI52" s="74">
        <f t="shared" si="40"/>
        <v>0</v>
      </c>
      <c r="AJ52" s="112">
        <f t="shared" si="32"/>
        <v>0</v>
      </c>
      <c r="AK52" s="74">
        <f t="shared" si="41"/>
        <v>0</v>
      </c>
      <c r="AL52" s="107">
        <f t="shared" si="33"/>
        <v>0</v>
      </c>
      <c r="AN52" s="74">
        <f t="shared" si="34"/>
        <v>0</v>
      </c>
      <c r="AP52" s="49"/>
    </row>
    <row r="53" spans="11:42" x14ac:dyDescent="0.25">
      <c r="K53">
        <v>45</v>
      </c>
      <c r="L53" s="74">
        <f t="shared" si="24"/>
        <v>0</v>
      </c>
      <c r="M53" s="74">
        <f t="shared" si="25"/>
        <v>0</v>
      </c>
      <c r="N53" s="51">
        <f t="shared" si="35"/>
        <v>0</v>
      </c>
      <c r="O53" s="51">
        <f t="shared" si="29"/>
        <v>0</v>
      </c>
      <c r="P53" s="51">
        <f>IF(K53&lt;$E$23+$E$22,1,0)*IF(K53&lt;$E$22,0,1)*OPEX!$F$7*((1+$E$24)^K53)</f>
        <v>0</v>
      </c>
      <c r="Q53" s="51">
        <f>IF(K53&lt;$E$23+$E$22,1,0)*IF(K53&lt;$E$22,0,-1)*OPEX!$F$30*(1+$E$24)^K53</f>
        <v>0</v>
      </c>
      <c r="R53" s="51">
        <f t="shared" si="36"/>
        <v>0</v>
      </c>
      <c r="S53" s="51">
        <f t="shared" si="30"/>
        <v>0</v>
      </c>
      <c r="T53" s="51">
        <f t="shared" si="37"/>
        <v>0</v>
      </c>
      <c r="U53" s="107">
        <f t="shared" si="31"/>
        <v>0</v>
      </c>
      <c r="V53" s="51">
        <f t="shared" si="38"/>
        <v>0</v>
      </c>
      <c r="W53" s="51">
        <f t="shared" si="26"/>
        <v>0</v>
      </c>
      <c r="X53" s="51">
        <f t="shared" si="22"/>
        <v>0</v>
      </c>
      <c r="Y53" s="51">
        <f t="shared" si="27"/>
        <v>0</v>
      </c>
      <c r="Z53" s="51">
        <f t="shared" si="19"/>
        <v>0</v>
      </c>
      <c r="AA53" s="51">
        <f t="shared" si="28"/>
        <v>0</v>
      </c>
      <c r="AC53" s="49">
        <f>IF(K53&gt;E$22+E$23-1,0,IF(K53&lt;$E$22,0,Streams!$A$7)*24*365*OPEX!$D$4)</f>
        <v>0</v>
      </c>
      <c r="AD53" s="49">
        <f t="shared" si="11"/>
        <v>0</v>
      </c>
      <c r="AE53" s="49">
        <f t="shared" si="12"/>
        <v>0</v>
      </c>
      <c r="AF53" s="49">
        <f t="shared" si="13"/>
        <v>0</v>
      </c>
      <c r="AH53" s="74">
        <f t="shared" si="39"/>
        <v>0</v>
      </c>
      <c r="AI53" s="74">
        <f t="shared" si="40"/>
        <v>0</v>
      </c>
      <c r="AJ53" s="112">
        <f t="shared" si="32"/>
        <v>0</v>
      </c>
      <c r="AK53" s="74">
        <f t="shared" si="41"/>
        <v>0</v>
      </c>
      <c r="AL53" s="107">
        <f t="shared" si="33"/>
        <v>0</v>
      </c>
      <c r="AN53" s="74">
        <f t="shared" si="34"/>
        <v>0</v>
      </c>
      <c r="AP53" s="49"/>
    </row>
    <row r="54" spans="11:42" x14ac:dyDescent="0.25">
      <c r="K54">
        <v>46</v>
      </c>
      <c r="L54" s="74">
        <f t="shared" si="24"/>
        <v>0</v>
      </c>
      <c r="M54" s="74">
        <f t="shared" si="25"/>
        <v>0</v>
      </c>
      <c r="N54" s="51">
        <f t="shared" si="35"/>
        <v>0</v>
      </c>
      <c r="O54" s="51">
        <f t="shared" si="29"/>
        <v>0</v>
      </c>
      <c r="P54" s="51">
        <f>IF(K54&lt;$E$23+$E$22,1,0)*IF(K54&lt;$E$22,0,1)*OPEX!$F$7*((1+$E$24)^K54)</f>
        <v>0</v>
      </c>
      <c r="Q54" s="51">
        <f>IF(K54&lt;$E$23+$E$22,1,0)*IF(K54&lt;$E$22,0,-1)*OPEX!$F$30*(1+$E$24)^K54</f>
        <v>0</v>
      </c>
      <c r="R54" s="51">
        <f t="shared" si="36"/>
        <v>0</v>
      </c>
      <c r="S54" s="51">
        <f t="shared" si="30"/>
        <v>0</v>
      </c>
      <c r="T54" s="51">
        <f t="shared" si="37"/>
        <v>0</v>
      </c>
      <c r="U54" s="107">
        <f t="shared" si="31"/>
        <v>0</v>
      </c>
      <c r="V54" s="51">
        <f t="shared" si="38"/>
        <v>0</v>
      </c>
      <c r="W54" s="51">
        <f t="shared" si="26"/>
        <v>0</v>
      </c>
      <c r="X54" s="51">
        <f t="shared" si="22"/>
        <v>0</v>
      </c>
      <c r="Y54" s="51">
        <f t="shared" si="27"/>
        <v>0</v>
      </c>
      <c r="Z54" s="51">
        <f t="shared" si="19"/>
        <v>0</v>
      </c>
      <c r="AA54" s="51">
        <f t="shared" si="28"/>
        <v>0</v>
      </c>
      <c r="AC54" s="49">
        <f>IF(K54&gt;E$22+E$23-1,0,IF(K54&lt;$E$22,0,Streams!$A$7)*24*365*OPEX!$D$4)</f>
        <v>0</v>
      </c>
      <c r="AD54" s="49">
        <f t="shared" si="11"/>
        <v>0</v>
      </c>
      <c r="AE54" s="49">
        <f t="shared" si="12"/>
        <v>0</v>
      </c>
      <c r="AF54" s="49">
        <f t="shared" si="13"/>
        <v>0</v>
      </c>
      <c r="AH54" s="74">
        <f t="shared" si="39"/>
        <v>0</v>
      </c>
      <c r="AI54" s="74">
        <f t="shared" si="40"/>
        <v>0</v>
      </c>
      <c r="AJ54" s="112">
        <f t="shared" si="32"/>
        <v>0</v>
      </c>
      <c r="AK54" s="74">
        <f t="shared" si="41"/>
        <v>0</v>
      </c>
      <c r="AL54" s="107">
        <f t="shared" si="33"/>
        <v>0</v>
      </c>
      <c r="AN54" s="74">
        <f t="shared" si="34"/>
        <v>0</v>
      </c>
      <c r="AP54" s="49"/>
    </row>
    <row r="55" spans="11:42" x14ac:dyDescent="0.25">
      <c r="K55">
        <v>47</v>
      </c>
      <c r="L55" s="74">
        <f t="shared" si="24"/>
        <v>0</v>
      </c>
      <c r="M55" s="74">
        <f t="shared" si="25"/>
        <v>0</v>
      </c>
      <c r="N55" s="51">
        <f t="shared" si="35"/>
        <v>0</v>
      </c>
      <c r="O55" s="51">
        <f t="shared" si="29"/>
        <v>0</v>
      </c>
      <c r="P55" s="51">
        <f>IF(K55&lt;$E$23+$E$22,1,0)*IF(K55&lt;$E$22,0,1)*OPEX!$F$7*((1+$E$24)^K55)</f>
        <v>0</v>
      </c>
      <c r="Q55" s="51">
        <f>IF(K55&lt;$E$23+$E$22,1,0)*IF(K55&lt;$E$22,0,-1)*OPEX!$F$30*(1+$E$24)^K55</f>
        <v>0</v>
      </c>
      <c r="R55" s="51">
        <f t="shared" si="36"/>
        <v>0</v>
      </c>
      <c r="S55" s="51">
        <f t="shared" si="30"/>
        <v>0</v>
      </c>
      <c r="T55" s="51">
        <f t="shared" si="37"/>
        <v>0</v>
      </c>
      <c r="U55" s="107">
        <f t="shared" si="31"/>
        <v>0</v>
      </c>
      <c r="V55" s="51">
        <f t="shared" si="38"/>
        <v>0</v>
      </c>
      <c r="W55" s="51">
        <f t="shared" si="26"/>
        <v>0</v>
      </c>
      <c r="X55" s="51">
        <f t="shared" si="22"/>
        <v>0</v>
      </c>
      <c r="Y55" s="51">
        <f t="shared" si="27"/>
        <v>0</v>
      </c>
      <c r="Z55" s="51">
        <f t="shared" si="19"/>
        <v>0</v>
      </c>
      <c r="AA55" s="51">
        <f t="shared" si="28"/>
        <v>0</v>
      </c>
      <c r="AC55" s="49">
        <f>IF(K55&gt;E$22+E$23-1,0,IF(K55&lt;$E$22,0,Streams!$A$7)*24*365*OPEX!$D$4)</f>
        <v>0</v>
      </c>
      <c r="AD55" s="49">
        <f t="shared" si="11"/>
        <v>0</v>
      </c>
      <c r="AE55" s="49">
        <f t="shared" si="12"/>
        <v>0</v>
      </c>
      <c r="AF55" s="49">
        <f t="shared" si="13"/>
        <v>0</v>
      </c>
      <c r="AH55" s="74">
        <f t="shared" si="39"/>
        <v>0</v>
      </c>
      <c r="AI55" s="74">
        <f t="shared" si="40"/>
        <v>0</v>
      </c>
      <c r="AJ55" s="112">
        <f t="shared" si="32"/>
        <v>0</v>
      </c>
      <c r="AK55" s="74">
        <f t="shared" si="41"/>
        <v>0</v>
      </c>
      <c r="AL55" s="107">
        <f t="shared" si="33"/>
        <v>0</v>
      </c>
      <c r="AN55" s="74">
        <f t="shared" si="34"/>
        <v>0</v>
      </c>
      <c r="AP55" s="49"/>
    </row>
    <row r="56" spans="11:42" x14ac:dyDescent="0.25">
      <c r="K56">
        <v>48</v>
      </c>
      <c r="L56" s="74">
        <f t="shared" si="24"/>
        <v>0</v>
      </c>
      <c r="M56" s="74">
        <f t="shared" si="25"/>
        <v>0</v>
      </c>
      <c r="N56" s="51">
        <f t="shared" si="35"/>
        <v>0</v>
      </c>
      <c r="O56" s="51">
        <f t="shared" si="29"/>
        <v>0</v>
      </c>
      <c r="P56" s="51">
        <f>IF(K56&lt;$E$23+$E$22,1,0)*IF(K56&lt;$E$22,0,1)*OPEX!$F$7*((1+$E$24)^K56)</f>
        <v>0</v>
      </c>
      <c r="Q56" s="51">
        <f>IF(K56&lt;$E$23+$E$22,1,0)*IF(K56&lt;$E$22,0,-1)*OPEX!$F$30*(1+$E$24)^K56</f>
        <v>0</v>
      </c>
      <c r="R56" s="51">
        <f t="shared" si="36"/>
        <v>0</v>
      </c>
      <c r="S56" s="51">
        <f t="shared" si="30"/>
        <v>0</v>
      </c>
      <c r="T56" s="51">
        <f t="shared" si="37"/>
        <v>0</v>
      </c>
      <c r="U56" s="107">
        <f t="shared" si="31"/>
        <v>0</v>
      </c>
      <c r="V56" s="51">
        <f t="shared" si="38"/>
        <v>0</v>
      </c>
      <c r="W56" s="51">
        <f t="shared" si="26"/>
        <v>0</v>
      </c>
      <c r="X56" s="51">
        <f t="shared" si="22"/>
        <v>0</v>
      </c>
      <c r="Y56" s="51">
        <f t="shared" si="27"/>
        <v>0</v>
      </c>
      <c r="Z56" s="51">
        <f t="shared" si="19"/>
        <v>0</v>
      </c>
      <c r="AA56" s="51">
        <f t="shared" si="28"/>
        <v>0</v>
      </c>
      <c r="AC56" s="49">
        <f>IF(K56&gt;E$22+E$23-1,0,IF(K56&lt;$E$22,0,Streams!$A$7)*24*365*OPEX!$D$4)</f>
        <v>0</v>
      </c>
      <c r="AD56" s="49">
        <f t="shared" si="11"/>
        <v>0</v>
      </c>
      <c r="AE56" s="49">
        <f t="shared" si="12"/>
        <v>0</v>
      </c>
      <c r="AF56" s="49">
        <f t="shared" si="13"/>
        <v>0</v>
      </c>
      <c r="AH56" s="74">
        <f t="shared" si="39"/>
        <v>0</v>
      </c>
      <c r="AI56" s="74">
        <f t="shared" si="40"/>
        <v>0</v>
      </c>
      <c r="AJ56" s="112">
        <f t="shared" si="32"/>
        <v>0</v>
      </c>
      <c r="AK56" s="74">
        <f t="shared" si="41"/>
        <v>0</v>
      </c>
      <c r="AL56" s="107">
        <f t="shared" si="33"/>
        <v>0</v>
      </c>
      <c r="AN56" s="74">
        <f t="shared" si="34"/>
        <v>0</v>
      </c>
      <c r="AP56" s="49"/>
    </row>
    <row r="57" spans="11:42" x14ac:dyDescent="0.25">
      <c r="K57">
        <v>49</v>
      </c>
      <c r="L57" s="74">
        <f t="shared" si="24"/>
        <v>0</v>
      </c>
      <c r="M57" s="74">
        <f t="shared" si="25"/>
        <v>0</v>
      </c>
      <c r="N57" s="51">
        <f t="shared" si="35"/>
        <v>0</v>
      </c>
      <c r="O57" s="51">
        <f t="shared" si="29"/>
        <v>0</v>
      </c>
      <c r="P57" s="51">
        <f>IF(K57&lt;$E$23+$E$22,1,0)*IF(K57&lt;$E$22,0,1)*OPEX!$F$7*((1+$E$24)^K57)</f>
        <v>0</v>
      </c>
      <c r="Q57" s="51">
        <f>IF(K57&lt;$E$23+$E$22,1,0)*IF(K57&lt;$E$22,0,-1)*OPEX!$F$30*(1+$E$24)^K57</f>
        <v>0</v>
      </c>
      <c r="R57" s="51">
        <f t="shared" si="36"/>
        <v>0</v>
      </c>
      <c r="S57" s="51">
        <f t="shared" si="30"/>
        <v>0</v>
      </c>
      <c r="T57" s="51">
        <f t="shared" si="37"/>
        <v>0</v>
      </c>
      <c r="U57" s="107">
        <f t="shared" si="31"/>
        <v>0</v>
      </c>
      <c r="V57" s="51">
        <f t="shared" si="38"/>
        <v>0</v>
      </c>
      <c r="W57" s="51">
        <f t="shared" si="26"/>
        <v>0</v>
      </c>
      <c r="X57" s="51">
        <f t="shared" si="22"/>
        <v>0</v>
      </c>
      <c r="Y57" s="51">
        <f t="shared" si="27"/>
        <v>0</v>
      </c>
      <c r="Z57" s="51">
        <f t="shared" si="19"/>
        <v>0</v>
      </c>
      <c r="AA57" s="51">
        <f t="shared" si="28"/>
        <v>0</v>
      </c>
      <c r="AC57" s="49">
        <f>IF(K57&gt;E$22+E$23-1,0,IF(K57&lt;$E$22,0,Streams!$A$7)*24*365*OPEX!$D$4)</f>
        <v>0</v>
      </c>
      <c r="AD57" s="49">
        <f t="shared" si="11"/>
        <v>0</v>
      </c>
      <c r="AE57" s="49">
        <f t="shared" si="12"/>
        <v>0</v>
      </c>
      <c r="AF57" s="49">
        <f t="shared" si="13"/>
        <v>0</v>
      </c>
      <c r="AH57" s="74">
        <f t="shared" si="39"/>
        <v>0</v>
      </c>
      <c r="AI57" s="74">
        <f t="shared" si="40"/>
        <v>0</v>
      </c>
      <c r="AJ57" s="112">
        <f t="shared" si="32"/>
        <v>0</v>
      </c>
      <c r="AK57" s="74">
        <f t="shared" si="41"/>
        <v>0</v>
      </c>
      <c r="AL57" s="107">
        <f t="shared" si="33"/>
        <v>0</v>
      </c>
      <c r="AN57" s="74">
        <f t="shared" si="34"/>
        <v>0</v>
      </c>
      <c r="AP57" s="49"/>
    </row>
    <row r="58" spans="11:42" x14ac:dyDescent="0.25">
      <c r="K58">
        <v>50</v>
      </c>
      <c r="L58" s="74">
        <f t="shared" si="24"/>
        <v>0</v>
      </c>
      <c r="M58" s="74">
        <f t="shared" si="25"/>
        <v>0</v>
      </c>
      <c r="N58" s="51">
        <f t="shared" si="35"/>
        <v>0</v>
      </c>
      <c r="O58" s="51">
        <f t="shared" si="29"/>
        <v>0</v>
      </c>
      <c r="P58" s="51">
        <f>IF(K58&lt;$E$23+$E$22,1,0)*IF(K58&lt;$E$22,0,1)*OPEX!$F$7*((1+$E$24)^K58)</f>
        <v>0</v>
      </c>
      <c r="Q58" s="51">
        <f>IF(K58&lt;$E$23+$E$22,1,0)*IF(K58&lt;$E$22,0,-1)*OPEX!$F$30*(1+$E$24)^K58</f>
        <v>0</v>
      </c>
      <c r="R58" s="51">
        <f t="shared" si="36"/>
        <v>0</v>
      </c>
      <c r="S58" s="51">
        <f t="shared" si="30"/>
        <v>0</v>
      </c>
      <c r="T58" s="51">
        <f t="shared" si="37"/>
        <v>0</v>
      </c>
      <c r="U58" s="107">
        <f t="shared" si="31"/>
        <v>0</v>
      </c>
      <c r="V58" s="51">
        <f t="shared" si="38"/>
        <v>0</v>
      </c>
      <c r="W58" s="51">
        <f t="shared" si="26"/>
        <v>0</v>
      </c>
      <c r="X58" s="51">
        <f t="shared" si="22"/>
        <v>0</v>
      </c>
      <c r="Y58" s="51">
        <f t="shared" si="27"/>
        <v>0</v>
      </c>
      <c r="Z58" s="51">
        <f t="shared" si="19"/>
        <v>0</v>
      </c>
      <c r="AA58" s="51">
        <f t="shared" si="28"/>
        <v>0</v>
      </c>
      <c r="AC58" s="49">
        <f>IF(K58&gt;E$22+E$23-1,0,IF(K58&lt;$E$22,0,Streams!$A$7)*24*365*OPEX!$D$4)</f>
        <v>0</v>
      </c>
      <c r="AD58" s="49">
        <f t="shared" si="11"/>
        <v>0</v>
      </c>
      <c r="AE58" s="49">
        <f t="shared" si="12"/>
        <v>0</v>
      </c>
      <c r="AF58" s="49">
        <f t="shared" si="13"/>
        <v>0</v>
      </c>
      <c r="AH58" s="74">
        <f t="shared" si="39"/>
        <v>0</v>
      </c>
      <c r="AI58" s="74">
        <f t="shared" si="40"/>
        <v>0</v>
      </c>
      <c r="AJ58" s="112">
        <f t="shared" si="32"/>
        <v>0</v>
      </c>
      <c r="AK58" s="74">
        <f t="shared" si="41"/>
        <v>0</v>
      </c>
      <c r="AL58" s="107">
        <f t="shared" si="33"/>
        <v>0</v>
      </c>
      <c r="AN58" s="74">
        <f t="shared" si="34"/>
        <v>0</v>
      </c>
      <c r="AP58" s="49"/>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70C0"/>
  </sheetPr>
  <dimension ref="A1:M29"/>
  <sheetViews>
    <sheetView zoomScaleNormal="100" workbookViewId="0">
      <selection activeCell="C29" sqref="C29"/>
    </sheetView>
  </sheetViews>
  <sheetFormatPr defaultRowHeight="15" x14ac:dyDescent="0.25"/>
  <cols>
    <col min="3" max="3" width="38.42578125" customWidth="1"/>
    <col min="4" max="4" width="6.42578125" customWidth="1"/>
    <col min="5" max="5" width="16.42578125" bestFit="1" customWidth="1"/>
    <col min="6" max="6" width="11.140625" customWidth="1"/>
    <col min="9" max="9" width="14.42578125" bestFit="1" customWidth="1"/>
    <col min="12" max="12" width="11" bestFit="1" customWidth="1"/>
  </cols>
  <sheetData>
    <row r="1" spans="1:8" ht="21" x14ac:dyDescent="0.35">
      <c r="A1" s="79" t="s">
        <v>591</v>
      </c>
    </row>
    <row r="2" spans="1:8" x14ac:dyDescent="0.25">
      <c r="A2" s="10" t="s">
        <v>592</v>
      </c>
    </row>
    <row r="7" spans="1:8" x14ac:dyDescent="0.25">
      <c r="C7" s="84" t="s">
        <v>593</v>
      </c>
      <c r="D7" s="84"/>
      <c r="E7" s="78"/>
      <c r="F7" s="78"/>
      <c r="G7" s="78"/>
      <c r="H7" s="78"/>
    </row>
    <row r="8" spans="1:8" x14ac:dyDescent="0.25">
      <c r="C8" t="s">
        <v>594</v>
      </c>
      <c r="E8" s="51">
        <f>Financial!AA6</f>
        <v>-11340.163717995252</v>
      </c>
    </row>
    <row r="9" spans="1:8" x14ac:dyDescent="0.25">
      <c r="C9" t="s">
        <v>595</v>
      </c>
      <c r="E9" s="186">
        <v>4.3423648911810858E-2</v>
      </c>
    </row>
    <row r="11" spans="1:8" x14ac:dyDescent="0.25">
      <c r="C11" t="s">
        <v>313</v>
      </c>
      <c r="E11" s="51">
        <f>CAPEX!F17</f>
        <v>6796.4285714285716</v>
      </c>
    </row>
    <row r="14" spans="1:8" x14ac:dyDescent="0.25">
      <c r="C14" s="84" t="s">
        <v>596</v>
      </c>
      <c r="D14" s="84"/>
      <c r="E14" s="78"/>
      <c r="F14" s="78"/>
      <c r="G14" s="78"/>
      <c r="H14" s="78"/>
    </row>
    <row r="16" spans="1:8" x14ac:dyDescent="0.25">
      <c r="C16" t="s">
        <v>597</v>
      </c>
      <c r="E16" s="49">
        <f>VLOOKUP(Streams!$A$6,Streams!$A$17:$E$937,5,FALSE)*24*365*OPEX!D4</f>
        <v>0</v>
      </c>
      <c r="F16" t="s">
        <v>598</v>
      </c>
    </row>
    <row r="18" spans="3:13" x14ac:dyDescent="0.25">
      <c r="C18" t="s">
        <v>599</v>
      </c>
      <c r="E18" s="115">
        <f>Utilities!$E$5*24*365*OPEX!D4</f>
        <v>0</v>
      </c>
      <c r="F18" t="s">
        <v>600</v>
      </c>
    </row>
    <row r="20" spans="3:13" x14ac:dyDescent="0.25">
      <c r="C20" t="s">
        <v>601</v>
      </c>
      <c r="E20" s="156" t="e">
        <f>E18*(1/E16)</f>
        <v>#DIV/0!</v>
      </c>
      <c r="F20" t="s">
        <v>602</v>
      </c>
      <c r="I20" s="49"/>
    </row>
    <row r="22" spans="3:13" x14ac:dyDescent="0.25">
      <c r="C22" t="s">
        <v>603</v>
      </c>
      <c r="D22" s="42" t="s">
        <v>604</v>
      </c>
      <c r="E22" s="154" t="e">
        <f>SUM(E23:E24)</f>
        <v>#N/A</v>
      </c>
      <c r="F22" t="str">
        <f>"kg"&amp;D$22&amp;"/kg"</f>
        <v>kgCO2/kg</v>
      </c>
    </row>
    <row r="23" spans="3:13" x14ac:dyDescent="0.25">
      <c r="C23" t="s">
        <v>605</v>
      </c>
      <c r="E23" s="154" t="e">
        <f>(-1)*IF(HLOOKUP(D22,Compositions!AT7:AV8,2,FALSE)*(1/E16)*(1/1000)*24*365&lt;0,HLOOKUP(D22,Compositions!AT7:AV8,2,FALSE)*(1/E16)*(1/1000)*24*365,0)</f>
        <v>#N/A</v>
      </c>
      <c r="F23" t="str">
        <f>"kg"&amp;D$22&amp;"/kg"</f>
        <v>kgCO2/kg</v>
      </c>
    </row>
    <row r="24" spans="3:13" s="6" customFormat="1" x14ac:dyDescent="0.25">
      <c r="C24" s="6" t="s">
        <v>606</v>
      </c>
      <c r="E24" s="155" t="e">
        <f>IF(D22="CO2",Utilities!I5*(1/E16)*(1/1000),"n/a")</f>
        <v>#DIV/0!</v>
      </c>
      <c r="F24" t="str">
        <f>"kg"&amp;D$22&amp;"/kg"</f>
        <v>kgCO2/kg</v>
      </c>
      <c r="L24"/>
      <c r="M24"/>
    </row>
    <row r="26" spans="3:13" x14ac:dyDescent="0.25">
      <c r="C26" t="s">
        <v>607</v>
      </c>
    </row>
    <row r="27" spans="3:13" x14ac:dyDescent="0.25">
      <c r="C27" s="119" t="s">
        <v>608</v>
      </c>
      <c r="E27" s="157" t="e">
        <f>OPEX!F30*(1/E16)</f>
        <v>#DIV/0!</v>
      </c>
      <c r="F27" t="s">
        <v>609</v>
      </c>
    </row>
    <row r="28" spans="3:13" x14ac:dyDescent="0.25">
      <c r="C28" s="119" t="s">
        <v>610</v>
      </c>
      <c r="E28" s="48" t="e">
        <f>(-1)*INDEX(Financial!$AF$8:$AF$58, Financial!$E$22+1)/INDEX(Financial!$AD$8:$AD$58, Financial!$E$22+1)</f>
        <v>#DIV/0!</v>
      </c>
      <c r="F28" t="s">
        <v>609</v>
      </c>
    </row>
    <row r="29" spans="3:13" x14ac:dyDescent="0.25">
      <c r="C29" s="119" t="s">
        <v>611</v>
      </c>
      <c r="E29" s="47" t="e">
        <f>-Financial!AF6/Financial!AD6</f>
        <v>#DIV/0!</v>
      </c>
      <c r="F29" t="s">
        <v>609</v>
      </c>
    </row>
  </sheetData>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0" tint="-0.499984740745262"/>
  </sheetPr>
  <dimension ref="A1:BG115"/>
  <sheetViews>
    <sheetView zoomScale="85" zoomScaleNormal="85" workbookViewId="0">
      <selection activeCell="N19" sqref="N19"/>
    </sheetView>
  </sheetViews>
  <sheetFormatPr defaultRowHeight="15" x14ac:dyDescent="0.25"/>
  <cols>
    <col min="1" max="1" width="13.5703125" customWidth="1"/>
    <col min="6" max="6" width="18.42578125" customWidth="1"/>
    <col min="7" max="7" width="11" customWidth="1"/>
    <col min="15" max="15" width="16.5703125" customWidth="1"/>
    <col min="17" max="17" width="9.85546875" customWidth="1"/>
    <col min="22" max="22" width="10.85546875" bestFit="1" customWidth="1"/>
    <col min="25" max="25" width="17.42578125" customWidth="1"/>
    <col min="27" max="27" width="13.140625" customWidth="1"/>
    <col min="28" max="28" width="15.85546875" customWidth="1"/>
    <col min="29" max="29" width="8.140625" customWidth="1"/>
    <col min="30" max="30" width="11.85546875" customWidth="1"/>
    <col min="31" max="31" width="16.5703125" customWidth="1"/>
    <col min="32" max="32" width="8.85546875" customWidth="1"/>
    <col min="39" max="39" width="13.5703125" customWidth="1"/>
    <col min="41" max="41" width="12.5703125" customWidth="1"/>
    <col min="47" max="47" width="13" customWidth="1"/>
    <col min="48" max="48" width="6.5703125" customWidth="1"/>
    <col min="49" max="49" width="14.42578125" bestFit="1" customWidth="1"/>
    <col min="50" max="50" width="14" customWidth="1"/>
    <col min="51" max="51" width="15.42578125" customWidth="1"/>
    <col min="52" max="52" width="68.85546875" style="567" customWidth="1"/>
    <col min="53" max="53" width="16.42578125" style="567" customWidth="1"/>
    <col min="54" max="54" width="22.140625" customWidth="1"/>
    <col min="55" max="55" width="20.42578125" customWidth="1"/>
    <col min="56" max="56" width="23.85546875" customWidth="1"/>
    <col min="57" max="57" width="32.85546875" customWidth="1"/>
    <col min="58" max="58" width="26.85546875" customWidth="1"/>
    <col min="59" max="59" width="84.140625" customWidth="1"/>
  </cols>
  <sheetData>
    <row r="1" spans="1:59" x14ac:dyDescent="0.25">
      <c r="A1" s="823" t="s">
        <v>612</v>
      </c>
      <c r="B1" s="823"/>
      <c r="C1" s="823"/>
      <c r="D1" s="823"/>
      <c r="Y1" s="17" t="s">
        <v>613</v>
      </c>
      <c r="Z1" s="6">
        <f>Financial!$E$32</f>
        <v>2012</v>
      </c>
      <c r="AE1" s="17" t="s">
        <v>613</v>
      </c>
      <c r="AF1" s="6">
        <f>Financial!$E$32</f>
        <v>2012</v>
      </c>
      <c r="AZ1" s="762"/>
      <c r="BA1" s="762"/>
    </row>
    <row r="2" spans="1:59" ht="21" x14ac:dyDescent="0.35">
      <c r="A2" s="1" t="s">
        <v>614</v>
      </c>
      <c r="AZ2" s="762"/>
      <c r="BA2" s="762"/>
      <c r="BD2" s="461"/>
    </row>
    <row r="3" spans="1:59" x14ac:dyDescent="0.25">
      <c r="A3" s="8" t="s">
        <v>615</v>
      </c>
      <c r="B3" s="8"/>
      <c r="C3" s="8"/>
      <c r="F3" s="8" t="s">
        <v>616</v>
      </c>
      <c r="G3" s="8"/>
      <c r="J3" s="8" t="s">
        <v>617</v>
      </c>
      <c r="K3" s="8"/>
      <c r="L3" s="8"/>
      <c r="M3" s="13"/>
      <c r="N3" s="13"/>
      <c r="O3" s="8" t="s">
        <v>618</v>
      </c>
      <c r="P3" s="8"/>
      <c r="Q3" s="8"/>
      <c r="R3" s="13"/>
      <c r="S3" s="13"/>
      <c r="T3" s="8" t="s">
        <v>619</v>
      </c>
      <c r="U3" s="8"/>
      <c r="V3" s="8"/>
      <c r="Y3" s="8" t="s">
        <v>620</v>
      </c>
      <c r="Z3" s="8"/>
      <c r="AA3" s="26"/>
      <c r="AB3" s="26"/>
      <c r="AE3" s="8" t="s">
        <v>621</v>
      </c>
      <c r="AF3" s="8"/>
      <c r="AG3" s="26"/>
      <c r="AH3" s="26"/>
      <c r="AI3" s="26"/>
      <c r="AJ3" s="26"/>
      <c r="AM3" s="8" t="s">
        <v>622</v>
      </c>
      <c r="AN3" s="8"/>
      <c r="AO3" s="26"/>
      <c r="AP3" s="26"/>
      <c r="AX3" s="617" t="s">
        <v>623</v>
      </c>
      <c r="AY3" s="617" t="s">
        <v>624</v>
      </c>
      <c r="AZ3" s="762" t="s">
        <v>625</v>
      </c>
      <c r="BA3" s="762"/>
      <c r="BB3" s="809"/>
      <c r="BC3" s="809"/>
      <c r="BD3" s="809"/>
      <c r="BE3" s="809"/>
      <c r="BF3" s="809"/>
      <c r="BG3" s="762"/>
    </row>
    <row r="4" spans="1:59" x14ac:dyDescent="0.25">
      <c r="A4" s="4" t="s">
        <v>115</v>
      </c>
      <c r="B4" s="4" t="s">
        <v>626</v>
      </c>
      <c r="C4" s="5" t="s">
        <v>124</v>
      </c>
      <c r="F4" s="27" t="s">
        <v>114</v>
      </c>
      <c r="G4" s="27" t="s">
        <v>627</v>
      </c>
      <c r="J4" s="13" t="s">
        <v>628</v>
      </c>
      <c r="K4" s="12"/>
      <c r="L4" s="12"/>
      <c r="M4" s="27"/>
      <c r="N4" s="27"/>
      <c r="O4" s="44" t="s">
        <v>629</v>
      </c>
      <c r="R4" s="27"/>
      <c r="S4" s="27"/>
      <c r="T4" s="44" t="s">
        <v>630</v>
      </c>
      <c r="U4" s="27"/>
      <c r="V4" s="104">
        <v>41274</v>
      </c>
      <c r="Y4" s="44" t="s">
        <v>631</v>
      </c>
      <c r="AE4" s="44" t="s">
        <v>632</v>
      </c>
      <c r="AF4" s="44"/>
      <c r="AM4" t="s">
        <v>633</v>
      </c>
      <c r="AN4" t="s">
        <v>74</v>
      </c>
      <c r="AO4" s="145">
        <v>10000000</v>
      </c>
      <c r="AP4" s="29" t="s">
        <v>598</v>
      </c>
      <c r="AQ4" s="190">
        <v>14514973.101940438</v>
      </c>
      <c r="AX4" s="568">
        <v>0.995</v>
      </c>
      <c r="AY4" s="569">
        <v>30</v>
      </c>
      <c r="AZ4" s="762" t="s">
        <v>634</v>
      </c>
      <c r="BA4" s="762"/>
      <c r="BB4" s="643"/>
      <c r="BC4" s="768"/>
      <c r="BD4" s="768"/>
      <c r="BE4" s="768"/>
      <c r="BF4" s="768"/>
    </row>
    <row r="5" spans="1:59" x14ac:dyDescent="0.25">
      <c r="A5" t="s">
        <v>635</v>
      </c>
      <c r="C5">
        <v>0</v>
      </c>
      <c r="F5" t="s">
        <v>636</v>
      </c>
      <c r="G5">
        <v>52.224661236371581</v>
      </c>
      <c r="J5" s="43" t="s">
        <v>375</v>
      </c>
      <c r="K5" s="43" t="s">
        <v>637</v>
      </c>
      <c r="L5" s="27"/>
      <c r="O5" s="13" t="s">
        <v>638</v>
      </c>
      <c r="P5" s="27"/>
      <c r="Q5" s="27"/>
      <c r="T5" s="4" t="s">
        <v>639</v>
      </c>
      <c r="U5" s="4" t="s">
        <v>640</v>
      </c>
      <c r="Y5" s="27" t="s">
        <v>641</v>
      </c>
      <c r="Z5" s="27"/>
      <c r="AB5" s="4" t="s">
        <v>375</v>
      </c>
      <c r="AE5" s="44"/>
      <c r="AF5" s="44"/>
      <c r="AG5" t="s">
        <v>642</v>
      </c>
      <c r="AM5" t="s">
        <v>643</v>
      </c>
      <c r="AN5" t="s">
        <v>46</v>
      </c>
      <c r="AO5" s="145">
        <v>100000000</v>
      </c>
      <c r="AP5" s="29" t="s">
        <v>598</v>
      </c>
      <c r="AX5" s="568">
        <v>0.998</v>
      </c>
      <c r="AY5" s="569">
        <v>150</v>
      </c>
      <c r="AZ5" s="762"/>
      <c r="BA5" s="762"/>
      <c r="BB5" s="198"/>
      <c r="BC5" s="198"/>
      <c r="BD5" s="751"/>
      <c r="BE5" s="752"/>
      <c r="BF5" s="651"/>
    </row>
    <row r="6" spans="1:59" x14ac:dyDescent="0.25">
      <c r="A6" t="s">
        <v>644</v>
      </c>
      <c r="B6" t="s">
        <v>645</v>
      </c>
      <c r="C6">
        <v>227</v>
      </c>
      <c r="F6" t="s">
        <v>646</v>
      </c>
      <c r="G6">
        <v>142.1813515008283</v>
      </c>
      <c r="J6" s="35">
        <v>1990</v>
      </c>
      <c r="K6" s="33">
        <v>357.6</v>
      </c>
      <c r="O6" s="43" t="s">
        <v>375</v>
      </c>
      <c r="P6" s="43" t="s">
        <v>637</v>
      </c>
      <c r="Q6" s="43"/>
      <c r="T6">
        <v>1</v>
      </c>
      <c r="U6">
        <v>0.16</v>
      </c>
      <c r="Y6" t="s">
        <v>636</v>
      </c>
      <c r="Z6" s="42">
        <f>3.03/1.05505585</f>
        <v>2.8718858816810502</v>
      </c>
      <c r="AA6" t="s">
        <v>647</v>
      </c>
      <c r="AB6">
        <v>2012</v>
      </c>
      <c r="AE6" s="27" t="s">
        <v>114</v>
      </c>
      <c r="AF6" s="27" t="s">
        <v>609</v>
      </c>
      <c r="AG6" s="4" t="s">
        <v>648</v>
      </c>
      <c r="AH6" s="4" t="s">
        <v>533</v>
      </c>
      <c r="AI6" s="4" t="s">
        <v>649</v>
      </c>
      <c r="AJ6" s="4" t="s">
        <v>650</v>
      </c>
      <c r="AM6" t="s">
        <v>651</v>
      </c>
      <c r="AN6" t="s">
        <v>67</v>
      </c>
      <c r="AO6" s="145">
        <v>20000000</v>
      </c>
      <c r="AP6" s="29" t="s">
        <v>598</v>
      </c>
      <c r="AX6" s="568">
        <v>0.99950000000000006</v>
      </c>
      <c r="AY6" s="569">
        <v>300</v>
      </c>
      <c r="AZ6" s="762"/>
      <c r="BA6" s="762"/>
      <c r="BB6" s="198"/>
      <c r="BC6" s="198"/>
      <c r="BD6" s="594"/>
      <c r="BE6" s="752"/>
      <c r="BF6" s="651"/>
    </row>
    <row r="7" spans="1:59" x14ac:dyDescent="0.25">
      <c r="A7" t="s">
        <v>652</v>
      </c>
      <c r="B7" t="s">
        <v>653</v>
      </c>
      <c r="C7">
        <v>107.8682</v>
      </c>
      <c r="F7" t="s">
        <v>654</v>
      </c>
      <c r="G7">
        <v>27.267409091284208</v>
      </c>
      <c r="J7" s="35">
        <v>1991</v>
      </c>
      <c r="K7" s="33">
        <v>361.3</v>
      </c>
      <c r="O7" s="35">
        <v>2000</v>
      </c>
      <c r="P7">
        <v>151</v>
      </c>
      <c r="T7">
        <v>2</v>
      </c>
      <c r="U7">
        <v>0.25</v>
      </c>
      <c r="Y7" t="s">
        <v>655</v>
      </c>
      <c r="Z7" s="42">
        <f>3/1.05505585</f>
        <v>2.8434513680010398</v>
      </c>
      <c r="AA7" t="s">
        <v>647</v>
      </c>
      <c r="AB7">
        <v>2012</v>
      </c>
      <c r="AE7" t="s">
        <v>656</v>
      </c>
      <c r="AF7" s="46">
        <f>IF(AG7="$/lb",AH7*2.20462,IF(AG7="$/ton",AH7/1000,IF(AG7="$/kg",AH7,"other")))</f>
        <v>2.8889841822157436</v>
      </c>
      <c r="AG7" t="s">
        <v>657</v>
      </c>
      <c r="AH7">
        <f t="shared" ref="AH7:AH27" si="0">AI7*VLOOKUP($AF$1,$O$7:$P$19,2,FALSE)*(1/VLOOKUP(AJ7,$O$7:$P$19,2,FALSE))</f>
        <v>1.3104227405247815</v>
      </c>
      <c r="AI7">
        <f>AVERAGE(0.95,1)</f>
        <v>0.97499999999999998</v>
      </c>
      <c r="AJ7">
        <v>2006</v>
      </c>
      <c r="AM7" t="s">
        <v>658</v>
      </c>
      <c r="AN7" t="s">
        <v>46</v>
      </c>
      <c r="AO7" s="145">
        <v>1000000</v>
      </c>
      <c r="AP7" s="29" t="s">
        <v>598</v>
      </c>
      <c r="AX7" s="568">
        <v>0.99990000000000001</v>
      </c>
      <c r="AY7" s="569">
        <v>500</v>
      </c>
      <c r="AZ7" s="762"/>
      <c r="BA7" s="762"/>
      <c r="BB7" s="198"/>
      <c r="BC7" s="198"/>
      <c r="BD7" s="594"/>
      <c r="BE7" s="752"/>
      <c r="BF7" s="651"/>
    </row>
    <row r="8" spans="1:59" x14ac:dyDescent="0.25">
      <c r="A8" t="s">
        <v>643</v>
      </c>
      <c r="B8" t="s">
        <v>46</v>
      </c>
      <c r="C8">
        <v>26.9815</v>
      </c>
      <c r="F8" t="s">
        <v>659</v>
      </c>
      <c r="G8">
        <v>31.307761814960006</v>
      </c>
      <c r="J8" s="35">
        <v>1992</v>
      </c>
      <c r="K8" s="33">
        <v>358.2</v>
      </c>
      <c r="O8" s="35">
        <v>2001</v>
      </c>
      <c r="P8">
        <v>151.80000000000001</v>
      </c>
      <c r="T8">
        <v>3</v>
      </c>
      <c r="U8">
        <v>0.36</v>
      </c>
      <c r="Y8" t="s">
        <v>659</v>
      </c>
      <c r="Z8" s="42">
        <v>2.46</v>
      </c>
      <c r="AA8" t="s">
        <v>647</v>
      </c>
      <c r="AB8" s="45">
        <v>2010</v>
      </c>
      <c r="AE8" t="s">
        <v>660</v>
      </c>
      <c r="AF8" s="46">
        <f t="shared" ref="AF8:AF27" si="1">IF(AG8="$/lb",AH8*2.20462,IF(AG8="$/ton",AH8/1000,IF(AG8="$/kg",AH8,"other")))</f>
        <v>0.12593498542274054</v>
      </c>
      <c r="AG8" t="s">
        <v>661</v>
      </c>
      <c r="AH8">
        <f t="shared" si="0"/>
        <v>125.93498542274054</v>
      </c>
      <c r="AI8">
        <v>93.7</v>
      </c>
      <c r="AJ8">
        <v>2006</v>
      </c>
      <c r="AM8" t="s">
        <v>59</v>
      </c>
      <c r="AN8" t="s">
        <v>45</v>
      </c>
      <c r="AO8" s="145">
        <v>160000000</v>
      </c>
      <c r="AP8" s="29" t="s">
        <v>598</v>
      </c>
      <c r="AX8" s="571">
        <v>0.99997000000000003</v>
      </c>
      <c r="AY8" s="572">
        <v>5000</v>
      </c>
      <c r="AZ8" s="762"/>
      <c r="BA8" s="762"/>
      <c r="BB8" s="198"/>
      <c r="BC8" s="198"/>
      <c r="BD8" s="594"/>
      <c r="BE8" s="752"/>
      <c r="BF8" s="651"/>
    </row>
    <row r="9" spans="1:59" x14ac:dyDescent="0.25">
      <c r="A9" t="s">
        <v>662</v>
      </c>
      <c r="B9" t="s">
        <v>663</v>
      </c>
      <c r="C9">
        <v>243</v>
      </c>
      <c r="F9" t="s">
        <v>664</v>
      </c>
      <c r="G9">
        <v>46.535696648144757</v>
      </c>
      <c r="J9" s="35">
        <v>1993</v>
      </c>
      <c r="K9" s="33">
        <v>359.2</v>
      </c>
      <c r="O9" s="35">
        <v>2002</v>
      </c>
      <c r="P9">
        <v>151.9</v>
      </c>
      <c r="T9">
        <v>5</v>
      </c>
      <c r="U9">
        <v>0.72</v>
      </c>
      <c r="AE9" t="s">
        <v>665</v>
      </c>
      <c r="AF9" s="46">
        <f t="shared" si="1"/>
        <v>0.34608600583090376</v>
      </c>
      <c r="AG9" t="s">
        <v>661</v>
      </c>
      <c r="AH9">
        <f t="shared" si="0"/>
        <v>346.08600583090379</v>
      </c>
      <c r="AI9">
        <f>AVERAGE(190,325)</f>
        <v>257.5</v>
      </c>
      <c r="AJ9">
        <v>2006</v>
      </c>
      <c r="AX9" s="574"/>
      <c r="AY9" s="575"/>
      <c r="AZ9" s="762"/>
      <c r="BA9" s="762"/>
      <c r="BB9" s="198"/>
      <c r="BC9" s="198"/>
      <c r="BD9" s="594"/>
      <c r="BE9" s="752"/>
      <c r="BF9" s="651"/>
    </row>
    <row r="10" spans="1:59" x14ac:dyDescent="0.25">
      <c r="A10" t="s">
        <v>666</v>
      </c>
      <c r="B10" t="s">
        <v>667</v>
      </c>
      <c r="C10">
        <v>39.948</v>
      </c>
      <c r="F10" t="s">
        <v>668</v>
      </c>
      <c r="G10">
        <v>50.235464333218552</v>
      </c>
      <c r="J10" s="35">
        <v>1994</v>
      </c>
      <c r="K10" s="33">
        <v>368.1</v>
      </c>
      <c r="O10" s="35">
        <v>2003</v>
      </c>
      <c r="P10">
        <v>161.80000000000001</v>
      </c>
      <c r="T10">
        <v>7</v>
      </c>
      <c r="U10">
        <v>1.18</v>
      </c>
      <c r="Y10" s="8" t="s">
        <v>669</v>
      </c>
      <c r="Z10" s="8"/>
      <c r="AA10" s="26"/>
      <c r="AB10" s="26"/>
      <c r="AE10" t="s">
        <v>670</v>
      </c>
      <c r="AF10" s="46">
        <f t="shared" si="1"/>
        <v>1.4815303498542274</v>
      </c>
      <c r="AG10" t="s">
        <v>657</v>
      </c>
      <c r="AH10">
        <f t="shared" si="0"/>
        <v>0.67201166180758021</v>
      </c>
      <c r="AI10">
        <v>0.5</v>
      </c>
      <c r="AJ10">
        <v>2006</v>
      </c>
      <c r="AX10" s="18"/>
      <c r="AY10" s="18"/>
      <c r="AZ10" s="573"/>
      <c r="BA10" s="321"/>
      <c r="BB10" s="198"/>
      <c r="BC10" s="198"/>
      <c r="BD10" s="594"/>
      <c r="BE10" s="752"/>
      <c r="BF10" s="651"/>
    </row>
    <row r="11" spans="1:59" x14ac:dyDescent="0.25">
      <c r="A11" t="s">
        <v>671</v>
      </c>
      <c r="B11" t="s">
        <v>672</v>
      </c>
      <c r="C11">
        <v>74.921599999999998</v>
      </c>
      <c r="F11" t="s">
        <v>673</v>
      </c>
      <c r="G11">
        <v>49.209944294442614</v>
      </c>
      <c r="J11" s="35">
        <v>1995</v>
      </c>
      <c r="K11" s="33">
        <v>381.1</v>
      </c>
      <c r="O11" s="35">
        <v>2004</v>
      </c>
      <c r="P11">
        <v>174.4</v>
      </c>
      <c r="T11">
        <v>10</v>
      </c>
      <c r="U11">
        <v>1.78</v>
      </c>
      <c r="Y11" s="27" t="s">
        <v>674</v>
      </c>
      <c r="Z11" s="27" t="s">
        <v>675</v>
      </c>
      <c r="AA11" s="27" t="s">
        <v>647</v>
      </c>
      <c r="AB11" s="4" t="s">
        <v>676</v>
      </c>
      <c r="AE11" t="s">
        <v>655</v>
      </c>
      <c r="AF11" s="46">
        <f t="shared" si="1"/>
        <v>7.753355168245607E-2</v>
      </c>
      <c r="AG11" t="s">
        <v>661</v>
      </c>
      <c r="AH11">
        <f t="shared" si="0"/>
        <v>77.533551682456064</v>
      </c>
      <c r="AI11">
        <f>Z7*G7*(1/1000)*1000</f>
        <v>77.533551682456064</v>
      </c>
      <c r="AJ11">
        <f>AB7</f>
        <v>2012</v>
      </c>
      <c r="AK11" s="44" t="s">
        <v>631</v>
      </c>
      <c r="AX11" s="18"/>
      <c r="AY11" s="18"/>
      <c r="AZ11" s="573"/>
      <c r="BA11" s="321"/>
      <c r="BB11" s="198"/>
      <c r="BC11" s="198"/>
      <c r="BD11" s="594"/>
      <c r="BE11" s="752"/>
      <c r="BF11" s="651"/>
    </row>
    <row r="12" spans="1:59" x14ac:dyDescent="0.25">
      <c r="A12" t="s">
        <v>677</v>
      </c>
      <c r="B12" t="s">
        <v>678</v>
      </c>
      <c r="C12">
        <v>210</v>
      </c>
      <c r="J12" s="35">
        <v>1996</v>
      </c>
      <c r="K12" s="33">
        <v>381.7</v>
      </c>
      <c r="O12" s="35">
        <v>2005</v>
      </c>
      <c r="P12">
        <v>192</v>
      </c>
      <c r="T12">
        <v>20</v>
      </c>
      <c r="U12">
        <v>2.54</v>
      </c>
      <c r="Y12" t="s">
        <v>679</v>
      </c>
      <c r="Z12">
        <f>0.00011*VLOOKUP($Z$1,$J$6:$K$28,2,FALSE)+0.011*$Z$6</f>
        <v>9.5896744698491548E-2</v>
      </c>
      <c r="AA12">
        <f>Z12*(1/3600)*(1000000)</f>
        <v>26.637984638469877</v>
      </c>
      <c r="AE12" t="s">
        <v>659</v>
      </c>
      <c r="AF12" s="46">
        <f t="shared" si="1"/>
        <v>7.7820389294403894E-2</v>
      </c>
      <c r="AG12" t="s">
        <v>661</v>
      </c>
      <c r="AH12">
        <f t="shared" si="0"/>
        <v>77.820389294403896</v>
      </c>
      <c r="AI12">
        <v>69.38</v>
      </c>
      <c r="AJ12">
        <v>2010</v>
      </c>
      <c r="AK12" s="44" t="s">
        <v>631</v>
      </c>
      <c r="AX12" s="18"/>
      <c r="AY12" s="18"/>
      <c r="AZ12" s="573"/>
      <c r="BA12" s="321"/>
      <c r="BB12" s="198"/>
      <c r="BC12" s="198"/>
      <c r="BD12" s="594"/>
      <c r="BE12" s="752"/>
      <c r="BF12" s="651"/>
    </row>
    <row r="13" spans="1:59" x14ac:dyDescent="0.25">
      <c r="A13" t="s">
        <v>680</v>
      </c>
      <c r="B13" t="s">
        <v>681</v>
      </c>
      <c r="C13">
        <v>196.9665</v>
      </c>
      <c r="J13" s="35">
        <v>1997</v>
      </c>
      <c r="K13" s="33">
        <v>386.5</v>
      </c>
      <c r="O13" s="35">
        <v>2006</v>
      </c>
      <c r="P13">
        <v>205.8</v>
      </c>
      <c r="T13" s="11">
        <v>30</v>
      </c>
      <c r="U13" s="11">
        <v>2.95</v>
      </c>
      <c r="V13" s="11"/>
      <c r="Y13" t="s">
        <v>682</v>
      </c>
      <c r="Z13">
        <f>0.00013*VLOOKUP($Z$1,$J$6:$K$28,2,FALSE)+0.011*$Z$6</f>
        <v>0.10758874469849156</v>
      </c>
      <c r="AA13">
        <f>Z13*(1/3600)*(1000000)</f>
        <v>29.885762416247655</v>
      </c>
      <c r="AE13" t="s">
        <v>74</v>
      </c>
      <c r="AF13" s="46">
        <f t="shared" si="1"/>
        <v>12.700000000000001</v>
      </c>
      <c r="AG13" t="s">
        <v>661</v>
      </c>
      <c r="AH13">
        <f t="shared" si="0"/>
        <v>12700.000000000002</v>
      </c>
      <c r="AI13">
        <v>12700</v>
      </c>
      <c r="AJ13">
        <v>2012</v>
      </c>
      <c r="AK13" s="44" t="s">
        <v>683</v>
      </c>
      <c r="AX13" s="18"/>
      <c r="AY13" s="18"/>
      <c r="AZ13" s="573"/>
      <c r="BA13" s="321"/>
      <c r="BB13" s="198"/>
      <c r="BC13" s="198"/>
      <c r="BD13" s="594"/>
      <c r="BE13" s="752"/>
      <c r="BF13" s="651"/>
    </row>
    <row r="14" spans="1:59" x14ac:dyDescent="0.25">
      <c r="A14" t="s">
        <v>684</v>
      </c>
      <c r="B14" t="s">
        <v>47</v>
      </c>
      <c r="C14">
        <v>10.811</v>
      </c>
      <c r="J14" s="35">
        <v>1998</v>
      </c>
      <c r="K14" s="33">
        <v>389.5</v>
      </c>
      <c r="O14" s="35">
        <v>2007</v>
      </c>
      <c r="P14">
        <v>214.8</v>
      </c>
      <c r="Y14" t="s">
        <v>685</v>
      </c>
      <c r="AB14">
        <f>(0.333081*(Z6*1.05505585)+0.255336)/1000</f>
        <v>1.2645714299999999E-3</v>
      </c>
      <c r="AE14" t="s">
        <v>39</v>
      </c>
      <c r="AF14" s="46">
        <f t="shared" si="1"/>
        <v>2.8889841822157436</v>
      </c>
      <c r="AG14" t="s">
        <v>657</v>
      </c>
      <c r="AH14">
        <f t="shared" si="0"/>
        <v>1.3104227405247815</v>
      </c>
      <c r="AI14">
        <f>AVERAGE(0.95,1)</f>
        <v>0.97499999999999998</v>
      </c>
      <c r="AJ14">
        <v>2006</v>
      </c>
      <c r="AX14" s="18"/>
      <c r="AY14" s="18"/>
      <c r="AZ14" s="573"/>
      <c r="BA14" s="321"/>
      <c r="BB14" s="198"/>
      <c r="BC14" s="198"/>
      <c r="BD14" s="594"/>
      <c r="BE14" s="752"/>
      <c r="BF14" s="651"/>
    </row>
    <row r="15" spans="1:59" x14ac:dyDescent="0.25">
      <c r="A15" t="s">
        <v>686</v>
      </c>
      <c r="B15" t="s">
        <v>687</v>
      </c>
      <c r="C15">
        <v>137.327</v>
      </c>
      <c r="J15" s="35">
        <v>1999</v>
      </c>
      <c r="K15" s="33">
        <v>390.6</v>
      </c>
      <c r="O15" s="35">
        <v>2008</v>
      </c>
      <c r="P15">
        <v>245.5</v>
      </c>
      <c r="Q15" s="18"/>
      <c r="AE15" t="s">
        <v>688</v>
      </c>
      <c r="AF15" s="46">
        <f t="shared" si="1"/>
        <v>2.7507080162293485</v>
      </c>
      <c r="AG15" t="s">
        <v>657</v>
      </c>
      <c r="AH15">
        <f t="shared" si="0"/>
        <v>1.2477016520894071</v>
      </c>
      <c r="AI15">
        <f>AVERAGE(0.94,1.02,1.06,0.95,0.97,0.63)</f>
        <v>0.92833333333333323</v>
      </c>
      <c r="AJ15">
        <v>2006</v>
      </c>
      <c r="AX15" s="18"/>
      <c r="AY15" s="18"/>
      <c r="AZ15" s="573"/>
      <c r="BA15" s="321"/>
      <c r="BB15" s="198"/>
      <c r="BC15" s="198"/>
      <c r="BD15" s="594"/>
      <c r="BE15" s="752"/>
      <c r="BF15" s="651"/>
    </row>
    <row r="16" spans="1:59" x14ac:dyDescent="0.25">
      <c r="A16" t="s">
        <v>689</v>
      </c>
      <c r="B16" t="s">
        <v>690</v>
      </c>
      <c r="C16">
        <v>9.0122</v>
      </c>
      <c r="J16" s="35">
        <v>2000</v>
      </c>
      <c r="K16" s="33">
        <v>394.1</v>
      </c>
      <c r="O16" s="35">
        <v>2009</v>
      </c>
      <c r="P16">
        <v>229.4</v>
      </c>
      <c r="Q16" s="18"/>
      <c r="AC16" s="48"/>
      <c r="AE16" t="s">
        <v>36</v>
      </c>
      <c r="AF16" s="46">
        <f t="shared" si="1"/>
        <v>2.7507080162293485</v>
      </c>
      <c r="AG16" t="s">
        <v>657</v>
      </c>
      <c r="AH16">
        <f t="shared" si="0"/>
        <v>1.2477016520894071</v>
      </c>
      <c r="AI16">
        <f>AVERAGE(0.94,1.02,1.06,0.95,0.97,0.63)</f>
        <v>0.92833333333333323</v>
      </c>
      <c r="AJ16">
        <v>2006</v>
      </c>
      <c r="AK16" t="s">
        <v>691</v>
      </c>
      <c r="AX16" s="18"/>
      <c r="AY16" s="18"/>
      <c r="AZ16" s="573"/>
      <c r="BA16" s="321"/>
      <c r="BB16" s="198"/>
      <c r="BC16" s="198"/>
      <c r="BD16" s="594"/>
      <c r="BE16" s="752"/>
      <c r="BF16" s="651"/>
    </row>
    <row r="17" spans="1:58" x14ac:dyDescent="0.25">
      <c r="A17" t="s">
        <v>692</v>
      </c>
      <c r="B17" t="s">
        <v>693</v>
      </c>
      <c r="C17">
        <v>264</v>
      </c>
      <c r="J17" s="35">
        <v>2001</v>
      </c>
      <c r="K17" s="33">
        <v>394.3</v>
      </c>
      <c r="O17" s="35">
        <v>2010</v>
      </c>
      <c r="P17">
        <v>246.6</v>
      </c>
      <c r="Q17" s="18"/>
      <c r="AE17" t="s">
        <v>34</v>
      </c>
      <c r="AF17" s="46">
        <f t="shared" si="1"/>
        <v>2.2963720422740526</v>
      </c>
      <c r="AG17" t="s">
        <v>657</v>
      </c>
      <c r="AH17">
        <f t="shared" si="0"/>
        <v>1.0416180758017495</v>
      </c>
      <c r="AI17">
        <v>0.77500000000000002</v>
      </c>
      <c r="AJ17">
        <v>2006</v>
      </c>
      <c r="AX17" s="18"/>
      <c r="AY17" s="18"/>
      <c r="AZ17" s="577"/>
      <c r="BA17" s="321"/>
      <c r="BB17" s="198"/>
      <c r="BC17" s="198"/>
      <c r="BD17" s="594"/>
      <c r="BE17" s="752"/>
      <c r="BF17" s="651"/>
    </row>
    <row r="18" spans="1:58" x14ac:dyDescent="0.25">
      <c r="A18" t="s">
        <v>694</v>
      </c>
      <c r="B18" t="s">
        <v>695</v>
      </c>
      <c r="C18">
        <v>208.9804</v>
      </c>
      <c r="J18" s="35">
        <v>2002</v>
      </c>
      <c r="K18" s="33">
        <v>395.6</v>
      </c>
      <c r="O18" s="35">
        <v>2011</v>
      </c>
      <c r="P18">
        <v>275.10000000000002</v>
      </c>
      <c r="AE18" t="s">
        <v>696</v>
      </c>
      <c r="AF18" s="46">
        <f t="shared" si="1"/>
        <v>2.5</v>
      </c>
      <c r="AG18" t="s">
        <v>609</v>
      </c>
      <c r="AH18">
        <f t="shared" si="0"/>
        <v>2.5</v>
      </c>
      <c r="AI18">
        <v>2.5</v>
      </c>
      <c r="AJ18">
        <v>2012</v>
      </c>
      <c r="AK18" t="s">
        <v>697</v>
      </c>
      <c r="AX18" s="18"/>
      <c r="AY18" s="18"/>
      <c r="AZ18" s="573"/>
      <c r="BA18" s="321"/>
      <c r="BB18" s="198"/>
      <c r="BC18" s="198"/>
      <c r="BD18" s="594"/>
      <c r="BE18" s="198"/>
      <c r="BF18" s="198"/>
    </row>
    <row r="19" spans="1:58" x14ac:dyDescent="0.25">
      <c r="A19" t="s">
        <v>698</v>
      </c>
      <c r="B19" t="s">
        <v>699</v>
      </c>
      <c r="C19">
        <v>247</v>
      </c>
      <c r="J19" s="35">
        <v>2003</v>
      </c>
      <c r="K19" s="33">
        <v>402</v>
      </c>
      <c r="O19" s="40">
        <v>2012</v>
      </c>
      <c r="P19" s="11">
        <v>276.60000000000002</v>
      </c>
      <c r="Q19" s="11"/>
      <c r="AE19" t="s">
        <v>700</v>
      </c>
      <c r="AF19" s="46">
        <f t="shared" si="1"/>
        <v>2.5</v>
      </c>
      <c r="AG19" t="s">
        <v>609</v>
      </c>
      <c r="AH19">
        <f t="shared" si="0"/>
        <v>2.5</v>
      </c>
      <c r="AI19">
        <v>2.5</v>
      </c>
      <c r="AJ19">
        <v>2012</v>
      </c>
      <c r="AK19" t="s">
        <v>697</v>
      </c>
      <c r="AX19" s="18"/>
      <c r="AY19" s="18"/>
      <c r="AZ19" s="573"/>
      <c r="BA19" s="321"/>
      <c r="BB19" s="198"/>
      <c r="BC19" s="198"/>
      <c r="BD19" s="198"/>
      <c r="BE19" s="198"/>
      <c r="BF19" s="198"/>
    </row>
    <row r="20" spans="1:58" x14ac:dyDescent="0.25">
      <c r="A20" t="s">
        <v>701</v>
      </c>
      <c r="B20" t="s">
        <v>702</v>
      </c>
      <c r="C20">
        <v>79.903999999999996</v>
      </c>
      <c r="J20" s="35">
        <v>2004</v>
      </c>
      <c r="K20" s="33">
        <v>444.2</v>
      </c>
      <c r="AE20" t="s">
        <v>703</v>
      </c>
      <c r="AF20" s="46">
        <f t="shared" si="1"/>
        <v>12.070294499999997</v>
      </c>
      <c r="AG20" t="s">
        <v>657</v>
      </c>
      <c r="AH20">
        <f t="shared" si="0"/>
        <v>5.4749999999999996</v>
      </c>
      <c r="AI20">
        <v>5.4749999999999996</v>
      </c>
      <c r="AJ20">
        <v>2012</v>
      </c>
      <c r="AK20" t="s">
        <v>691</v>
      </c>
      <c r="AX20" s="18"/>
      <c r="AY20" s="18"/>
      <c r="AZ20" s="573"/>
      <c r="BA20" s="321"/>
      <c r="BB20" s="643"/>
      <c r="BC20" s="198"/>
      <c r="BD20" s="594"/>
      <c r="BE20" s="753"/>
      <c r="BF20" s="198"/>
    </row>
    <row r="21" spans="1:58" x14ac:dyDescent="0.25">
      <c r="A21" t="s">
        <v>704</v>
      </c>
      <c r="B21" t="s">
        <v>705</v>
      </c>
      <c r="C21">
        <v>12.0107</v>
      </c>
      <c r="J21" s="35">
        <v>2005</v>
      </c>
      <c r="K21" s="33">
        <v>468.2</v>
      </c>
      <c r="AE21" t="s">
        <v>706</v>
      </c>
      <c r="AF21" s="46">
        <f t="shared" si="1"/>
        <v>12.070294499999997</v>
      </c>
      <c r="AG21" t="s">
        <v>657</v>
      </c>
      <c r="AH21">
        <f t="shared" si="0"/>
        <v>5.4749999999999996</v>
      </c>
      <c r="AI21">
        <v>5.4749999999999996</v>
      </c>
      <c r="AJ21">
        <v>2012</v>
      </c>
      <c r="AK21" s="44" t="s">
        <v>707</v>
      </c>
      <c r="AX21" s="18"/>
      <c r="AY21" s="18"/>
      <c r="AZ21" s="573"/>
      <c r="BA21" s="321"/>
      <c r="BB21" s="643"/>
      <c r="BC21" s="198"/>
      <c r="BD21" s="594"/>
      <c r="BE21" s="753"/>
      <c r="BF21" s="198"/>
    </row>
    <row r="22" spans="1:58" x14ac:dyDescent="0.25">
      <c r="A22" t="s">
        <v>708</v>
      </c>
      <c r="B22" t="s">
        <v>69</v>
      </c>
      <c r="C22">
        <v>40.078000000000003</v>
      </c>
      <c r="J22" s="35">
        <v>2006</v>
      </c>
      <c r="K22" s="33">
        <v>499.6</v>
      </c>
      <c r="AE22" t="s">
        <v>705</v>
      </c>
      <c r="AF22" s="46">
        <f t="shared" si="1"/>
        <v>7.7820389294403894E-2</v>
      </c>
      <c r="AG22" t="s">
        <v>661</v>
      </c>
      <c r="AH22">
        <f t="shared" si="0"/>
        <v>77.820389294403896</v>
      </c>
      <c r="AI22">
        <v>69.38</v>
      </c>
      <c r="AJ22">
        <v>2010</v>
      </c>
      <c r="AK22" s="44" t="s">
        <v>631</v>
      </c>
      <c r="AX22" s="18"/>
      <c r="AY22" s="18"/>
      <c r="AZ22" s="573"/>
      <c r="BA22" s="321"/>
      <c r="BB22" s="198"/>
      <c r="BC22" s="198"/>
      <c r="BD22" s="198"/>
      <c r="BE22" s="198"/>
      <c r="BF22" s="198"/>
    </row>
    <row r="23" spans="1:58" x14ac:dyDescent="0.25">
      <c r="A23" t="s">
        <v>709</v>
      </c>
      <c r="B23" t="s">
        <v>710</v>
      </c>
      <c r="C23">
        <v>112.411</v>
      </c>
      <c r="J23" s="35">
        <v>2007</v>
      </c>
      <c r="K23" s="33">
        <v>525.4</v>
      </c>
      <c r="AE23" t="s">
        <v>604</v>
      </c>
      <c r="AF23" s="46">
        <f t="shared" si="1"/>
        <v>0</v>
      </c>
      <c r="AG23" t="s">
        <v>661</v>
      </c>
      <c r="AH23">
        <f t="shared" si="0"/>
        <v>0</v>
      </c>
      <c r="AI23">
        <v>0</v>
      </c>
      <c r="AJ23">
        <v>2012</v>
      </c>
      <c r="AX23" s="18"/>
      <c r="AY23" s="18"/>
      <c r="AZ23" s="573"/>
      <c r="BA23" s="321"/>
    </row>
    <row r="24" spans="1:58" x14ac:dyDescent="0.25">
      <c r="A24" t="s">
        <v>711</v>
      </c>
      <c r="B24" t="s">
        <v>712</v>
      </c>
      <c r="C24">
        <v>140.11600000000001</v>
      </c>
      <c r="J24" s="35">
        <v>2008</v>
      </c>
      <c r="K24" s="33">
        <v>575.4</v>
      </c>
      <c r="AE24" t="s">
        <v>713</v>
      </c>
      <c r="AF24" s="46">
        <f t="shared" si="1"/>
        <v>0.60145043731778436</v>
      </c>
      <c r="AG24" t="s">
        <v>661</v>
      </c>
      <c r="AH24">
        <f t="shared" si="0"/>
        <v>601.45043731778435</v>
      </c>
      <c r="AI24">
        <f>AVERAGE(440,455)</f>
        <v>447.5</v>
      </c>
      <c r="AJ24">
        <v>2006</v>
      </c>
      <c r="AX24" s="18"/>
      <c r="AY24" s="18"/>
      <c r="AZ24" s="573"/>
      <c r="BA24" s="321"/>
    </row>
    <row r="25" spans="1:58" x14ac:dyDescent="0.25">
      <c r="A25" t="s">
        <v>714</v>
      </c>
      <c r="B25" t="s">
        <v>715</v>
      </c>
      <c r="C25">
        <v>251</v>
      </c>
      <c r="J25" s="35">
        <v>2009</v>
      </c>
      <c r="K25" s="33">
        <v>521.9</v>
      </c>
      <c r="O25" s="30" t="s">
        <v>315</v>
      </c>
      <c r="P25" s="26"/>
      <c r="Q25" s="26"/>
      <c r="AE25" t="s">
        <v>716</v>
      </c>
      <c r="AF25" s="46">
        <f t="shared" si="1"/>
        <v>27</v>
      </c>
      <c r="AG25" t="s">
        <v>609</v>
      </c>
      <c r="AH25">
        <f t="shared" si="0"/>
        <v>27</v>
      </c>
      <c r="AI25">
        <v>27</v>
      </c>
      <c r="AJ25">
        <v>2012</v>
      </c>
      <c r="AK25" t="s">
        <v>717</v>
      </c>
      <c r="AX25" s="18"/>
      <c r="AY25" s="18"/>
      <c r="AZ25" s="573"/>
      <c r="BA25" s="321"/>
    </row>
    <row r="26" spans="1:58" x14ac:dyDescent="0.25">
      <c r="A26" t="s">
        <v>718</v>
      </c>
      <c r="B26" t="s">
        <v>719</v>
      </c>
      <c r="C26">
        <v>35.453000000000003</v>
      </c>
      <c r="J26" s="35">
        <v>2010</v>
      </c>
      <c r="K26" s="33">
        <v>550.79999999999995</v>
      </c>
      <c r="O26" s="602" t="s">
        <v>114</v>
      </c>
      <c r="P26" s="602" t="s">
        <v>533</v>
      </c>
      <c r="Q26" s="602" t="s">
        <v>720</v>
      </c>
      <c r="AE26" t="s">
        <v>721</v>
      </c>
      <c r="AF26" s="46">
        <f t="shared" si="1"/>
        <v>0.5983312731767616</v>
      </c>
      <c r="AG26" t="s">
        <v>661</v>
      </c>
      <c r="AH26">
        <f t="shared" si="0"/>
        <v>598.33127317676156</v>
      </c>
      <c r="AI26">
        <v>350</v>
      </c>
      <c r="AJ26">
        <v>2003</v>
      </c>
      <c r="AK26" s="44" t="s">
        <v>722</v>
      </c>
      <c r="AX26" s="18"/>
      <c r="AY26" s="18"/>
      <c r="AZ26" s="573"/>
      <c r="BA26" s="321"/>
    </row>
    <row r="27" spans="1:58" x14ac:dyDescent="0.25">
      <c r="A27" t="s">
        <v>723</v>
      </c>
      <c r="B27" t="s">
        <v>724</v>
      </c>
      <c r="C27">
        <v>247</v>
      </c>
      <c r="J27" s="35">
        <v>2011</v>
      </c>
      <c r="K27" s="33">
        <v>585.70000000000005</v>
      </c>
      <c r="O27" s="754" t="s">
        <v>52</v>
      </c>
      <c r="P27" s="754">
        <v>0.15</v>
      </c>
      <c r="Q27" s="754" t="s">
        <v>609</v>
      </c>
      <c r="S27" t="s">
        <v>725</v>
      </c>
      <c r="AE27" t="s">
        <v>726</v>
      </c>
      <c r="AF27" s="46">
        <f t="shared" si="1"/>
        <v>1.7575000000000003</v>
      </c>
      <c r="AG27" t="s">
        <v>661</v>
      </c>
      <c r="AH27">
        <f t="shared" si="0"/>
        <v>1757.5000000000002</v>
      </c>
      <c r="AI27">
        <f>AVERAGE(1338,2177)</f>
        <v>1757.5</v>
      </c>
      <c r="AJ27">
        <v>2012</v>
      </c>
      <c r="AK27" t="s">
        <v>697</v>
      </c>
      <c r="AX27" s="18"/>
      <c r="AY27" s="18"/>
      <c r="AZ27" s="573"/>
      <c r="BA27" s="321"/>
    </row>
    <row r="28" spans="1:58" x14ac:dyDescent="0.25">
      <c r="A28" t="s">
        <v>727</v>
      </c>
      <c r="B28" t="s">
        <v>728</v>
      </c>
      <c r="C28">
        <v>58.933199999999999</v>
      </c>
      <c r="J28" s="40">
        <v>2012</v>
      </c>
      <c r="K28" s="41">
        <v>584.6</v>
      </c>
      <c r="L28" s="11"/>
      <c r="O28" s="754" t="s">
        <v>50</v>
      </c>
      <c r="P28" s="754">
        <v>1</v>
      </c>
      <c r="Q28" s="754" t="s">
        <v>609</v>
      </c>
      <c r="S28" t="s">
        <v>729</v>
      </c>
      <c r="AB28" s="12"/>
      <c r="AD28" s="297"/>
      <c r="AX28" s="18"/>
      <c r="AY28" s="18"/>
      <c r="AZ28" s="573"/>
      <c r="BA28" s="321"/>
    </row>
    <row r="29" spans="1:58" x14ac:dyDescent="0.25">
      <c r="A29" t="s">
        <v>730</v>
      </c>
      <c r="B29" t="s">
        <v>731</v>
      </c>
      <c r="C29">
        <v>51.996099999999998</v>
      </c>
      <c r="J29" s="34"/>
      <c r="O29" s="754" t="s">
        <v>49</v>
      </c>
      <c r="P29" s="754">
        <v>0.4</v>
      </c>
      <c r="Q29" s="754" t="s">
        <v>609</v>
      </c>
      <c r="S29" t="s">
        <v>732</v>
      </c>
      <c r="AB29" s="6"/>
      <c r="AX29" s="18"/>
      <c r="AY29" s="18"/>
      <c r="AZ29" s="573"/>
      <c r="BA29" s="321"/>
    </row>
    <row r="30" spans="1:58" x14ac:dyDescent="0.25">
      <c r="A30" t="s">
        <v>733</v>
      </c>
      <c r="B30" t="s">
        <v>734</v>
      </c>
      <c r="C30">
        <v>132.90549999999999</v>
      </c>
      <c r="J30" s="34"/>
      <c r="O30" s="754" t="s">
        <v>37</v>
      </c>
      <c r="P30" s="754">
        <v>0.15</v>
      </c>
      <c r="Q30" s="754" t="s">
        <v>609</v>
      </c>
      <c r="S30" s="44" t="s">
        <v>331</v>
      </c>
      <c r="AB30" s="6"/>
      <c r="AX30" s="18"/>
      <c r="AY30" s="18"/>
      <c r="AZ30" s="573"/>
      <c r="BA30" s="321"/>
    </row>
    <row r="31" spans="1:58" x14ac:dyDescent="0.25">
      <c r="A31" t="s">
        <v>735</v>
      </c>
      <c r="B31" t="s">
        <v>736</v>
      </c>
      <c r="C31">
        <v>63.545999999999999</v>
      </c>
      <c r="J31" s="34"/>
      <c r="O31" s="754" t="s">
        <v>54</v>
      </c>
      <c r="P31" s="754">
        <v>1000</v>
      </c>
      <c r="Q31" s="754" t="s">
        <v>609</v>
      </c>
      <c r="S31" s="44" t="s">
        <v>328</v>
      </c>
      <c r="AB31" s="6"/>
      <c r="AD31" s="6"/>
      <c r="AX31" s="18"/>
      <c r="AY31" s="18"/>
      <c r="AZ31" s="573"/>
      <c r="BA31" s="321"/>
    </row>
    <row r="32" spans="1:58" x14ac:dyDescent="0.25">
      <c r="A32" t="s">
        <v>737</v>
      </c>
      <c r="B32" t="s">
        <v>738</v>
      </c>
      <c r="C32">
        <v>262</v>
      </c>
      <c r="J32" s="34"/>
      <c r="O32" s="754" t="s">
        <v>53</v>
      </c>
      <c r="P32" s="754">
        <v>5</v>
      </c>
      <c r="Q32" s="754" t="s">
        <v>609</v>
      </c>
      <c r="AD32" s="6"/>
      <c r="AX32" s="18"/>
      <c r="AY32" s="18"/>
      <c r="AZ32" s="570"/>
      <c r="BA32" s="762"/>
    </row>
    <row r="33" spans="1:52" x14ac:dyDescent="0.25">
      <c r="A33" t="s">
        <v>739</v>
      </c>
      <c r="B33" t="s">
        <v>740</v>
      </c>
      <c r="C33">
        <v>162.5</v>
      </c>
      <c r="E33" s="15"/>
      <c r="F33" s="15"/>
      <c r="G33" s="15"/>
      <c r="H33" s="15"/>
      <c r="J33" s="34"/>
      <c r="O33" s="754"/>
      <c r="P33" s="754"/>
      <c r="Q33" s="754"/>
      <c r="AD33" s="6"/>
      <c r="AZ33" s="570"/>
    </row>
    <row r="34" spans="1:52" x14ac:dyDescent="0.25">
      <c r="A34" t="s">
        <v>741</v>
      </c>
      <c r="B34" t="s">
        <v>742</v>
      </c>
      <c r="C34">
        <v>167.25899999999999</v>
      </c>
      <c r="O34" s="754"/>
      <c r="P34" s="754"/>
      <c r="Q34" s="754"/>
      <c r="S34" s="492"/>
      <c r="AD34" s="6"/>
      <c r="AZ34" s="570"/>
    </row>
    <row r="35" spans="1:52" x14ac:dyDescent="0.25">
      <c r="A35" t="s">
        <v>743</v>
      </c>
      <c r="B35" t="s">
        <v>744</v>
      </c>
      <c r="C35">
        <v>252</v>
      </c>
      <c r="O35" s="757"/>
      <c r="P35" s="757"/>
      <c r="Q35" s="757"/>
      <c r="AD35" s="6"/>
      <c r="AZ35" s="570"/>
    </row>
    <row r="36" spans="1:52" x14ac:dyDescent="0.25">
      <c r="A36" t="s">
        <v>745</v>
      </c>
      <c r="B36" t="s">
        <v>746</v>
      </c>
      <c r="C36">
        <v>151.964</v>
      </c>
      <c r="O36" s="757"/>
      <c r="P36" s="757"/>
      <c r="Q36" s="757"/>
      <c r="AZ36" s="570"/>
    </row>
    <row r="37" spans="1:52" x14ac:dyDescent="0.25">
      <c r="A37" t="s">
        <v>747</v>
      </c>
      <c r="B37" t="s">
        <v>68</v>
      </c>
      <c r="C37">
        <v>18.9984</v>
      </c>
      <c r="E37" s="15"/>
      <c r="F37" s="15"/>
      <c r="G37" s="15"/>
      <c r="H37" s="15"/>
      <c r="O37" s="754"/>
      <c r="P37" s="754"/>
      <c r="Q37" s="754"/>
      <c r="AZ37" s="570"/>
    </row>
    <row r="38" spans="1:52" x14ac:dyDescent="0.25">
      <c r="A38" t="s">
        <v>748</v>
      </c>
      <c r="B38" t="s">
        <v>71</v>
      </c>
      <c r="C38">
        <v>55.844999999999999</v>
      </c>
      <c r="O38" s="767"/>
      <c r="P38" s="767"/>
      <c r="Q38" s="767"/>
      <c r="S38" s="44"/>
      <c r="AZ38" s="570"/>
    </row>
    <row r="39" spans="1:52" x14ac:dyDescent="0.25">
      <c r="A39" t="s">
        <v>749</v>
      </c>
      <c r="B39" t="s">
        <v>750</v>
      </c>
      <c r="C39">
        <v>257</v>
      </c>
      <c r="O39" s="767"/>
      <c r="P39" s="767"/>
      <c r="Q39" s="767"/>
      <c r="S39" s="44"/>
      <c r="AZ39" s="570"/>
    </row>
    <row r="40" spans="1:52" x14ac:dyDescent="0.25">
      <c r="A40" t="s">
        <v>751</v>
      </c>
      <c r="B40" t="s">
        <v>752</v>
      </c>
      <c r="C40">
        <v>223</v>
      </c>
      <c r="O40" s="767"/>
      <c r="P40" s="767"/>
      <c r="Q40" s="767"/>
      <c r="S40" s="44"/>
      <c r="AZ40" s="570"/>
    </row>
    <row r="41" spans="1:52" x14ac:dyDescent="0.25">
      <c r="A41" t="s">
        <v>753</v>
      </c>
      <c r="B41" t="s">
        <v>754</v>
      </c>
      <c r="C41">
        <v>69.722999999999999</v>
      </c>
      <c r="AZ41" s="570"/>
    </row>
    <row r="42" spans="1:52" x14ac:dyDescent="0.25">
      <c r="A42" t="s">
        <v>755</v>
      </c>
      <c r="B42" t="s">
        <v>756</v>
      </c>
      <c r="C42">
        <v>157.25</v>
      </c>
      <c r="AZ42" s="570"/>
    </row>
    <row r="43" spans="1:52" x14ac:dyDescent="0.25">
      <c r="A43" t="s">
        <v>757</v>
      </c>
      <c r="B43" t="s">
        <v>758</v>
      </c>
      <c r="C43">
        <v>72.64</v>
      </c>
      <c r="AZ43" s="570"/>
    </row>
    <row r="44" spans="1:52" x14ac:dyDescent="0.25">
      <c r="A44" t="s">
        <v>759</v>
      </c>
      <c r="B44" t="s">
        <v>760</v>
      </c>
      <c r="C44">
        <v>1.0079</v>
      </c>
      <c r="AZ44" s="570"/>
    </row>
    <row r="45" spans="1:52" x14ac:dyDescent="0.25">
      <c r="A45" t="s">
        <v>761</v>
      </c>
      <c r="B45" t="s">
        <v>762</v>
      </c>
      <c r="C45">
        <v>4.0026000000000002</v>
      </c>
      <c r="AZ45" s="762"/>
    </row>
    <row r="46" spans="1:52" x14ac:dyDescent="0.25">
      <c r="A46" t="s">
        <v>763</v>
      </c>
      <c r="B46" t="s">
        <v>764</v>
      </c>
      <c r="C46">
        <v>178.49</v>
      </c>
      <c r="AZ46" s="762"/>
    </row>
    <row r="47" spans="1:52" x14ac:dyDescent="0.25">
      <c r="A47" t="s">
        <v>765</v>
      </c>
      <c r="B47" t="s">
        <v>766</v>
      </c>
      <c r="C47">
        <v>200.59</v>
      </c>
      <c r="AZ47" s="762"/>
    </row>
    <row r="48" spans="1:52" x14ac:dyDescent="0.25">
      <c r="A48" t="s">
        <v>767</v>
      </c>
      <c r="B48" t="s">
        <v>768</v>
      </c>
      <c r="C48">
        <v>164.93029999999999</v>
      </c>
      <c r="AZ48" s="762"/>
    </row>
    <row r="49" spans="1:8" x14ac:dyDescent="0.25">
      <c r="A49" t="s">
        <v>769</v>
      </c>
      <c r="B49" t="s">
        <v>770</v>
      </c>
      <c r="C49">
        <v>277</v>
      </c>
    </row>
    <row r="50" spans="1:8" x14ac:dyDescent="0.25">
      <c r="A50" t="s">
        <v>771</v>
      </c>
      <c r="B50" t="s">
        <v>772</v>
      </c>
      <c r="C50">
        <v>126.9045</v>
      </c>
    </row>
    <row r="51" spans="1:8" x14ac:dyDescent="0.25">
      <c r="A51" t="s">
        <v>773</v>
      </c>
      <c r="B51" t="s">
        <v>774</v>
      </c>
      <c r="C51">
        <v>114.818</v>
      </c>
    </row>
    <row r="52" spans="1:8" x14ac:dyDescent="0.25">
      <c r="A52" t="s">
        <v>775</v>
      </c>
      <c r="B52" t="s">
        <v>776</v>
      </c>
      <c r="C52">
        <v>192.21700000000001</v>
      </c>
    </row>
    <row r="53" spans="1:8" x14ac:dyDescent="0.25">
      <c r="A53" t="s">
        <v>777</v>
      </c>
      <c r="B53" t="s">
        <v>212</v>
      </c>
      <c r="C53">
        <v>39.098300000000002</v>
      </c>
    </row>
    <row r="54" spans="1:8" x14ac:dyDescent="0.25">
      <c r="A54" t="s">
        <v>778</v>
      </c>
      <c r="B54" t="s">
        <v>779</v>
      </c>
      <c r="C54">
        <v>83.8</v>
      </c>
    </row>
    <row r="55" spans="1:8" x14ac:dyDescent="0.25">
      <c r="A55" t="s">
        <v>780</v>
      </c>
      <c r="B55" t="s">
        <v>781</v>
      </c>
      <c r="C55">
        <v>138.90549999999999</v>
      </c>
    </row>
    <row r="56" spans="1:8" x14ac:dyDescent="0.25">
      <c r="A56" t="s">
        <v>782</v>
      </c>
      <c r="B56" t="s">
        <v>783</v>
      </c>
      <c r="C56">
        <v>6.9409999999999998</v>
      </c>
    </row>
    <row r="57" spans="1:8" x14ac:dyDescent="0.25">
      <c r="A57" t="s">
        <v>784</v>
      </c>
      <c r="B57" t="s">
        <v>785</v>
      </c>
      <c r="C57">
        <v>262</v>
      </c>
    </row>
    <row r="58" spans="1:8" x14ac:dyDescent="0.25">
      <c r="A58" t="s">
        <v>786</v>
      </c>
      <c r="B58" t="s">
        <v>787</v>
      </c>
      <c r="C58">
        <v>174.96700000000001</v>
      </c>
    </row>
    <row r="59" spans="1:8" x14ac:dyDescent="0.25">
      <c r="A59" t="s">
        <v>788</v>
      </c>
      <c r="B59" t="s">
        <v>789</v>
      </c>
      <c r="C59">
        <v>258</v>
      </c>
    </row>
    <row r="60" spans="1:8" x14ac:dyDescent="0.25">
      <c r="A60" t="s">
        <v>651</v>
      </c>
      <c r="B60" t="s">
        <v>67</v>
      </c>
      <c r="C60">
        <v>24.305</v>
      </c>
    </row>
    <row r="61" spans="1:8" x14ac:dyDescent="0.25">
      <c r="A61" t="s">
        <v>790</v>
      </c>
      <c r="B61" t="s">
        <v>791</v>
      </c>
      <c r="C61">
        <v>54.938000000000002</v>
      </c>
    </row>
    <row r="62" spans="1:8" x14ac:dyDescent="0.25">
      <c r="A62" t="s">
        <v>792</v>
      </c>
      <c r="B62" t="s">
        <v>793</v>
      </c>
      <c r="C62">
        <v>95.94</v>
      </c>
    </row>
    <row r="63" spans="1:8" x14ac:dyDescent="0.25">
      <c r="A63" t="s">
        <v>794</v>
      </c>
      <c r="B63" t="s">
        <v>795</v>
      </c>
      <c r="C63">
        <v>268</v>
      </c>
    </row>
    <row r="64" spans="1:8" x14ac:dyDescent="0.25">
      <c r="A64" t="s">
        <v>796</v>
      </c>
      <c r="B64" t="s">
        <v>797</v>
      </c>
      <c r="C64">
        <v>14.0067</v>
      </c>
      <c r="E64" s="15"/>
      <c r="F64" s="15"/>
      <c r="G64" s="15"/>
      <c r="H64" s="15"/>
    </row>
    <row r="65" spans="1:3" x14ac:dyDescent="0.25">
      <c r="A65" t="s">
        <v>798</v>
      </c>
      <c r="B65" t="s">
        <v>73</v>
      </c>
      <c r="C65">
        <v>22.989699999999999</v>
      </c>
    </row>
    <row r="66" spans="1:3" x14ac:dyDescent="0.25">
      <c r="A66" t="s">
        <v>799</v>
      </c>
      <c r="B66" t="s">
        <v>800</v>
      </c>
      <c r="C66">
        <v>92.906400000000005</v>
      </c>
    </row>
    <row r="67" spans="1:3" x14ac:dyDescent="0.25">
      <c r="A67" t="s">
        <v>801</v>
      </c>
      <c r="B67" t="s">
        <v>802</v>
      </c>
      <c r="C67">
        <v>144.24</v>
      </c>
    </row>
    <row r="68" spans="1:3" x14ac:dyDescent="0.25">
      <c r="A68" t="s">
        <v>803</v>
      </c>
      <c r="B68" t="s">
        <v>804</v>
      </c>
      <c r="C68">
        <v>20.1797</v>
      </c>
    </row>
    <row r="69" spans="1:3" x14ac:dyDescent="0.25">
      <c r="A69" t="s">
        <v>805</v>
      </c>
      <c r="B69" t="s">
        <v>806</v>
      </c>
      <c r="C69">
        <v>58.693399999999997</v>
      </c>
    </row>
    <row r="70" spans="1:3" x14ac:dyDescent="0.25">
      <c r="A70" t="s">
        <v>807</v>
      </c>
      <c r="B70" t="s">
        <v>808</v>
      </c>
      <c r="C70">
        <v>259</v>
      </c>
    </row>
    <row r="71" spans="1:3" x14ac:dyDescent="0.25">
      <c r="A71" t="s">
        <v>809</v>
      </c>
      <c r="B71" t="s">
        <v>810</v>
      </c>
      <c r="C71">
        <v>237</v>
      </c>
    </row>
    <row r="72" spans="1:3" x14ac:dyDescent="0.25">
      <c r="A72" t="s">
        <v>811</v>
      </c>
      <c r="B72" t="s">
        <v>66</v>
      </c>
      <c r="C72">
        <v>15.9994</v>
      </c>
    </row>
    <row r="73" spans="1:3" x14ac:dyDescent="0.25">
      <c r="A73" t="s">
        <v>812</v>
      </c>
      <c r="B73" t="s">
        <v>813</v>
      </c>
      <c r="C73">
        <v>190.23</v>
      </c>
    </row>
    <row r="74" spans="1:3" x14ac:dyDescent="0.25">
      <c r="A74" t="s">
        <v>814</v>
      </c>
      <c r="B74" t="s">
        <v>75</v>
      </c>
      <c r="C74">
        <v>30.973800000000001</v>
      </c>
    </row>
    <row r="75" spans="1:3" x14ac:dyDescent="0.25">
      <c r="A75" t="s">
        <v>815</v>
      </c>
      <c r="B75" t="s">
        <v>816</v>
      </c>
      <c r="C75">
        <v>231.0359</v>
      </c>
    </row>
    <row r="76" spans="1:3" x14ac:dyDescent="0.25">
      <c r="A76" t="s">
        <v>817</v>
      </c>
      <c r="B76" t="s">
        <v>818</v>
      </c>
      <c r="C76">
        <v>207.2</v>
      </c>
    </row>
    <row r="77" spans="1:3" ht="15" customHeight="1" x14ac:dyDescent="0.25">
      <c r="A77" t="s">
        <v>819</v>
      </c>
      <c r="B77" t="s">
        <v>820</v>
      </c>
      <c r="C77">
        <v>106.42</v>
      </c>
    </row>
    <row r="78" spans="1:3" x14ac:dyDescent="0.25">
      <c r="A78" t="s">
        <v>821</v>
      </c>
      <c r="B78" t="s">
        <v>822</v>
      </c>
      <c r="C78">
        <v>145</v>
      </c>
    </row>
    <row r="79" spans="1:3" x14ac:dyDescent="0.25">
      <c r="A79" t="s">
        <v>823</v>
      </c>
      <c r="B79" t="s">
        <v>824</v>
      </c>
      <c r="C79">
        <v>209</v>
      </c>
    </row>
    <row r="80" spans="1:3" x14ac:dyDescent="0.25">
      <c r="A80" t="s">
        <v>825</v>
      </c>
      <c r="B80" t="s">
        <v>826</v>
      </c>
      <c r="C80">
        <v>140.90770000000001</v>
      </c>
    </row>
    <row r="81" spans="1:8" x14ac:dyDescent="0.25">
      <c r="A81" t="s">
        <v>827</v>
      </c>
      <c r="B81" t="s">
        <v>828</v>
      </c>
      <c r="C81">
        <v>195.078</v>
      </c>
    </row>
    <row r="82" spans="1:8" x14ac:dyDescent="0.25">
      <c r="A82" t="s">
        <v>829</v>
      </c>
      <c r="B82" t="s">
        <v>830</v>
      </c>
      <c r="C82">
        <v>244</v>
      </c>
    </row>
    <row r="83" spans="1:8" x14ac:dyDescent="0.25">
      <c r="A83" t="s">
        <v>831</v>
      </c>
      <c r="B83" t="s">
        <v>832</v>
      </c>
      <c r="C83">
        <v>226</v>
      </c>
      <c r="E83" s="39"/>
      <c r="F83" s="39"/>
      <c r="G83" s="39"/>
      <c r="H83" s="39"/>
    </row>
    <row r="84" spans="1:8" ht="15" customHeight="1" x14ac:dyDescent="0.25">
      <c r="A84" t="s">
        <v>833</v>
      </c>
      <c r="B84" t="s">
        <v>834</v>
      </c>
      <c r="C84">
        <v>85.467799999999997</v>
      </c>
      <c r="E84" s="39"/>
      <c r="F84" s="39"/>
      <c r="G84" s="39"/>
      <c r="H84" s="39"/>
    </row>
    <row r="85" spans="1:8" x14ac:dyDescent="0.25">
      <c r="A85" t="s">
        <v>835</v>
      </c>
      <c r="B85" t="s">
        <v>836</v>
      </c>
      <c r="C85">
        <v>186.20699999999999</v>
      </c>
      <c r="E85" s="39"/>
      <c r="F85" s="39"/>
      <c r="G85" s="39"/>
      <c r="H85" s="39"/>
    </row>
    <row r="86" spans="1:8" x14ac:dyDescent="0.25">
      <c r="A86" t="s">
        <v>837</v>
      </c>
      <c r="B86" t="s">
        <v>838</v>
      </c>
      <c r="C86">
        <v>261</v>
      </c>
    </row>
    <row r="87" spans="1:8" x14ac:dyDescent="0.25">
      <c r="A87" t="s">
        <v>839</v>
      </c>
      <c r="B87" t="s">
        <v>840</v>
      </c>
      <c r="C87">
        <v>272</v>
      </c>
    </row>
    <row r="88" spans="1:8" x14ac:dyDescent="0.25">
      <c r="A88" t="s">
        <v>841</v>
      </c>
      <c r="B88" t="s">
        <v>842</v>
      </c>
      <c r="C88">
        <v>102.9055</v>
      </c>
    </row>
    <row r="89" spans="1:8" x14ac:dyDescent="0.25">
      <c r="A89" t="s">
        <v>843</v>
      </c>
      <c r="B89" t="s">
        <v>844</v>
      </c>
      <c r="C89">
        <v>222</v>
      </c>
    </row>
    <row r="90" spans="1:8" x14ac:dyDescent="0.25">
      <c r="A90" t="s">
        <v>845</v>
      </c>
      <c r="B90" t="s">
        <v>846</v>
      </c>
      <c r="C90">
        <v>101.07</v>
      </c>
      <c r="E90" s="39"/>
      <c r="F90" s="39"/>
      <c r="G90" s="39"/>
      <c r="H90" s="39"/>
    </row>
    <row r="91" spans="1:8" ht="15" customHeight="1" x14ac:dyDescent="0.25">
      <c r="A91" t="s">
        <v>847</v>
      </c>
      <c r="B91" t="s">
        <v>848</v>
      </c>
      <c r="C91">
        <v>32.064999999999998</v>
      </c>
      <c r="E91" s="39"/>
      <c r="F91" s="39"/>
      <c r="G91" s="39"/>
      <c r="H91" s="39"/>
    </row>
    <row r="92" spans="1:8" x14ac:dyDescent="0.25">
      <c r="A92" t="s">
        <v>849</v>
      </c>
      <c r="B92" t="s">
        <v>850</v>
      </c>
      <c r="C92">
        <v>121.76</v>
      </c>
      <c r="E92" s="39"/>
      <c r="F92" s="39"/>
      <c r="G92" s="39"/>
      <c r="H92" s="39"/>
    </row>
    <row r="93" spans="1:8" x14ac:dyDescent="0.25">
      <c r="A93" t="s">
        <v>851</v>
      </c>
      <c r="B93" t="s">
        <v>852</v>
      </c>
      <c r="C93">
        <v>44.9559</v>
      </c>
    </row>
    <row r="94" spans="1:8" x14ac:dyDescent="0.25">
      <c r="A94" t="s">
        <v>853</v>
      </c>
      <c r="B94" t="s">
        <v>854</v>
      </c>
      <c r="C94">
        <v>78.959999999999994</v>
      </c>
    </row>
    <row r="95" spans="1:8" x14ac:dyDescent="0.25">
      <c r="A95" t="s">
        <v>855</v>
      </c>
      <c r="B95" t="s">
        <v>856</v>
      </c>
      <c r="C95">
        <v>266</v>
      </c>
      <c r="E95" s="39"/>
      <c r="F95" s="39"/>
      <c r="G95" s="39"/>
      <c r="H95" s="39"/>
    </row>
    <row r="96" spans="1:8" ht="15" customHeight="1" x14ac:dyDescent="0.25">
      <c r="A96" t="s">
        <v>59</v>
      </c>
      <c r="B96" t="s">
        <v>45</v>
      </c>
      <c r="C96">
        <v>28.0855</v>
      </c>
      <c r="E96" s="39"/>
      <c r="F96" s="39"/>
      <c r="G96" s="39"/>
      <c r="H96" s="39"/>
    </row>
    <row r="97" spans="1:8" x14ac:dyDescent="0.25">
      <c r="A97" t="s">
        <v>857</v>
      </c>
      <c r="B97" t="s">
        <v>858</v>
      </c>
      <c r="C97">
        <v>150.36000000000001</v>
      </c>
      <c r="E97" s="39"/>
      <c r="F97" s="39"/>
      <c r="G97" s="39"/>
      <c r="H97" s="39"/>
    </row>
    <row r="98" spans="1:8" x14ac:dyDescent="0.25">
      <c r="A98" t="s">
        <v>859</v>
      </c>
      <c r="B98" t="s">
        <v>860</v>
      </c>
      <c r="C98">
        <v>118.71</v>
      </c>
    </row>
    <row r="99" spans="1:8" x14ac:dyDescent="0.25">
      <c r="A99" t="s">
        <v>861</v>
      </c>
      <c r="B99" t="s">
        <v>862</v>
      </c>
      <c r="C99">
        <v>87.62</v>
      </c>
    </row>
    <row r="100" spans="1:8" x14ac:dyDescent="0.25">
      <c r="A100" t="s">
        <v>863</v>
      </c>
      <c r="B100" t="s">
        <v>864</v>
      </c>
      <c r="C100">
        <v>180.9479</v>
      </c>
    </row>
    <row r="101" spans="1:8" x14ac:dyDescent="0.25">
      <c r="A101" t="s">
        <v>865</v>
      </c>
      <c r="B101" t="s">
        <v>866</v>
      </c>
      <c r="C101">
        <v>158.92529999999999</v>
      </c>
    </row>
    <row r="102" spans="1:8" x14ac:dyDescent="0.25">
      <c r="A102" t="s">
        <v>867</v>
      </c>
      <c r="B102" t="s">
        <v>868</v>
      </c>
      <c r="C102">
        <v>98</v>
      </c>
    </row>
    <row r="103" spans="1:8" x14ac:dyDescent="0.25">
      <c r="A103" t="s">
        <v>869</v>
      </c>
      <c r="B103" t="s">
        <v>870</v>
      </c>
      <c r="C103">
        <v>127.6</v>
      </c>
    </row>
    <row r="104" spans="1:8" x14ac:dyDescent="0.25">
      <c r="A104" t="s">
        <v>871</v>
      </c>
      <c r="B104" t="s">
        <v>872</v>
      </c>
      <c r="C104">
        <v>232.03809999999999</v>
      </c>
    </row>
    <row r="105" spans="1:8" x14ac:dyDescent="0.25">
      <c r="A105" t="s">
        <v>633</v>
      </c>
      <c r="B105" t="s">
        <v>74</v>
      </c>
      <c r="C105">
        <v>47.875999999999998</v>
      </c>
    </row>
    <row r="106" spans="1:8" x14ac:dyDescent="0.25">
      <c r="A106" t="s">
        <v>873</v>
      </c>
      <c r="B106" t="s">
        <v>874</v>
      </c>
      <c r="C106">
        <v>204.38329999999999</v>
      </c>
    </row>
    <row r="107" spans="1:8" x14ac:dyDescent="0.25">
      <c r="A107" t="s">
        <v>875</v>
      </c>
      <c r="B107" t="s">
        <v>876</v>
      </c>
      <c r="C107">
        <v>168.9342</v>
      </c>
    </row>
    <row r="108" spans="1:8" x14ac:dyDescent="0.25">
      <c r="A108" t="s">
        <v>877</v>
      </c>
      <c r="B108" t="s">
        <v>878</v>
      </c>
      <c r="C108">
        <v>238.02889999999999</v>
      </c>
    </row>
    <row r="109" spans="1:8" x14ac:dyDescent="0.25">
      <c r="A109" t="s">
        <v>879</v>
      </c>
      <c r="B109" t="s">
        <v>880</v>
      </c>
      <c r="C109">
        <v>50.941499999999998</v>
      </c>
    </row>
    <row r="110" spans="1:8" x14ac:dyDescent="0.25">
      <c r="A110" t="s">
        <v>881</v>
      </c>
      <c r="B110" t="s">
        <v>882</v>
      </c>
      <c r="C110">
        <v>183.84</v>
      </c>
    </row>
    <row r="111" spans="1:8" x14ac:dyDescent="0.25">
      <c r="A111" t="s">
        <v>883</v>
      </c>
      <c r="B111" t="s">
        <v>884</v>
      </c>
      <c r="C111">
        <v>131.29300000000001</v>
      </c>
    </row>
    <row r="112" spans="1:8" x14ac:dyDescent="0.25">
      <c r="A112" t="s">
        <v>885</v>
      </c>
      <c r="B112" t="s">
        <v>70</v>
      </c>
      <c r="C112">
        <v>88.905900000000003</v>
      </c>
    </row>
    <row r="113" spans="1:3" x14ac:dyDescent="0.25">
      <c r="A113" t="s">
        <v>886</v>
      </c>
      <c r="B113" t="s">
        <v>887</v>
      </c>
      <c r="C113">
        <v>173.04</v>
      </c>
    </row>
    <row r="114" spans="1:3" x14ac:dyDescent="0.25">
      <c r="A114" t="s">
        <v>888</v>
      </c>
      <c r="B114" t="s">
        <v>889</v>
      </c>
      <c r="C114">
        <v>65.39</v>
      </c>
    </row>
    <row r="115" spans="1:3" x14ac:dyDescent="0.25">
      <c r="A115" s="11" t="s">
        <v>890</v>
      </c>
      <c r="B115" s="11" t="s">
        <v>72</v>
      </c>
      <c r="C115" s="11">
        <v>91.224000000000004</v>
      </c>
    </row>
  </sheetData>
  <mergeCells count="2">
    <mergeCell ref="A1:D1"/>
    <mergeCell ref="BB3:BF3"/>
  </mergeCells>
  <hyperlinks>
    <hyperlink ref="AE4" r:id="rId1" xr:uid="{00000000-0004-0000-0F00-000000000000}"/>
    <hyperlink ref="Y4" r:id="rId2" xr:uid="{00000000-0004-0000-0F00-000001000000}"/>
    <hyperlink ref="O4" r:id="rId3" xr:uid="{00000000-0004-0000-0F00-000002000000}"/>
    <hyperlink ref="AK12" r:id="rId4" xr:uid="{00000000-0004-0000-0F00-000003000000}"/>
    <hyperlink ref="AK13" r:id="rId5" display="http://www.metalprices.com/" xr:uid="{00000000-0004-0000-0F00-000004000000}"/>
    <hyperlink ref="AK11" r:id="rId6" xr:uid="{00000000-0004-0000-0F00-000005000000}"/>
    <hyperlink ref="AK21" r:id="rId7" xr:uid="{00000000-0004-0000-0F00-000006000000}"/>
    <hyperlink ref="AK22" r:id="rId8" xr:uid="{00000000-0004-0000-0F00-000007000000}"/>
    <hyperlink ref="AK26" r:id="rId9" xr:uid="{00000000-0004-0000-0F00-000008000000}"/>
    <hyperlink ref="T4" r:id="rId10" xr:uid="{00000000-0004-0000-0F00-000009000000}"/>
    <hyperlink ref="S31" r:id="rId11" xr:uid="{00000000-0004-0000-0F00-00000D000000}"/>
    <hyperlink ref="S30" r:id="rId12" xr:uid="{4DEB0523-44A5-4619-BB83-395AB519F76D}"/>
  </hyperlinks>
  <pageMargins left="0.7" right="0.7" top="0.75" bottom="0.75" header="0.3" footer="0.3"/>
  <pageSetup orientation="portrait" horizontalDpi="300" verticalDpi="300"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0" tint="-0.499984740745262"/>
    <pageSetUpPr fitToPage="1"/>
  </sheetPr>
  <dimension ref="A1:O10"/>
  <sheetViews>
    <sheetView topLeftCell="C1" zoomScaleNormal="100" workbookViewId="0">
      <selection activeCell="D17" sqref="D17"/>
    </sheetView>
  </sheetViews>
  <sheetFormatPr defaultRowHeight="15" x14ac:dyDescent="0.25"/>
  <cols>
    <col min="3" max="4" width="19.85546875" customWidth="1"/>
    <col min="5" max="5" width="10.5703125" bestFit="1" customWidth="1"/>
    <col min="6" max="6" width="13.5703125" customWidth="1"/>
    <col min="7" max="7" width="16.42578125" bestFit="1" customWidth="1"/>
    <col min="8" max="8" width="13.42578125" customWidth="1"/>
    <col min="9" max="9" width="15.5703125" customWidth="1"/>
    <col min="10" max="10" width="12" customWidth="1"/>
    <col min="11" max="11" width="9.140625" style="121"/>
    <col min="15" max="15" width="9.140625" customWidth="1"/>
  </cols>
  <sheetData>
    <row r="1" spans="1:15" x14ac:dyDescent="0.25">
      <c r="A1" s="122" t="s">
        <v>612</v>
      </c>
      <c r="B1" s="122"/>
      <c r="C1" s="122"/>
      <c r="D1" s="122"/>
      <c r="K1" s="762"/>
    </row>
    <row r="2" spans="1:15" x14ac:dyDescent="0.25">
      <c r="A2" s="128"/>
      <c r="K2" s="762"/>
    </row>
    <row r="3" spans="1:15" x14ac:dyDescent="0.25">
      <c r="A3" s="164"/>
      <c r="K3" s="762"/>
    </row>
    <row r="4" spans="1:15" ht="21" x14ac:dyDescent="0.35">
      <c r="A4" s="79" t="s">
        <v>27</v>
      </c>
      <c r="K4" s="762"/>
    </row>
    <row r="5" spans="1:15" x14ac:dyDescent="0.25">
      <c r="E5" s="114">
        <f>SUM(E7:E10)</f>
        <v>0</v>
      </c>
      <c r="F5" s="113"/>
      <c r="G5" s="118">
        <f>SUM(G7:G10)</f>
        <v>0</v>
      </c>
      <c r="I5" s="114">
        <f>SUM(I7:I10)</f>
        <v>0</v>
      </c>
      <c r="K5" s="762"/>
    </row>
    <row r="6" spans="1:15" x14ac:dyDescent="0.25">
      <c r="B6" s="84" t="s">
        <v>891</v>
      </c>
      <c r="C6" s="84" t="s">
        <v>892</v>
      </c>
      <c r="D6" s="88" t="s">
        <v>893</v>
      </c>
      <c r="E6" s="88" t="s">
        <v>894</v>
      </c>
      <c r="F6" s="88" t="s">
        <v>895</v>
      </c>
      <c r="G6" s="88" t="s">
        <v>896</v>
      </c>
      <c r="H6" s="80" t="s">
        <v>897</v>
      </c>
      <c r="I6" s="134" t="s">
        <v>898</v>
      </c>
      <c r="K6" s="158" t="s">
        <v>543</v>
      </c>
      <c r="L6" s="84"/>
      <c r="M6" s="84"/>
      <c r="N6" s="84"/>
      <c r="O6" s="84"/>
    </row>
    <row r="7" spans="1:15" x14ac:dyDescent="0.25">
      <c r="B7" t="s">
        <v>497</v>
      </c>
      <c r="C7" t="s">
        <v>529</v>
      </c>
      <c r="D7" s="145">
        <f>Equipment!V5</f>
        <v>0</v>
      </c>
      <c r="E7" s="145">
        <f>Equipment!V5*OPEX!$D$4</f>
        <v>0</v>
      </c>
      <c r="F7" s="116"/>
      <c r="G7" s="51">
        <f>E7*24*365*IF(K9="onsite",Reference!Z12,Reference!Z13)</f>
        <v>0</v>
      </c>
      <c r="H7" s="47">
        <f>804*(1/2.20462)</f>
        <v>364.68869918625433</v>
      </c>
      <c r="I7" s="109">
        <f>H7*E7*24*365*(1/1000)</f>
        <v>0</v>
      </c>
      <c r="K7" s="14">
        <v>5</v>
      </c>
      <c r="L7" t="s">
        <v>899</v>
      </c>
    </row>
    <row r="8" spans="1:15" x14ac:dyDescent="0.25">
      <c r="B8" t="s">
        <v>498</v>
      </c>
      <c r="C8" t="s">
        <v>530</v>
      </c>
      <c r="D8" s="145">
        <f>Equipment!W5</f>
        <v>0</v>
      </c>
      <c r="E8" s="145">
        <f>Equipment!W5*OPEX!$D$4</f>
        <v>0</v>
      </c>
      <c r="F8" s="115">
        <f>E8*1000*(1/Reference!$G$5)*3600</f>
        <v>0</v>
      </c>
      <c r="G8" s="51">
        <f>E8*(0.000001)*3600*24*365*Reference!$Z$6</f>
        <v>0</v>
      </c>
      <c r="H8" s="47">
        <f>(1/Reference!G5)*1000*(1/16)*3600*44*(1/1000)</f>
        <v>189.56561451288459</v>
      </c>
      <c r="I8" s="109">
        <f>H8*E8*24*365*(1/1000)</f>
        <v>0</v>
      </c>
      <c r="K8" s="14" t="s">
        <v>900</v>
      </c>
      <c r="L8" t="s">
        <v>901</v>
      </c>
    </row>
    <row r="9" spans="1:15" x14ac:dyDescent="0.25">
      <c r="B9" t="s">
        <v>499</v>
      </c>
      <c r="C9" t="s">
        <v>902</v>
      </c>
      <c r="D9" s="145">
        <f>Equipment!X5</f>
        <v>0</v>
      </c>
      <c r="E9" s="145">
        <f>Equipment!X5*OPEX!$D$4</f>
        <v>0</v>
      </c>
      <c r="F9" s="115">
        <f>E9*3600*(1/4.184)*(1/$K$7)</f>
        <v>0</v>
      </c>
      <c r="G9" s="49">
        <f>(1/1000)*F9*24*365*(IF((F9*(1/3600)*(1/1000))&gt;10,(0.00007+(0.000025)*(1/(10)))*VLOOKUP(Reference!$Z$1,Reference!$J$6:$K$28,2,FALSE)+0.003*Reference!$AA$12,IF((F9*(1/3600)*(1/1000))&lt;0.01,(0.00007+(0.000025)*(1/(0.01)))*VLOOKUP(Reference!$Z$1,Reference!$J$6:$K$28,2,FALSE)+0.003*Reference!$AA$12,(0.00007+(0.000025)*(1/((F9*(1/3600)*(1/1000)))))*VLOOKUP(Reference!$Z$1,Reference!$J$6:$K$28,2,FALSE)+0.003*Reference!$AA$12)))</f>
        <v>0</v>
      </c>
      <c r="H9" s="47">
        <f>IF(K8="chiller",804*(1/2.20462),0)</f>
        <v>0</v>
      </c>
      <c r="I9" s="109">
        <f>H9*E9*24*365*(1/1000)</f>
        <v>0</v>
      </c>
      <c r="K9" s="14" t="s">
        <v>903</v>
      </c>
      <c r="L9" t="s">
        <v>904</v>
      </c>
    </row>
    <row r="10" spans="1:15" x14ac:dyDescent="0.25">
      <c r="B10" t="s">
        <v>500</v>
      </c>
      <c r="C10" t="s">
        <v>532</v>
      </c>
      <c r="D10" s="49">
        <f>Equipment!Y5</f>
        <v>0</v>
      </c>
      <c r="E10" s="49">
        <f>Equipment!Y5*OPEX!$D$4</f>
        <v>0</v>
      </c>
      <c r="F10" s="116"/>
      <c r="G10" s="109">
        <f>E10*24*365*IF(K9="onsite",Reference!Z12,Reference!Z13)</f>
        <v>0</v>
      </c>
      <c r="H10" s="47">
        <f>804*(1/2.20462)</f>
        <v>364.68869918625433</v>
      </c>
      <c r="I10" s="109">
        <f>H10*E10*24*365*(1/1000)</f>
        <v>0</v>
      </c>
      <c r="K10" s="762"/>
    </row>
  </sheetData>
  <dataValidations count="2">
    <dataValidation type="list" allowBlank="1" showInputMessage="1" showErrorMessage="1" sqref="K8" xr:uid="{00000000-0002-0000-1000-000000000000}">
      <formula1>"river, chiller"</formula1>
    </dataValidation>
    <dataValidation type="list" allowBlank="1" showInputMessage="1" showErrorMessage="1" sqref="K9" xr:uid="{00000000-0002-0000-1000-000001000000}">
      <formula1>"onsite,offsite"</formula1>
    </dataValidation>
  </dataValidations>
  <pageMargins left="0.7" right="0.7" top="0.75" bottom="0.75" header="0.3" footer="0.3"/>
  <pageSetup scale="52"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D11"/>
  <sheetViews>
    <sheetView zoomScaleNormal="100" workbookViewId="0">
      <selection activeCell="J21" sqref="J21"/>
    </sheetView>
  </sheetViews>
  <sheetFormatPr defaultRowHeight="15" x14ac:dyDescent="0.25"/>
  <cols>
    <col min="1" max="1" width="9.140625" style="121"/>
  </cols>
  <sheetData>
    <row r="1" spans="1:4" x14ac:dyDescent="0.25">
      <c r="A1" s="771" t="s">
        <v>612</v>
      </c>
      <c r="B1" s="159"/>
      <c r="C1" s="122"/>
      <c r="D1" s="122"/>
    </row>
    <row r="4" spans="1:4" ht="21" x14ac:dyDescent="0.35">
      <c r="A4" s="162" t="s">
        <v>905</v>
      </c>
    </row>
    <row r="5" spans="1:4" x14ac:dyDescent="0.25">
      <c r="A5" s="762" t="s">
        <v>906</v>
      </c>
      <c r="B5" s="128" t="s">
        <v>907</v>
      </c>
    </row>
    <row r="6" spans="1:4" x14ac:dyDescent="0.25">
      <c r="A6" s="762" t="s">
        <v>908</v>
      </c>
      <c r="B6" s="128" t="s">
        <v>909</v>
      </c>
    </row>
    <row r="7" spans="1:4" x14ac:dyDescent="0.25">
      <c r="A7" s="762" t="s">
        <v>910</v>
      </c>
      <c r="B7" s="10" t="s">
        <v>911</v>
      </c>
    </row>
    <row r="8" spans="1:4" x14ac:dyDescent="0.25">
      <c r="A8" s="762" t="s">
        <v>912</v>
      </c>
      <c r="B8" s="10" t="s">
        <v>913</v>
      </c>
    </row>
    <row r="9" spans="1:4" x14ac:dyDescent="0.25">
      <c r="A9" s="762" t="s">
        <v>914</v>
      </c>
      <c r="B9" s="128" t="s">
        <v>915</v>
      </c>
    </row>
    <row r="10" spans="1:4" x14ac:dyDescent="0.25">
      <c r="A10" s="762" t="s">
        <v>916</v>
      </c>
      <c r="B10" s="10" t="s">
        <v>917</v>
      </c>
    </row>
    <row r="11" spans="1:4" x14ac:dyDescent="0.25">
      <c r="A11" s="762" t="s">
        <v>918</v>
      </c>
      <c r="B11" s="10" t="s">
        <v>919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0" tint="-0.499984740745262"/>
  </sheetPr>
  <dimension ref="A1:D60"/>
  <sheetViews>
    <sheetView topLeftCell="A59" zoomScaleNormal="100" workbookViewId="0">
      <selection activeCell="G16" sqref="G16"/>
    </sheetView>
  </sheetViews>
  <sheetFormatPr defaultRowHeight="15" x14ac:dyDescent="0.25"/>
  <cols>
    <col min="2" max="2" width="42.5703125" customWidth="1"/>
  </cols>
  <sheetData>
    <row r="1" spans="1:4" x14ac:dyDescent="0.25">
      <c r="A1" s="823" t="s">
        <v>612</v>
      </c>
      <c r="B1" s="823"/>
    </row>
    <row r="4" spans="1:4" ht="21" x14ac:dyDescent="0.35">
      <c r="A4" s="79" t="s">
        <v>920</v>
      </c>
    </row>
    <row r="7" spans="1:4" x14ac:dyDescent="0.25">
      <c r="C7" s="8" t="s">
        <v>921</v>
      </c>
      <c r="D7" s="8" t="s">
        <v>922</v>
      </c>
    </row>
    <row r="8" spans="1:4" x14ac:dyDescent="0.25">
      <c r="A8" s="184"/>
    </row>
    <row r="9" spans="1:4" x14ac:dyDescent="0.25">
      <c r="A9" s="184" t="s">
        <v>923</v>
      </c>
    </row>
    <row r="10" spans="1:4" x14ac:dyDescent="0.25">
      <c r="A10" s="184"/>
      <c r="B10" t="s">
        <v>924</v>
      </c>
      <c r="C10" s="17" t="s">
        <v>66</v>
      </c>
      <c r="D10" s="150" t="str">
        <f>Streams!J8</f>
        <v>O</v>
      </c>
    </row>
    <row r="11" spans="1:4" x14ac:dyDescent="0.25">
      <c r="A11" s="184" t="s">
        <v>925</v>
      </c>
      <c r="C11" s="17"/>
      <c r="D11" s="150"/>
    </row>
    <row r="12" spans="1:4" x14ac:dyDescent="0.25">
      <c r="A12" s="184"/>
      <c r="B12" t="s">
        <v>926</v>
      </c>
      <c r="C12" s="17" t="s">
        <v>604</v>
      </c>
      <c r="D12" s="150">
        <f>Compositions!AT7</f>
        <v>0</v>
      </c>
    </row>
    <row r="13" spans="1:4" x14ac:dyDescent="0.25">
      <c r="A13" s="184"/>
      <c r="B13" t="s">
        <v>927</v>
      </c>
      <c r="C13" s="17" t="s">
        <v>705</v>
      </c>
      <c r="D13" s="150">
        <f>Compositions!AU7</f>
        <v>0</v>
      </c>
    </row>
    <row r="14" spans="1:4" x14ac:dyDescent="0.25">
      <c r="A14" s="184"/>
      <c r="B14" t="s">
        <v>928</v>
      </c>
      <c r="C14" s="17" t="s">
        <v>71</v>
      </c>
      <c r="D14" s="150">
        <f>Compositions!AV7</f>
        <v>0</v>
      </c>
    </row>
    <row r="15" spans="1:4" x14ac:dyDescent="0.25">
      <c r="A15" s="184" t="s">
        <v>929</v>
      </c>
      <c r="C15" s="17"/>
      <c r="D15" s="150"/>
    </row>
    <row r="16" spans="1:4" x14ac:dyDescent="0.25">
      <c r="A16" s="184"/>
      <c r="B16" t="s">
        <v>930</v>
      </c>
      <c r="C16" s="17">
        <v>0.18</v>
      </c>
      <c r="D16" s="150">
        <f>Equipment!I8</f>
        <v>0.18</v>
      </c>
    </row>
    <row r="17" spans="1:4" x14ac:dyDescent="0.25">
      <c r="A17" s="184"/>
      <c r="B17" t="s">
        <v>931</v>
      </c>
      <c r="C17" s="17" t="s">
        <v>502</v>
      </c>
      <c r="D17" s="150" t="str">
        <f>Equipment!E5</f>
        <v>no</v>
      </c>
    </row>
    <row r="18" spans="1:4" x14ac:dyDescent="0.25">
      <c r="A18" s="184" t="s">
        <v>932</v>
      </c>
      <c r="C18" s="17"/>
      <c r="D18" s="17"/>
    </row>
    <row r="19" spans="1:4" x14ac:dyDescent="0.25">
      <c r="A19" s="184"/>
      <c r="B19" t="s">
        <v>382</v>
      </c>
      <c r="C19" s="17">
        <v>0.35390946502048465</v>
      </c>
      <c r="D19" s="17">
        <f>CAPEX!D9</f>
        <v>0.35390946502048498</v>
      </c>
    </row>
    <row r="20" spans="1:4" x14ac:dyDescent="0.25">
      <c r="A20" s="184"/>
      <c r="B20" t="s">
        <v>384</v>
      </c>
      <c r="C20" s="17">
        <v>0.21399177670498548</v>
      </c>
      <c r="D20" s="17">
        <f>CAPEX!D10</f>
        <v>0.21399177670498548</v>
      </c>
    </row>
    <row r="21" spans="1:4" x14ac:dyDescent="0.25">
      <c r="A21" s="184"/>
      <c r="B21" t="s">
        <v>385</v>
      </c>
      <c r="C21" s="17">
        <v>5.3497942387202159E-2</v>
      </c>
      <c r="D21" s="17">
        <f>CAPEX!D11</f>
        <v>5.3497942387202159E-2</v>
      </c>
    </row>
    <row r="22" spans="1:4" x14ac:dyDescent="0.25">
      <c r="A22" s="184"/>
      <c r="B22" t="s">
        <v>387</v>
      </c>
      <c r="C22" s="17">
        <v>2.469135086664126E-2</v>
      </c>
      <c r="D22" s="17">
        <f>CAPEX!D12</f>
        <v>2.469135086664126E-2</v>
      </c>
    </row>
    <row r="23" spans="1:4" x14ac:dyDescent="0.25">
      <c r="A23" s="184"/>
      <c r="B23" t="s">
        <v>933</v>
      </c>
      <c r="C23" s="17">
        <v>5.0000000000000001E-3</v>
      </c>
      <c r="D23" s="17">
        <f>CAPEX!D13</f>
        <v>5.0000000000000001E-3</v>
      </c>
    </row>
    <row r="24" spans="1:4" x14ac:dyDescent="0.25">
      <c r="A24" s="184"/>
      <c r="B24" t="s">
        <v>395</v>
      </c>
      <c r="C24" s="17">
        <v>0.19235306721402026</v>
      </c>
      <c r="D24" s="17">
        <f>CAPEX!D15</f>
        <v>0.19235306721402026</v>
      </c>
    </row>
    <row r="25" spans="1:4" x14ac:dyDescent="0.25">
      <c r="A25" s="184"/>
      <c r="B25" t="s">
        <v>398</v>
      </c>
      <c r="C25" s="17">
        <v>0.09</v>
      </c>
      <c r="D25" s="17">
        <f>CAPEX!D16</f>
        <v>0.09</v>
      </c>
    </row>
    <row r="26" spans="1:4" x14ac:dyDescent="0.25">
      <c r="A26" s="184" t="s">
        <v>934</v>
      </c>
      <c r="C26" s="17"/>
      <c r="D26" s="17"/>
    </row>
    <row r="27" spans="1:4" x14ac:dyDescent="0.25">
      <c r="A27" s="184"/>
      <c r="B27" t="str">
        <f>OPEX!C11</f>
        <v>Maintenance</v>
      </c>
      <c r="C27" s="17">
        <v>7.5000000000000011E-2</v>
      </c>
      <c r="D27" s="17">
        <f>OPEX!D11</f>
        <v>7.5000000000000011E-2</v>
      </c>
    </row>
    <row r="28" spans="1:4" x14ac:dyDescent="0.25">
      <c r="A28" s="184"/>
      <c r="B28" t="str">
        <f>OPEX!C12</f>
        <v>Operating Labor (OL)</v>
      </c>
      <c r="C28" s="17">
        <v>45</v>
      </c>
      <c r="D28" s="17">
        <f>OPEX!D12</f>
        <v>0</v>
      </c>
    </row>
    <row r="29" spans="1:4" x14ac:dyDescent="0.25">
      <c r="A29" s="184"/>
      <c r="B29" t="str">
        <f>OPEX!C13</f>
        <v>Laboratory Costs</v>
      </c>
      <c r="C29" s="17">
        <v>0.21500000000000002</v>
      </c>
      <c r="D29" s="17">
        <f>OPEX!D13</f>
        <v>0.21500000000000002</v>
      </c>
    </row>
    <row r="30" spans="1:4" x14ac:dyDescent="0.25">
      <c r="A30" s="184"/>
      <c r="B30" t="str">
        <f>OPEX!C14</f>
        <v>Supervision</v>
      </c>
      <c r="C30" s="17">
        <v>0.2</v>
      </c>
      <c r="D30" s="17">
        <f>OPEX!D14</f>
        <v>0.2</v>
      </c>
    </row>
    <row r="31" spans="1:4" x14ac:dyDescent="0.25">
      <c r="A31" s="184"/>
      <c r="B31" t="str">
        <f>OPEX!C15</f>
        <v>Plant Overheads</v>
      </c>
      <c r="C31" s="17">
        <v>0.5</v>
      </c>
      <c r="D31" s="17">
        <f>OPEX!D15</f>
        <v>0.5</v>
      </c>
    </row>
    <row r="32" spans="1:4" x14ac:dyDescent="0.25">
      <c r="A32" s="184"/>
      <c r="B32" t="str">
        <f>OPEX!C16</f>
        <v>Insurance</v>
      </c>
      <c r="C32" s="17">
        <v>0.01</v>
      </c>
      <c r="D32" s="17">
        <f>OPEX!D16</f>
        <v>0.01</v>
      </c>
    </row>
    <row r="33" spans="1:4" x14ac:dyDescent="0.25">
      <c r="A33" s="184"/>
      <c r="B33" t="str">
        <f>OPEX!C17</f>
        <v>Royalties</v>
      </c>
      <c r="C33" s="17">
        <v>0.01</v>
      </c>
      <c r="D33" s="17">
        <f>OPEX!D17</f>
        <v>0.01</v>
      </c>
    </row>
    <row r="34" spans="1:4" x14ac:dyDescent="0.25">
      <c r="A34" s="184"/>
      <c r="B34" t="str">
        <f>OPEX!C26</f>
        <v>Miscellaneous Materials</v>
      </c>
      <c r="C34" s="17">
        <v>0.1</v>
      </c>
      <c r="D34" s="17">
        <f>OPEX!D26</f>
        <v>0.1</v>
      </c>
    </row>
    <row r="35" spans="1:4" x14ac:dyDescent="0.25">
      <c r="A35" s="184" t="s">
        <v>935</v>
      </c>
      <c r="C35" s="17"/>
      <c r="D35" s="17"/>
    </row>
    <row r="36" spans="1:4" x14ac:dyDescent="0.25">
      <c r="A36" s="184"/>
      <c r="B36" t="str">
        <f>Financial!C10</f>
        <v>Debt</v>
      </c>
      <c r="C36" s="17">
        <v>0.5</v>
      </c>
      <c r="D36" s="17">
        <f>Financial!E10</f>
        <v>0.5</v>
      </c>
    </row>
    <row r="37" spans="1:4" x14ac:dyDescent="0.25">
      <c r="A37" s="184"/>
      <c r="B37" t="str">
        <f>Financial!C12</f>
        <v>Interest on debt</v>
      </c>
      <c r="C37" s="17">
        <v>4.4999999999999998E-2</v>
      </c>
      <c r="D37" s="17">
        <f>Financial!E12</f>
        <v>4.4999999999999998E-2</v>
      </c>
    </row>
    <row r="38" spans="1:4" x14ac:dyDescent="0.25">
      <c r="A38" s="184"/>
      <c r="B38" t="str">
        <f>Financial!C13</f>
        <v>Profit sharing by equity investors</v>
      </c>
      <c r="C38" s="17">
        <v>0.15</v>
      </c>
      <c r="D38" s="17">
        <f>Financial!E13</f>
        <v>0.15</v>
      </c>
    </row>
    <row r="39" spans="1:4" x14ac:dyDescent="0.25">
      <c r="A39" s="184"/>
      <c r="B39" t="str">
        <f>Financial!C14</f>
        <v>Repayment term of debt</v>
      </c>
      <c r="C39" s="17">
        <v>15</v>
      </c>
      <c r="D39" s="17">
        <f>Financial!E14</f>
        <v>15</v>
      </c>
    </row>
    <row r="40" spans="1:4" x14ac:dyDescent="0.25">
      <c r="B40" t="str">
        <f>Financial!C16&amp;" "&amp;Financial!D16</f>
        <v>completion in year 0</v>
      </c>
      <c r="C40" s="17">
        <v>0</v>
      </c>
      <c r="D40" s="17">
        <f>Financial!E16</f>
        <v>0</v>
      </c>
    </row>
    <row r="41" spans="1:4" x14ac:dyDescent="0.25">
      <c r="B41" t="str">
        <f>Financial!C17&amp;" "&amp;Financial!D17</f>
        <v>completion in year 1</v>
      </c>
      <c r="C41" s="17">
        <v>0.1</v>
      </c>
      <c r="D41" s="17">
        <f>Financial!E17</f>
        <v>0.1</v>
      </c>
    </row>
    <row r="42" spans="1:4" x14ac:dyDescent="0.25">
      <c r="B42" t="str">
        <f>Financial!C18&amp;" "&amp;Financial!D18</f>
        <v>completion in year 2</v>
      </c>
      <c r="C42" s="17">
        <v>0.6</v>
      </c>
      <c r="D42" s="17">
        <f>Financial!E18</f>
        <v>0.6</v>
      </c>
    </row>
    <row r="43" spans="1:4" x14ac:dyDescent="0.25">
      <c r="B43" t="str">
        <f>Financial!C19&amp;" "&amp;Financial!D19</f>
        <v>completion in year 3</v>
      </c>
      <c r="C43" s="17">
        <v>0.3</v>
      </c>
      <c r="D43" s="17">
        <f>Financial!E19</f>
        <v>0.3</v>
      </c>
    </row>
    <row r="44" spans="1:4" x14ac:dyDescent="0.25">
      <c r="B44" t="str">
        <f>Financial!C20&amp;" "&amp;Financial!D20</f>
        <v>completion in year 4</v>
      </c>
      <c r="C44" s="17">
        <v>0</v>
      </c>
      <c r="D44" s="17">
        <f>Financial!E20</f>
        <v>0</v>
      </c>
    </row>
    <row r="45" spans="1:4" x14ac:dyDescent="0.25">
      <c r="B45" t="str">
        <f>Financial!C21&amp;" "&amp;Financial!D21</f>
        <v>completion in year 5</v>
      </c>
      <c r="C45" s="17">
        <v>0</v>
      </c>
      <c r="D45" s="17">
        <f>Financial!E21</f>
        <v>0</v>
      </c>
    </row>
    <row r="46" spans="1:4" x14ac:dyDescent="0.25">
      <c r="B46" t="str">
        <f>Financial!C22</f>
        <v>Operation begins at year</v>
      </c>
      <c r="C46" s="17">
        <v>4</v>
      </c>
      <c r="D46" s="17">
        <f>Financial!E22</f>
        <v>4</v>
      </c>
    </row>
    <row r="47" spans="1:4" x14ac:dyDescent="0.25">
      <c r="B47" t="str">
        <f>Financial!C23</f>
        <v>Operational Period</v>
      </c>
      <c r="C47" s="17">
        <v>30</v>
      </c>
      <c r="D47" s="17">
        <f>Financial!E23</f>
        <v>30</v>
      </c>
    </row>
    <row r="48" spans="1:4" x14ac:dyDescent="0.25">
      <c r="B48" t="str">
        <f>Financial!C24</f>
        <v>Escalation of O&amp;M, fuel, revs</v>
      </c>
      <c r="C48" s="17">
        <v>3.026790256483225E-2</v>
      </c>
      <c r="D48" s="17">
        <f>Financial!E24</f>
        <v>3.026790256483225E-2</v>
      </c>
    </row>
    <row r="49" spans="1:4" x14ac:dyDescent="0.25">
      <c r="B49" t="str">
        <f>Financial!C25</f>
        <v>Discount rate</v>
      </c>
      <c r="C49" s="17">
        <v>3.026790256483225E-2</v>
      </c>
      <c r="D49" s="17">
        <f>Financial!E25</f>
        <v>3.026790256483225E-2</v>
      </c>
    </row>
    <row r="50" spans="1:4" x14ac:dyDescent="0.25">
      <c r="B50" t="str">
        <f>Financial!C26</f>
        <v>Capital Cost Escalation prior to operation</v>
      </c>
      <c r="C50" s="17">
        <v>3.9734737872931802E-3</v>
      </c>
      <c r="D50" s="17">
        <f>Financial!E26</f>
        <v>3.9734737872931802E-3</v>
      </c>
    </row>
    <row r="51" spans="1:4" x14ac:dyDescent="0.25">
      <c r="B51" t="str">
        <f>Financial!C27</f>
        <v>Capital Depreciation period</v>
      </c>
      <c r="C51" s="17">
        <v>20</v>
      </c>
      <c r="D51" s="17">
        <f>Financial!E27</f>
        <v>20</v>
      </c>
    </row>
    <row r="52" spans="1:4" x14ac:dyDescent="0.25">
      <c r="B52" t="str">
        <f>Financial!C28</f>
        <v>Depreciation X-declining balance</v>
      </c>
      <c r="C52" s="17">
        <v>2</v>
      </c>
      <c r="D52" s="17">
        <f>Financial!E28</f>
        <v>2</v>
      </c>
    </row>
    <row r="53" spans="1:4" x14ac:dyDescent="0.25">
      <c r="B53" t="str">
        <f>Financial!C29</f>
        <v>Corporate Tax Rate (fed+state)</v>
      </c>
      <c r="C53" s="17">
        <v>0.35</v>
      </c>
      <c r="D53" s="17">
        <f>Financial!E29</f>
        <v>0.35</v>
      </c>
    </row>
    <row r="54" spans="1:4" x14ac:dyDescent="0.25">
      <c r="B54" t="str">
        <f>Financial!C32</f>
        <v>Cost-Year Dollars</v>
      </c>
      <c r="C54" s="17">
        <v>2012</v>
      </c>
      <c r="D54" s="17">
        <f>Financial!E32</f>
        <v>2012</v>
      </c>
    </row>
    <row r="55" spans="1:4" x14ac:dyDescent="0.25">
      <c r="A55" s="184" t="s">
        <v>936</v>
      </c>
      <c r="C55" s="17"/>
      <c r="D55" s="17"/>
    </row>
    <row r="56" spans="1:4" x14ac:dyDescent="0.25">
      <c r="B56" t="s">
        <v>603</v>
      </c>
      <c r="C56" s="17" t="s">
        <v>604</v>
      </c>
      <c r="D56" s="17" t="str">
        <f>Summary!D22</f>
        <v>CO2</v>
      </c>
    </row>
    <row r="57" spans="1:4" x14ac:dyDescent="0.25">
      <c r="A57" s="184" t="s">
        <v>937</v>
      </c>
      <c r="C57" s="17"/>
      <c r="D57" s="17"/>
    </row>
    <row r="58" spans="1:4" x14ac:dyDescent="0.25">
      <c r="B58" t="s">
        <v>899</v>
      </c>
      <c r="C58" s="17">
        <v>5</v>
      </c>
      <c r="D58" s="17">
        <f>Utilities!K7</f>
        <v>5</v>
      </c>
    </row>
    <row r="59" spans="1:4" x14ac:dyDescent="0.25">
      <c r="B59" t="s">
        <v>901</v>
      </c>
      <c r="C59" s="17" t="s">
        <v>900</v>
      </c>
      <c r="D59" s="17" t="str">
        <f>Utilities!K8</f>
        <v>river</v>
      </c>
    </row>
    <row r="60" spans="1:4" x14ac:dyDescent="0.25">
      <c r="B60" t="s">
        <v>904</v>
      </c>
      <c r="C60" s="17" t="s">
        <v>903</v>
      </c>
      <c r="D60" s="17" t="str">
        <f>Utilities!K9</f>
        <v>offsite</v>
      </c>
    </row>
  </sheetData>
  <mergeCells count="1">
    <mergeCell ref="A1:B1"/>
  </mergeCells>
  <conditionalFormatting sqref="D16 D57:D1017 D18:D55">
    <cfRule type="expression" dxfId="6" priority="7">
      <formula>NOT(D16=C16)</formula>
    </cfRule>
  </conditionalFormatting>
  <conditionalFormatting sqref="D17">
    <cfRule type="expression" dxfId="5" priority="6">
      <formula>NOT(D17=C17)</formula>
    </cfRule>
  </conditionalFormatting>
  <conditionalFormatting sqref="D10">
    <cfRule type="expression" dxfId="4" priority="5">
      <formula>NOT(D10=C10)</formula>
    </cfRule>
  </conditionalFormatting>
  <conditionalFormatting sqref="D11">
    <cfRule type="expression" dxfId="3" priority="4">
      <formula>NOT(D11=C11)</formula>
    </cfRule>
  </conditionalFormatting>
  <conditionalFormatting sqref="D12:D13">
    <cfRule type="expression" dxfId="2" priority="3">
      <formula>NOT(D12=C12)</formula>
    </cfRule>
  </conditionalFormatting>
  <conditionalFormatting sqref="D14">
    <cfRule type="expression" dxfId="1" priority="2">
      <formula>NOT(D14=C14)</formula>
    </cfRule>
  </conditionalFormatting>
  <conditionalFormatting sqref="D15">
    <cfRule type="expression" dxfId="0" priority="1">
      <formula>NOT(D15=C15)</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4F73BA3F886242A0FB9D145B3D0F68" ma:contentTypeVersion="7" ma:contentTypeDescription="Create a new document." ma:contentTypeScope="" ma:versionID="311e518324730459ff817d20ac6e9535">
  <xsd:schema xmlns:xsd="http://www.w3.org/2001/XMLSchema" xmlns:xs="http://www.w3.org/2001/XMLSchema" xmlns:p="http://schemas.microsoft.com/office/2006/metadata/properties" xmlns:ns3="6a21e192-2382-48cb-82a0-bbef9fb40b40" xmlns:ns4="ccdef14c-f656-44ad-b7f9-78a96330fa82" targetNamespace="http://schemas.microsoft.com/office/2006/metadata/properties" ma:root="true" ma:fieldsID="4b40ee2bb7ed960e351f78641aa233b2" ns3:_="" ns4:_="">
    <xsd:import namespace="6a21e192-2382-48cb-82a0-bbef9fb40b40"/>
    <xsd:import namespace="ccdef14c-f656-44ad-b7f9-78a96330fa8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21e192-2382-48cb-82a0-bbef9fb40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def14c-f656-44ad-b7f9-78a96330fa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FB9DBE-7A3A-4C8F-9DBB-5A366D3911D8}">
  <ds:schemaRefs>
    <ds:schemaRef ds:uri="http://purl.org/dc/terms/"/>
    <ds:schemaRef ds:uri="ccdef14c-f656-44ad-b7f9-78a96330fa82"/>
    <ds:schemaRef ds:uri="http://schemas.microsoft.com/office/2006/documentManagement/types"/>
    <ds:schemaRef ds:uri="6a21e192-2382-48cb-82a0-bbef9fb40b4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9A2F764-7547-4275-9CE5-57E162059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21e192-2382-48cb-82a0-bbef9fb40b40"/>
    <ds:schemaRef ds:uri="ccdef14c-f656-44ad-b7f9-78a96330f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84E92-1116-4FF3-9FEB-14942C0008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34</vt:i4>
      </vt:variant>
    </vt:vector>
  </HeadingPairs>
  <TitlesOfParts>
    <vt:vector size="53" baseType="lpstr">
      <vt:lpstr>Intro</vt:lpstr>
      <vt:lpstr>PFD</vt:lpstr>
      <vt:lpstr>Streams</vt:lpstr>
      <vt:lpstr>Compositions</vt:lpstr>
      <vt:lpstr>Material Balance</vt:lpstr>
      <vt:lpstr>Energy Balance</vt:lpstr>
      <vt:lpstr>Cost Analysis (Ref. Interview)</vt:lpstr>
      <vt:lpstr>Cost Analysis (Ref. Model)</vt:lpstr>
      <vt:lpstr>CAPEX1-Al</vt:lpstr>
      <vt:lpstr>CAPEX</vt:lpstr>
      <vt:lpstr>CAPEX1-Si</vt:lpstr>
      <vt:lpstr>OPEX</vt:lpstr>
      <vt:lpstr>Equipment</vt:lpstr>
      <vt:lpstr>Financial</vt:lpstr>
      <vt:lpstr>Summary</vt:lpstr>
      <vt:lpstr>Reference</vt:lpstr>
      <vt:lpstr>Utilities</vt:lpstr>
      <vt:lpstr>Appendix</vt:lpstr>
      <vt:lpstr>ParameterView</vt:lpstr>
      <vt:lpstr>Al2O3MolarMass</vt:lpstr>
      <vt:lpstr>AlMolarMass</vt:lpstr>
      <vt:lpstr>BMolarMass</vt:lpstr>
      <vt:lpstr>CaF2MolarMass</vt:lpstr>
      <vt:lpstr>CaMolarMass</vt:lpstr>
      <vt:lpstr>CaOMolarMass</vt:lpstr>
      <vt:lpstr>CheckStreamComp</vt:lpstr>
      <vt:lpstr>DescribeSpecies</vt:lpstr>
      <vt:lpstr>Economic_Value_Streams</vt:lpstr>
      <vt:lpstr>EquipmentList</vt:lpstr>
      <vt:lpstr>FeMolarMass</vt:lpstr>
      <vt:lpstr>FMolarMass</vt:lpstr>
      <vt:lpstr>MgF2MolarMass</vt:lpstr>
      <vt:lpstr>MgMolarMass</vt:lpstr>
      <vt:lpstr>MolarMassofAl2O3</vt:lpstr>
      <vt:lpstr>MolarMassofCaF2</vt:lpstr>
      <vt:lpstr>MolarMassofCaO</vt:lpstr>
      <vt:lpstr>MolarMassofMgF2</vt:lpstr>
      <vt:lpstr>MolarMassofO2</vt:lpstr>
      <vt:lpstr>MolarMassOfSi</vt:lpstr>
      <vt:lpstr>MolarMassofSiO2</vt:lpstr>
      <vt:lpstr>MolarMassofSiO2_</vt:lpstr>
      <vt:lpstr>MolarMassofYF3</vt:lpstr>
      <vt:lpstr>NaMolarMass</vt:lpstr>
      <vt:lpstr>O2MolarMass</vt:lpstr>
      <vt:lpstr>OMolarMass</vt:lpstr>
      <vt:lpstr>PMolarMass</vt:lpstr>
      <vt:lpstr>SiliconMolarMass</vt:lpstr>
      <vt:lpstr>siMolarMass</vt:lpstr>
      <vt:lpstr>SiO2MolarMass</vt:lpstr>
      <vt:lpstr>TiMolarMass</vt:lpstr>
      <vt:lpstr>YF3MolarMass</vt:lpstr>
      <vt:lpstr>YMolarMass</vt:lpstr>
      <vt:lpstr>ZrMolarMass</vt:lpstr>
    </vt:vector>
  </TitlesOfParts>
  <Manager/>
  <Company>Booz Allen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Matuszak</dc:creator>
  <cp:keywords/>
  <dc:description/>
  <cp:lastModifiedBy>Jacob Hazerjian</cp:lastModifiedBy>
  <cp:revision/>
  <dcterms:created xsi:type="dcterms:W3CDTF">2013-09-03T16:15:25Z</dcterms:created>
  <dcterms:modified xsi:type="dcterms:W3CDTF">2021-05-06T20:47:46Z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0x010100734F73BA3F886242A0FB9D145B3D0F68</vt:lpwstr>
  </property>
</Properties>
</file>