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<sst xmlns="http://schemas.openxmlformats.org/spreadsheetml/2006/main" count="152" uniqueCount="52">
  <si>
    <t>Fill in blue boxes</t>
  </si>
  <si>
    <t># Level 2 Charging Stations:</t>
  </si>
  <si>
    <t>Cost ($USD):</t>
  </si>
  <si>
    <t># Fast Chargers:</t>
  </si>
  <si>
    <t># Company EVs:</t>
  </si>
  <si>
    <t>EV Type / Instance 1 (vehicle make, model):</t>
  </si>
  <si>
    <t>EV Type / Instance 2 (vehicle make, model):</t>
  </si>
  <si>
    <t>EV Type / Instance 3 (vehicle make, model):</t>
  </si>
  <si>
    <t># of this type of vehicle:</t>
  </si>
  <si>
    <t>Reference Public/Taxi EV Sheet if unsure</t>
  </si>
  <si>
    <t>Range of vehicle (km):</t>
  </si>
  <si>
    <t>Battery capacity (kWh):</t>
  </si>
  <si>
    <t>Use Charging Stations Sheet Calculator if unsure</t>
  </si>
  <si>
    <t>Time to charge (Lvl 2) (hours):</t>
  </si>
  <si>
    <t>Cost to Full Charge (Lvl 2 Peak) ($USD):</t>
  </si>
  <si>
    <t>Cost to Full Charge (Lvl 2 Valley) ($USD):</t>
  </si>
  <si>
    <t>Cost to Charge per Hour (Lvl 2 Peak) ($USD):</t>
  </si>
  <si>
    <t>Cost to Charge per Hour (Lvl 2 Valley) ($USD):</t>
  </si>
  <si>
    <t>Time to Fast Charge (hours):</t>
  </si>
  <si>
    <t>Cost to Fast Charge ($USD):</t>
  </si>
  <si>
    <t>Expected range per day (km):</t>
  </si>
  <si>
    <t>Requires daytime charge?</t>
  </si>
  <si>
    <t># Employee EVs:</t>
  </si>
  <si>
    <t>EV Type / Instance 4 (vehicle make, model):</t>
  </si>
  <si>
    <t>EV Type / Instance 5 (vehicle make, model):</t>
  </si>
  <si>
    <t>Employee's Commute Both Ways (km):</t>
  </si>
  <si>
    <t># Vehicles Requiring Daytime Charge:</t>
  </si>
  <si>
    <t>Daytime Charging Requirements</t>
  </si>
  <si>
    <t>Hours daytime charging Lvl 2</t>
  </si>
  <si>
    <t>Hours daytime Fast charging</t>
  </si>
  <si>
    <t>(Estimate $10,000 if unsure)</t>
  </si>
  <si>
    <t>Cost Lvl 2 Charger ($USD):</t>
  </si>
  <si>
    <t>(Estimate $60,000 if unsure)</t>
  </si>
  <si>
    <t>Cost Fast Charger ($USD):</t>
  </si>
  <si>
    <t>Initial Investment</t>
  </si>
  <si>
    <t>Price Point 1: Only Fast Chargers ($USD)</t>
  </si>
  <si>
    <t>Fast Chargers</t>
  </si>
  <si>
    <t>Lvl 2 Chargers</t>
  </si>
  <si>
    <t>Price Point 2</t>
  </si>
  <si>
    <t>Work day Quick Check</t>
  </si>
  <si>
    <t>Average Lvl 2 Charge Time</t>
  </si>
  <si>
    <t>Average Fast Charge Time</t>
  </si>
  <si>
    <t>Price Point 3</t>
  </si>
  <si>
    <t>Max # of Needed Lvl 2 Chargers</t>
  </si>
  <si>
    <t>Max # of Needed Fast Chargers</t>
  </si>
  <si>
    <t>Price Point 4</t>
  </si>
  <si>
    <t>Cost of Max # Lvl 2 Chargers</t>
  </si>
  <si>
    <t>Cost of Max # Fast Chargers</t>
  </si>
  <si>
    <t>Fast Charger Efficiency (Max # Lvl2 / Max # Fast)</t>
  </si>
  <si>
    <t>Price Point 5</t>
  </si>
  <si>
    <t>Minimum Price Point:</t>
  </si>
  <si>
    <t>Price Point 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</si>
</sst>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/>
    <font>
      <sz val="11.0"/>
      <color rgb="FF000000"/>
      <name val="Inconsolata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C9DAF8"/>
        <bgColor rgb="FFC9DAF8"/>
      </patternFill>
    </fill>
    <fill>
      <patternFill patternType="solid">
        <fgColor rgb="FFFCE5CD"/>
        <bgColor rgb="FFFCE5CD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/>
    </xf>
    <xf borderId="0" fillId="0" fontId="1" numFmtId="0" xfId="0" applyAlignment="1" applyFont="1">
      <alignment horizontal="right" readingOrder="0"/>
    </xf>
    <xf borderId="0" fillId="2" fontId="1" numFmtId="0" xfId="0" applyFont="1"/>
    <xf borderId="0" fillId="0" fontId="1" numFmtId="0" xfId="0" applyAlignment="1" applyFont="1">
      <alignment readingOrder="0"/>
    </xf>
    <xf borderId="0" fillId="3" fontId="1" numFmtId="0" xfId="0" applyFill="1" applyFont="1"/>
    <xf borderId="0" fillId="3" fontId="1" numFmtId="0" xfId="0" applyAlignment="1" applyFont="1">
      <alignment readingOrder="0"/>
    </xf>
    <xf borderId="0" fillId="4" fontId="1" numFmtId="0" xfId="0" applyFill="1" applyFont="1"/>
    <xf borderId="0" fillId="4" fontId="2" numFmtId="0" xfId="0" applyFont="1"/>
    <xf borderId="0" fillId="4" fontId="0" numFmtId="0" xfId="0" applyFont="1"/>
    <xf borderId="0" fillId="4" fontId="1" numFmtId="0" xfId="0" applyAlignment="1" applyFont="1">
      <alignment readingOrder="0"/>
    </xf>
    <xf borderId="0" fillId="5" fontId="0" numFmtId="0" xfId="0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2.86"/>
    <col customWidth="1" min="2" max="2" width="40.29"/>
    <col customWidth="1" min="4" max="4" width="40.29"/>
    <col customWidth="1" min="6" max="6" width="42.0"/>
    <col customWidth="1" min="8" max="8" width="40.43"/>
    <col customWidth="1" min="10" max="10" width="41.57"/>
  </cols>
  <sheetData>
    <row r="1">
      <c r="A1" s="1" t="s">
        <v>0</v>
      </c>
      <c r="B1" s="2" t="s">
        <v>1</v>
      </c>
      <c r="C1" s="3">
        <f>G54</f>
        <v>0</v>
      </c>
      <c r="D1" s="2" t="s">
        <v>2</v>
      </c>
      <c r="E1" s="3">
        <f>G52</f>
        <v>240000</v>
      </c>
    </row>
    <row r="2">
      <c r="B2" s="2" t="s">
        <v>3</v>
      </c>
      <c r="C2" s="3">
        <f>G53</f>
        <v>4</v>
      </c>
    </row>
    <row r="4">
      <c r="B4" s="4" t="s">
        <v>4</v>
      </c>
    </row>
    <row r="5">
      <c r="B5" s="4" t="s">
        <v>5</v>
      </c>
      <c r="C5" s="5"/>
      <c r="D5" s="4" t="s">
        <v>6</v>
      </c>
      <c r="E5" s="5"/>
      <c r="F5" s="4" t="s">
        <v>7</v>
      </c>
      <c r="G5" s="5"/>
    </row>
    <row r="6">
      <c r="A6" s="4"/>
      <c r="B6" s="4" t="s">
        <v>8</v>
      </c>
      <c r="C6" s="6">
        <v>25.0</v>
      </c>
      <c r="D6" s="4" t="s">
        <v>8</v>
      </c>
      <c r="E6" s="6">
        <v>15.0</v>
      </c>
      <c r="F6" s="4" t="s">
        <v>8</v>
      </c>
      <c r="G6" s="6">
        <v>5.0</v>
      </c>
    </row>
    <row r="7">
      <c r="A7" s="4" t="s">
        <v>9</v>
      </c>
      <c r="B7" s="4" t="s">
        <v>10</v>
      </c>
      <c r="C7" s="6">
        <v>200.0</v>
      </c>
      <c r="D7" s="4" t="s">
        <v>10</v>
      </c>
      <c r="E7" s="6">
        <v>200.0</v>
      </c>
      <c r="F7" s="4" t="s">
        <v>10</v>
      </c>
      <c r="G7" s="6">
        <v>50.0</v>
      </c>
    </row>
    <row r="8">
      <c r="B8" s="4" t="s">
        <v>11</v>
      </c>
      <c r="C8" s="5"/>
      <c r="D8" s="4" t="s">
        <v>11</v>
      </c>
      <c r="E8" s="5"/>
      <c r="F8" s="4" t="s">
        <v>11</v>
      </c>
      <c r="G8" s="5"/>
    </row>
    <row r="9">
      <c r="A9" s="4" t="s">
        <v>12</v>
      </c>
      <c r="B9" s="4" t="s">
        <v>13</v>
      </c>
      <c r="C9" s="6">
        <v>8.0</v>
      </c>
      <c r="D9" s="4" t="s">
        <v>13</v>
      </c>
      <c r="E9" s="6">
        <v>6.0</v>
      </c>
      <c r="F9" s="4" t="s">
        <v>13</v>
      </c>
      <c r="G9" s="6">
        <v>3.0</v>
      </c>
    </row>
    <row r="10">
      <c r="B10" s="4" t="s">
        <v>14</v>
      </c>
      <c r="C10" s="5"/>
      <c r="D10" s="4" t="s">
        <v>14</v>
      </c>
      <c r="E10" s="5"/>
      <c r="F10" s="4" t="s">
        <v>14</v>
      </c>
      <c r="G10" s="5"/>
    </row>
    <row r="11">
      <c r="B11" s="4" t="s">
        <v>15</v>
      </c>
      <c r="C11" s="5"/>
      <c r="D11" s="4" t="s">
        <v>15</v>
      </c>
      <c r="E11" s="5"/>
      <c r="F11" s="4" t="s">
        <v>15</v>
      </c>
      <c r="G11" s="5"/>
    </row>
    <row r="12">
      <c r="B12" s="4" t="s">
        <v>16</v>
      </c>
      <c r="C12" s="5"/>
      <c r="D12" s="4" t="s">
        <v>16</v>
      </c>
      <c r="E12" s="5"/>
      <c r="F12" s="4" t="s">
        <v>16</v>
      </c>
      <c r="G12" s="5"/>
    </row>
    <row r="13">
      <c r="B13" s="4" t="s">
        <v>17</v>
      </c>
      <c r="C13" s="5"/>
      <c r="D13" s="4" t="s">
        <v>17</v>
      </c>
      <c r="E13" s="5"/>
      <c r="F13" s="4" t="s">
        <v>17</v>
      </c>
      <c r="G13" s="5"/>
    </row>
    <row r="14">
      <c r="B14" s="4" t="s">
        <v>18</v>
      </c>
      <c r="C14" s="6">
        <v>1.0</v>
      </c>
      <c r="D14" s="4" t="s">
        <v>18</v>
      </c>
      <c r="E14" s="6">
        <v>0.5</v>
      </c>
      <c r="F14" s="4" t="s">
        <v>18</v>
      </c>
      <c r="G14" s="6">
        <v>0.45</v>
      </c>
    </row>
    <row r="15">
      <c r="B15" s="4" t="s">
        <v>19</v>
      </c>
      <c r="C15" s="5"/>
      <c r="D15" s="4" t="s">
        <v>19</v>
      </c>
      <c r="E15" s="5"/>
      <c r="F15" s="4" t="s">
        <v>19</v>
      </c>
      <c r="G15" s="5"/>
    </row>
    <row r="16">
      <c r="B16" s="4" t="s">
        <v>20</v>
      </c>
      <c r="C16" s="6">
        <v>250.0</v>
      </c>
      <c r="D16" s="4" t="s">
        <v>20</v>
      </c>
      <c r="E16" s="6">
        <v>150.0</v>
      </c>
      <c r="F16" s="4" t="s">
        <v>20</v>
      </c>
      <c r="G16" s="6">
        <v>75.0</v>
      </c>
    </row>
    <row r="17">
      <c r="B17" s="4" t="s">
        <v>21</v>
      </c>
      <c r="C17" s="7" t="str">
        <f>IF((C16/C7)&gt;1,"YES","NO")</f>
        <v>YES</v>
      </c>
      <c r="D17" s="4" t="s">
        <v>21</v>
      </c>
      <c r="E17" s="7" t="str">
        <f>IF((E16/E7)&gt;1,"YES","NO")</f>
        <v>NO</v>
      </c>
      <c r="F17" s="4" t="s">
        <v>21</v>
      </c>
      <c r="G17" s="7" t="str">
        <f>IF((G16/G7)&gt;1,"YES","NO")</f>
        <v>YES</v>
      </c>
    </row>
    <row r="19">
      <c r="B19" s="4" t="s">
        <v>22</v>
      </c>
    </row>
    <row r="20">
      <c r="B20" s="4" t="s">
        <v>5</v>
      </c>
      <c r="C20" s="5"/>
      <c r="D20" s="4" t="s">
        <v>6</v>
      </c>
      <c r="E20" s="5"/>
      <c r="F20" s="4" t="s">
        <v>7</v>
      </c>
      <c r="G20" s="5"/>
      <c r="H20" s="4" t="s">
        <v>23</v>
      </c>
      <c r="I20" s="5"/>
      <c r="J20" s="4" t="s">
        <v>24</v>
      </c>
      <c r="K20" s="5"/>
    </row>
    <row r="21">
      <c r="A21" s="4"/>
      <c r="B21" s="4" t="s">
        <v>8</v>
      </c>
      <c r="C21" s="6">
        <v>7.0</v>
      </c>
      <c r="D21" s="4" t="s">
        <v>8</v>
      </c>
      <c r="E21" s="6">
        <v>2.0</v>
      </c>
      <c r="F21" s="4" t="s">
        <v>8</v>
      </c>
      <c r="G21" s="5"/>
      <c r="H21" s="4" t="s">
        <v>8</v>
      </c>
      <c r="I21" s="5"/>
      <c r="J21" s="4" t="s">
        <v>8</v>
      </c>
      <c r="K21" s="5"/>
    </row>
    <row r="22">
      <c r="A22" s="4" t="s">
        <v>9</v>
      </c>
      <c r="B22" s="4" t="s">
        <v>10</v>
      </c>
      <c r="C22" s="6">
        <v>80.0</v>
      </c>
      <c r="D22" s="4" t="s">
        <v>10</v>
      </c>
      <c r="E22" s="6">
        <v>75.0</v>
      </c>
      <c r="F22" s="4" t="s">
        <v>10</v>
      </c>
      <c r="G22" s="6">
        <v>60.0</v>
      </c>
      <c r="H22" s="4" t="s">
        <v>10</v>
      </c>
      <c r="I22" s="6">
        <v>60.0</v>
      </c>
      <c r="J22" s="4" t="s">
        <v>10</v>
      </c>
      <c r="K22" s="6">
        <v>60.0</v>
      </c>
    </row>
    <row r="23">
      <c r="B23" s="4" t="s">
        <v>11</v>
      </c>
      <c r="C23" s="5"/>
      <c r="D23" s="4" t="s">
        <v>11</v>
      </c>
      <c r="E23" s="5"/>
      <c r="F23" s="4" t="s">
        <v>11</v>
      </c>
      <c r="G23" s="5"/>
      <c r="H23" s="4" t="s">
        <v>11</v>
      </c>
      <c r="I23" s="5"/>
      <c r="J23" s="4" t="s">
        <v>11</v>
      </c>
      <c r="K23" s="5"/>
    </row>
    <row r="24">
      <c r="A24" s="4" t="s">
        <v>12</v>
      </c>
      <c r="B24" s="4" t="s">
        <v>13</v>
      </c>
      <c r="C24" s="6">
        <v>5.5</v>
      </c>
      <c r="D24" s="4" t="s">
        <v>13</v>
      </c>
      <c r="E24" s="6">
        <v>6.5</v>
      </c>
      <c r="F24" s="4" t="s">
        <v>13</v>
      </c>
      <c r="G24" s="5"/>
      <c r="H24" s="4" t="s">
        <v>13</v>
      </c>
      <c r="I24" s="5"/>
      <c r="J24" s="4" t="s">
        <v>13</v>
      </c>
      <c r="K24" s="5"/>
    </row>
    <row r="25">
      <c r="B25" s="4" t="s">
        <v>14</v>
      </c>
      <c r="C25" s="5"/>
      <c r="D25" s="4" t="s">
        <v>14</v>
      </c>
      <c r="E25" s="5"/>
      <c r="F25" s="4" t="s">
        <v>14</v>
      </c>
      <c r="G25" s="5"/>
      <c r="H25" s="4" t="s">
        <v>14</v>
      </c>
      <c r="I25" s="5"/>
      <c r="J25" s="4" t="s">
        <v>14</v>
      </c>
      <c r="K25" s="5"/>
    </row>
    <row r="26">
      <c r="B26" s="4" t="s">
        <v>15</v>
      </c>
      <c r="C26" s="5"/>
      <c r="D26" s="4" t="s">
        <v>15</v>
      </c>
      <c r="E26" s="5"/>
      <c r="F26" s="4" t="s">
        <v>15</v>
      </c>
      <c r="G26" s="5"/>
      <c r="H26" s="4" t="s">
        <v>15</v>
      </c>
      <c r="I26" s="5"/>
      <c r="J26" s="4" t="s">
        <v>15</v>
      </c>
      <c r="K26" s="5"/>
    </row>
    <row r="27">
      <c r="B27" s="4" t="s">
        <v>16</v>
      </c>
      <c r="C27" s="5"/>
      <c r="D27" s="4" t="s">
        <v>16</v>
      </c>
      <c r="E27" s="5"/>
      <c r="F27" s="4" t="s">
        <v>16</v>
      </c>
      <c r="G27" s="5"/>
      <c r="H27" s="4" t="s">
        <v>16</v>
      </c>
      <c r="I27" s="5"/>
      <c r="J27" s="4" t="s">
        <v>16</v>
      </c>
      <c r="K27" s="5"/>
    </row>
    <row r="28">
      <c r="B28" s="4" t="s">
        <v>17</v>
      </c>
      <c r="C28" s="5"/>
      <c r="D28" s="4" t="s">
        <v>17</v>
      </c>
      <c r="E28" s="5"/>
      <c r="F28" s="4" t="s">
        <v>17</v>
      </c>
      <c r="G28" s="5"/>
      <c r="H28" s="4" t="s">
        <v>17</v>
      </c>
      <c r="I28" s="5"/>
      <c r="J28" s="4" t="s">
        <v>17</v>
      </c>
      <c r="K28" s="5"/>
    </row>
    <row r="29">
      <c r="B29" s="4" t="s">
        <v>18</v>
      </c>
      <c r="C29" s="6">
        <v>0.65</v>
      </c>
      <c r="D29" s="4" t="s">
        <v>18</v>
      </c>
      <c r="E29" s="6">
        <v>0.5</v>
      </c>
      <c r="F29" s="4" t="s">
        <v>18</v>
      </c>
      <c r="G29" s="5"/>
      <c r="H29" s="4" t="s">
        <v>18</v>
      </c>
      <c r="I29" s="5"/>
      <c r="J29" s="4" t="s">
        <v>18</v>
      </c>
      <c r="K29" s="5"/>
    </row>
    <row r="30">
      <c r="B30" s="4" t="s">
        <v>19</v>
      </c>
      <c r="C30" s="5"/>
      <c r="D30" s="4" t="s">
        <v>19</v>
      </c>
      <c r="E30" s="5"/>
      <c r="F30" s="4" t="s">
        <v>19</v>
      </c>
      <c r="G30" s="5"/>
      <c r="H30" s="4" t="s">
        <v>19</v>
      </c>
      <c r="I30" s="5"/>
      <c r="J30" s="4" t="s">
        <v>19</v>
      </c>
      <c r="K30" s="5"/>
    </row>
    <row r="31">
      <c r="B31" s="4" t="s">
        <v>25</v>
      </c>
      <c r="C31" s="6">
        <v>100.0</v>
      </c>
      <c r="D31" s="4" t="s">
        <v>25</v>
      </c>
      <c r="E31" s="6">
        <v>60.0</v>
      </c>
      <c r="F31" s="4" t="s">
        <v>25</v>
      </c>
      <c r="G31" s="5"/>
      <c r="H31" s="4" t="s">
        <v>25</v>
      </c>
      <c r="I31" s="5"/>
      <c r="J31" s="4" t="s">
        <v>25</v>
      </c>
      <c r="K31" s="5"/>
    </row>
    <row r="32">
      <c r="B32" s="4" t="s">
        <v>21</v>
      </c>
      <c r="C32" s="7" t="str">
        <f>IF((C31/C22)&gt;1,"YES","NO")</f>
        <v>YES</v>
      </c>
      <c r="D32" s="4" t="s">
        <v>21</v>
      </c>
      <c r="E32" s="7" t="str">
        <f>IF((E31/E22)&gt;1,"YES","NO")</f>
        <v>NO</v>
      </c>
      <c r="F32" s="4" t="s">
        <v>21</v>
      </c>
      <c r="G32" s="7" t="str">
        <f>IF((G31/G22)&gt;1,"YES","NO")</f>
        <v>NO</v>
      </c>
      <c r="H32" s="4" t="s">
        <v>21</v>
      </c>
      <c r="I32" s="7" t="str">
        <f>IF((I31/I22)&gt;1,"YES","NO")</f>
        <v>NO</v>
      </c>
      <c r="J32" s="4" t="s">
        <v>21</v>
      </c>
      <c r="K32" s="7" t="str">
        <f>IF((K31/K22)&gt;1,"YES","NO")</f>
        <v>NO</v>
      </c>
    </row>
    <row r="34">
      <c r="A34" s="4"/>
      <c r="B34" s="4" t="s">
        <v>26</v>
      </c>
      <c r="C34" s="7">
        <f>E34+E35+E36+E37+E38+E39+E40+E41</f>
        <v>37</v>
      </c>
      <c r="D34" s="4" t="s">
        <v>27</v>
      </c>
      <c r="E34" s="7">
        <f>IF(C17="YES",1*C6,0)</f>
        <v>25</v>
      </c>
      <c r="F34" s="4" t="s">
        <v>28</v>
      </c>
      <c r="G34" s="7">
        <f>E34*C9</f>
        <v>200</v>
      </c>
      <c r="H34" s="4" t="s">
        <v>29</v>
      </c>
      <c r="I34" s="7">
        <f>E34*C14</f>
        <v>25</v>
      </c>
    </row>
    <row r="35">
      <c r="A35" s="4"/>
      <c r="B35" s="4"/>
      <c r="E35" s="7">
        <f>IF(E17="YES",1*E6,0)</f>
        <v>0</v>
      </c>
      <c r="G35" s="7">
        <f>E35*E9</f>
        <v>0</v>
      </c>
      <c r="I35" s="7">
        <f>E35*E14</f>
        <v>0</v>
      </c>
    </row>
    <row r="36">
      <c r="A36" s="4" t="s">
        <v>30</v>
      </c>
      <c r="B36" s="4" t="s">
        <v>31</v>
      </c>
      <c r="C36" s="6">
        <v>10000.0</v>
      </c>
      <c r="E36" s="7">
        <f>IF(G17="YES",1*G6,0)</f>
        <v>5</v>
      </c>
      <c r="G36" s="7">
        <f>E36*G9</f>
        <v>15</v>
      </c>
      <c r="I36" s="7">
        <f>E36*G14</f>
        <v>2.25</v>
      </c>
    </row>
    <row r="37">
      <c r="A37" s="4" t="s">
        <v>32</v>
      </c>
      <c r="B37" s="4" t="s">
        <v>33</v>
      </c>
      <c r="C37" s="6">
        <v>60000.0</v>
      </c>
      <c r="E37" s="7">
        <f>IF(C32="YES",1*C21,0)</f>
        <v>7</v>
      </c>
      <c r="G37" s="7">
        <f>E37*C24</f>
        <v>38.5</v>
      </c>
      <c r="I37" s="7">
        <f>E37*C29</f>
        <v>4.55</v>
      </c>
    </row>
    <row r="38">
      <c r="E38" s="8">
        <f>IF(E32="YES",1*E21,0)</f>
        <v>0</v>
      </c>
      <c r="G38" s="7">
        <f>E38*E24</f>
        <v>0</v>
      </c>
      <c r="I38" s="7">
        <f>E38*E29</f>
        <v>0</v>
      </c>
    </row>
    <row r="39">
      <c r="A39" s="4" t="s">
        <v>34</v>
      </c>
      <c r="B39" s="4" t="s">
        <v>35</v>
      </c>
      <c r="C39" s="7">
        <f>I48</f>
        <v>240000</v>
      </c>
      <c r="E39" s="8">
        <f>IF(G32="YES",1*G21,0)</f>
        <v>0</v>
      </c>
      <c r="G39" s="7">
        <f>E39*G24</f>
        <v>0</v>
      </c>
      <c r="I39" s="7">
        <f>E39*G29</f>
        <v>0</v>
      </c>
    </row>
    <row r="40">
      <c r="C40">
        <f>I46</f>
        <v>4</v>
      </c>
      <c r="D40" s="4" t="s">
        <v>36</v>
      </c>
      <c r="E40" s="8">
        <f>IF(I32="YES",1*I21,0)</f>
        <v>0</v>
      </c>
      <c r="G40" s="7">
        <f>E40*I24</f>
        <v>0</v>
      </c>
      <c r="I40" s="7">
        <f>E40*I29</f>
        <v>0</v>
      </c>
    </row>
    <row r="41">
      <c r="C41" s="4">
        <v>0.0</v>
      </c>
      <c r="D41" s="4" t="s">
        <v>37</v>
      </c>
      <c r="E41" s="8">
        <f>IF(K32="YES",1*K21,0)</f>
        <v>0</v>
      </c>
      <c r="G41" s="7">
        <f>E41*K24</f>
        <v>0</v>
      </c>
      <c r="I41" s="7">
        <f>E41*K29</f>
        <v>0</v>
      </c>
    </row>
    <row r="42">
      <c r="B42" s="4" t="s">
        <v>38</v>
      </c>
      <c r="C42" s="7">
        <f>I48-C37+(C36*G50)</f>
        <v>260000</v>
      </c>
      <c r="F42" s="4" t="s">
        <v>39</v>
      </c>
      <c r="G42" s="7">
        <f>IF(G34+G35+G36+G37+G38+G39+G40+G41&lt;8,1,0)</f>
        <v>0</v>
      </c>
    </row>
    <row r="43">
      <c r="C43">
        <f>I46-1</f>
        <v>3</v>
      </c>
      <c r="D43" s="4" t="s">
        <v>36</v>
      </c>
    </row>
    <row r="44">
      <c r="C44">
        <f>G50</f>
        <v>8</v>
      </c>
      <c r="D44" s="4" t="s">
        <v>37</v>
      </c>
      <c r="F44" s="4" t="s">
        <v>40</v>
      </c>
      <c r="G44" s="7">
        <f>(G34+G35+G36+G37+G38+G39+G40+G41)/C34</f>
        <v>6.851351351</v>
      </c>
      <c r="H44" s="4" t="s">
        <v>41</v>
      </c>
      <c r="I44" s="7">
        <f>(I34+I35+I36+I37+I38+I39+I40+I41)/C34</f>
        <v>0.8594594595</v>
      </c>
    </row>
    <row r="45">
      <c r="B45" s="4" t="s">
        <v>42</v>
      </c>
      <c r="C45" s="9">
        <f>IF(C46&lt;0,"N/A",I48-2*C37+(C36*2*G50))</f>
        <v>280000</v>
      </c>
    </row>
    <row r="46">
      <c r="C46">
        <f>I46-2</f>
        <v>2</v>
      </c>
      <c r="D46" s="4" t="s">
        <v>36</v>
      </c>
      <c r="F46" s="4" t="s">
        <v>43</v>
      </c>
      <c r="G46" s="7">
        <f>ROUNDUP(G44*C34/8)</f>
        <v>32</v>
      </c>
      <c r="H46" s="4" t="s">
        <v>44</v>
      </c>
      <c r="I46" s="7">
        <f>ROUNDUP(I44*C34/8)</f>
        <v>4</v>
      </c>
    </row>
    <row r="47">
      <c r="C47">
        <f>IF(C46=0,G46,G50*2)</f>
        <v>16</v>
      </c>
      <c r="D47" s="4" t="s">
        <v>37</v>
      </c>
    </row>
    <row r="48">
      <c r="B48" s="4" t="s">
        <v>45</v>
      </c>
      <c r="C48" s="9">
        <f>IF(C49&lt;0,"N/A",I48-3*C37+(C36*3*G50))</f>
        <v>300000</v>
      </c>
      <c r="F48" s="4" t="s">
        <v>46</v>
      </c>
      <c r="G48" s="10">
        <f>G46*C36</f>
        <v>320000</v>
      </c>
      <c r="H48" s="4" t="s">
        <v>47</v>
      </c>
      <c r="I48" s="7">
        <f>I46*C37</f>
        <v>240000</v>
      </c>
    </row>
    <row r="49">
      <c r="C49">
        <f>I46-3</f>
        <v>1</v>
      </c>
      <c r="D49" s="4" t="s">
        <v>36</v>
      </c>
    </row>
    <row r="50">
      <c r="C50">
        <f>IF(C49=0,G46,G50*3)</f>
        <v>24</v>
      </c>
      <c r="D50" s="4" t="s">
        <v>37</v>
      </c>
      <c r="F50" s="4" t="s">
        <v>48</v>
      </c>
      <c r="G50" s="7">
        <f>ROUNDUP(G46/I46)</f>
        <v>8</v>
      </c>
    </row>
    <row r="51">
      <c r="B51" s="4" t="s">
        <v>49</v>
      </c>
      <c r="C51" s="9">
        <f>IF(C52&lt;0,"N/A",I48-4*C37+(C36*4*G50))</f>
        <v>320000</v>
      </c>
    </row>
    <row r="52">
      <c r="C52">
        <f>I46-4</f>
        <v>0</v>
      </c>
      <c r="D52" s="4" t="s">
        <v>36</v>
      </c>
      <c r="F52" s="4" t="s">
        <v>50</v>
      </c>
      <c r="G52" s="7">
        <f>MIN(C39,C42,C45,C48,C51,C54)</f>
        <v>240000</v>
      </c>
    </row>
    <row r="53">
      <c r="C53">
        <f>IF(C52=0,G46,G50*4)</f>
        <v>32</v>
      </c>
      <c r="D53" s="4" t="s">
        <v>37</v>
      </c>
      <c r="G53">
        <f>IF(G52=C39,C40,IF(G52=C42,C43,IF(G52=C45,C46,IF(G52=C48,C49,IF(G52=C51,C52,IF(G52=C54,C55,"NONE"))))))</f>
        <v>4</v>
      </c>
      <c r="H53" s="4" t="s">
        <v>36</v>
      </c>
    </row>
    <row r="54">
      <c r="B54" s="4" t="s">
        <v>51</v>
      </c>
      <c r="C54" s="7" t="str">
        <f>IF(C55&lt;0,"N/A",I48-5*C37+(C36*5*G50))</f>
        <v>N/A</v>
      </c>
      <c r="G54" s="11">
        <f>IF(G52=C39,C41,IF(G52=C42,C44,IF(G52=C45,C47,IF(G52=C48,C50,IF(G52=C51,C53,IF(G52=C54,C56,"NONE"))))))</f>
        <v>0</v>
      </c>
      <c r="H54" s="4" t="s">
        <v>37</v>
      </c>
    </row>
    <row r="55">
      <c r="C55">
        <f>I46-5</f>
        <v>-1</v>
      </c>
      <c r="D55" s="4" t="s">
        <v>36</v>
      </c>
    </row>
    <row r="56">
      <c r="C56">
        <f>IF(C55=0,G46,G50*5)</f>
        <v>40</v>
      </c>
      <c r="D56" s="4" t="s">
        <v>37</v>
      </c>
    </row>
  </sheetData>
  <drawing r:id="rId1"/>
</worksheet>
</file>