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710" windowHeight="11640" activeTab="1"/>
  </bookViews>
  <sheets>
    <sheet name="live feed" sheetId="1" r:id="rId1"/>
    <sheet name="fish meal and feed plant" sheetId="2" r:id="rId2"/>
    <sheet name="live feed break even" sheetId="3" r:id="rId3"/>
    <sheet name="overall results" sheetId="4" r:id="rId4"/>
  </sheets>
  <definedNames/>
  <calcPr fullCalcOnLoad="1"/>
</workbook>
</file>

<file path=xl/sharedStrings.xml><?xml version="1.0" encoding="utf-8"?>
<sst xmlns="http://schemas.openxmlformats.org/spreadsheetml/2006/main" count="218" uniqueCount="149">
  <si>
    <t>number of fingerling needed per year</t>
  </si>
  <si>
    <t>weight per fish</t>
  </si>
  <si>
    <t>kg</t>
  </si>
  <si>
    <t>fish</t>
  </si>
  <si>
    <t>rotifers</t>
  </si>
  <si>
    <t>artemia</t>
  </si>
  <si>
    <t>number of rotifers/ kob/ day</t>
  </si>
  <si>
    <t xml:space="preserve">number of rotifers/ cycle </t>
  </si>
  <si>
    <t>cost of  3000 rotifer cysts</t>
  </si>
  <si>
    <t>number of rotifers/ year (12 cycles)</t>
  </si>
  <si>
    <t>rotifer culture</t>
  </si>
  <si>
    <t>number rotifers / mL in water</t>
  </si>
  <si>
    <t>rotifer/mL</t>
  </si>
  <si>
    <t>L</t>
  </si>
  <si>
    <t>tanks</t>
  </si>
  <si>
    <t xml:space="preserve">number of 50 L conical tanks </t>
  </si>
  <si>
    <t>N$</t>
  </si>
  <si>
    <t>total price of tanks</t>
  </si>
  <si>
    <t>number of rotifers/day /cycle</t>
  </si>
  <si>
    <t>price of 1 50 L conical tank</t>
  </si>
  <si>
    <t>number of L of water needed/day</t>
  </si>
  <si>
    <t>rotifer food</t>
  </si>
  <si>
    <t>SELCO</t>
  </si>
  <si>
    <t>kg/million rotifer/day</t>
  </si>
  <si>
    <t>amount of SELCO required per rotifer</t>
  </si>
  <si>
    <t>amount of SELCO required per day</t>
  </si>
  <si>
    <t>kg/SELCO/day</t>
  </si>
  <si>
    <t>cost of SELCO per year</t>
  </si>
  <si>
    <t>algae</t>
  </si>
  <si>
    <t>cost of algal culture disc</t>
  </si>
  <si>
    <t>amount of algae used per day</t>
  </si>
  <si>
    <t>number of days in grow out period</t>
  </si>
  <si>
    <t>days</t>
  </si>
  <si>
    <t>number of days of grow out period</t>
  </si>
  <si>
    <t>number of 50 L bags</t>
  </si>
  <si>
    <t>bags</t>
  </si>
  <si>
    <t>total cost of 50 L bags</t>
  </si>
  <si>
    <t>cost of artemia cysts</t>
  </si>
  <si>
    <t>number of artemia per gram</t>
  </si>
  <si>
    <t>cost for 250,000 artemia cysts</t>
  </si>
  <si>
    <t>number of artemia/ kob/ day</t>
  </si>
  <si>
    <t>day 0-2 no food</t>
  </si>
  <si>
    <t>day 3-11 rotifers</t>
  </si>
  <si>
    <t>day 12-30  artemia</t>
  </si>
  <si>
    <t>number of artemia/day /cycle</t>
  </si>
  <si>
    <t xml:space="preserve">number of artemia/ cycle </t>
  </si>
  <si>
    <t>number of artemia/ year (12 cycles)</t>
  </si>
  <si>
    <t>number artemia / mL in water</t>
  </si>
  <si>
    <t>artemia/ml</t>
  </si>
  <si>
    <t>$N</t>
  </si>
  <si>
    <t>total cost of lighting</t>
  </si>
  <si>
    <t>artemia culture</t>
  </si>
  <si>
    <t>algae culture</t>
  </si>
  <si>
    <t>total cost</t>
  </si>
  <si>
    <t>total initial cost (N$)</t>
  </si>
  <si>
    <t>total yearly cost (N$)</t>
  </si>
  <si>
    <t>cost of chemicals / year</t>
  </si>
  <si>
    <t>initial price of equipment</t>
  </si>
  <si>
    <t>N$/500g</t>
  </si>
  <si>
    <t>N$/g</t>
  </si>
  <si>
    <t>(rotifers and artemia)</t>
  </si>
  <si>
    <t>our # per cycle/batty # *liters per day*2(for artemia)</t>
  </si>
  <si>
    <t>750 N$/each</t>
  </si>
  <si>
    <t>1500 per metal halide lightbulb-1 per 2 bags</t>
  </si>
  <si>
    <t>lab equipment and other</t>
  </si>
  <si>
    <t>total costs of rotifer cysts initially</t>
  </si>
  <si>
    <t>N$/kg</t>
  </si>
  <si>
    <t>amount of SELCO required per artemia</t>
  </si>
  <si>
    <t>kg/million artemia/day</t>
  </si>
  <si>
    <t>~0</t>
  </si>
  <si>
    <t>Importing Fish Feed</t>
  </si>
  <si>
    <t>FCR</t>
  </si>
  <si>
    <t>cost per mt</t>
  </si>
  <si>
    <t>Namibian Fish Feed</t>
  </si>
  <si>
    <t>Fish Feed</t>
  </si>
  <si>
    <t>Yearly Cost of Fingerling Purchasing</t>
  </si>
  <si>
    <t>Yearly Cost of Juvenile Feed</t>
  </si>
  <si>
    <t>Initial Live Feed Costs</t>
  </si>
  <si>
    <t>Yearly Cost</t>
  </si>
  <si>
    <t>Total Yearly Cost</t>
  </si>
  <si>
    <t>Initial Cost</t>
  </si>
  <si>
    <t>year</t>
  </si>
  <si>
    <t>mt</t>
  </si>
  <si>
    <t>initial cost of fish feed plant</t>
  </si>
  <si>
    <t>fish meal needed /year</t>
  </si>
  <si>
    <t>fish feed produced / year</t>
  </si>
  <si>
    <t>cost to buy fish meal per mt</t>
  </si>
  <si>
    <t>price to sell fish feed at per mt</t>
  </si>
  <si>
    <t>ratio of fish meal to fish feed</t>
  </si>
  <si>
    <t>price of importing fish feed 2004</t>
  </si>
  <si>
    <t>N$/mt</t>
  </si>
  <si>
    <t>Break even for plant</t>
  </si>
  <si>
    <t>income</t>
  </si>
  <si>
    <t>expenses</t>
  </si>
  <si>
    <t>import</t>
  </si>
  <si>
    <t>domestic</t>
  </si>
  <si>
    <t>Cost of Fish Feed Per Year (N$)</t>
  </si>
  <si>
    <t>Cost per MT of Imported fish feed</t>
  </si>
  <si>
    <t>Cost per MT of Namibian fish feed</t>
  </si>
  <si>
    <t>Total cost of Namibian feed per year</t>
  </si>
  <si>
    <t>Total cost of Imported feed per year</t>
  </si>
  <si>
    <t>overall cost evaluation</t>
  </si>
  <si>
    <t>live feed</t>
  </si>
  <si>
    <t>fingerling purchase and juvenile live feed</t>
  </si>
  <si>
    <t>Initial</t>
  </si>
  <si>
    <t>Yearly</t>
  </si>
  <si>
    <t>fish meal</t>
  </si>
  <si>
    <t>Namibian</t>
  </si>
  <si>
    <t>Imported</t>
  </si>
  <si>
    <t>container</t>
  </si>
  <si>
    <t>Ponds</t>
  </si>
  <si>
    <t>total yearly cost</t>
  </si>
  <si>
    <t>Tanks (new)</t>
  </si>
  <si>
    <t>Tanks (old)</t>
  </si>
  <si>
    <t>2005T</t>
  </si>
  <si>
    <t>2005P</t>
  </si>
  <si>
    <t>total yearly cost T</t>
  </si>
  <si>
    <t>total yearly cost P</t>
  </si>
  <si>
    <t>savings</t>
  </si>
  <si>
    <t>Fingerling purchase and juvenile feed</t>
  </si>
  <si>
    <t>Live feed</t>
  </si>
  <si>
    <t>Namibian fish feed</t>
  </si>
  <si>
    <t>Imported fish feed</t>
  </si>
  <si>
    <t>Ponds (2005)</t>
  </si>
  <si>
    <t>Tanks (2005)</t>
  </si>
  <si>
    <t>Tanks (2004)</t>
  </si>
  <si>
    <t>7,4</t>
  </si>
  <si>
    <t>10,8</t>
  </si>
  <si>
    <t>5,5</t>
  </si>
  <si>
    <t>28,4</t>
  </si>
  <si>
    <t>1,9</t>
  </si>
  <si>
    <t>29,1</t>
  </si>
  <si>
    <t>26,1</t>
  </si>
  <si>
    <t>1,4</t>
  </si>
  <si>
    <t>24,0</t>
  </si>
  <si>
    <t>16,0</t>
  </si>
  <si>
    <t>Cost Cutting Option</t>
  </si>
  <si>
    <t>Costs (in million N$)</t>
  </si>
  <si>
    <t>3 days</t>
  </si>
  <si>
    <t>9 days</t>
  </si>
  <si>
    <t>19 days</t>
  </si>
  <si>
    <t xml:space="preserve"> </t>
  </si>
  <si>
    <t>total cost of algal culture discs</t>
  </si>
  <si>
    <t>Total cost of imported fish feed per year</t>
  </si>
  <si>
    <t>Importing fish feed</t>
  </si>
  <si>
    <t>Amount of fish feed needed per year</t>
  </si>
  <si>
    <t xml:space="preserve">Adult fish weight </t>
  </si>
  <si>
    <t>Number of fish</t>
  </si>
  <si>
    <t>Total cost of Namibian fish feed per year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</si>
</sst>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_);\([$$-409]#,##0\)"/>
    <numFmt numFmtId="166" formatCode="&quot;$&quot;#,##0"/>
    <numFmt numFmtId="167" formatCode="#,##0.0"/>
    <numFmt numFmtId="168" formatCode="_(&quot;$&quot;* #,##0.0_);_(&quot;$&quot;* \(#,##0.0\);_(&quot;$&quot;* &quot;-&quot;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h:mm:ss\ AM/PM"/>
    <numFmt numFmtId="174" formatCode="[$-409]dddd\,\ mmmm\ dd\,\ yyyy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9.5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1.25"/>
      <name val="Arial"/>
      <family val="0"/>
    </font>
    <font>
      <sz val="9.5"/>
      <name val="Arial"/>
      <family val="0"/>
    </font>
    <font>
      <b/>
      <sz val="8.5"/>
      <name val="Arial"/>
      <family val="0"/>
    </font>
    <font>
      <b/>
      <sz val="8"/>
      <name val="Arial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2"/>
      <name val="Arial"/>
      <family val="0"/>
    </font>
    <font>
      <b/>
      <sz val="14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42" fontId="0" fillId="2" borderId="0" xfId="0" applyNumberFormat="1" applyFill="1" applyAlignment="1">
      <alignment/>
    </xf>
    <xf numFmtId="42" fontId="0" fillId="0" borderId="0" xfId="0" applyNumberFormat="1" applyAlignment="1">
      <alignment/>
    </xf>
    <xf numFmtId="42" fontId="0" fillId="0" borderId="8" xfId="0" applyNumberFormat="1" applyBorder="1" applyAlignment="1">
      <alignment/>
    </xf>
    <xf numFmtId="42" fontId="0" fillId="0" borderId="9" xfId="0" applyNumberFormat="1" applyBorder="1" applyAlignment="1">
      <alignment/>
    </xf>
    <xf numFmtId="42" fontId="0" fillId="0" borderId="10" xfId="0" applyNumberFormat="1" applyBorder="1" applyAlignment="1">
      <alignment/>
    </xf>
    <xf numFmtId="42" fontId="0" fillId="0" borderId="11" xfId="0" applyNumberFormat="1" applyBorder="1" applyAlignment="1">
      <alignment/>
    </xf>
    <xf numFmtId="42" fontId="0" fillId="0" borderId="12" xfId="0" applyNumberFormat="1" applyBorder="1" applyAlignment="1">
      <alignment/>
    </xf>
    <xf numFmtId="0" fontId="0" fillId="0" borderId="0" xfId="0" applyNumberFormat="1" applyFill="1" applyAlignment="1">
      <alignment/>
    </xf>
    <xf numFmtId="166" fontId="0" fillId="0" borderId="0" xfId="0" applyNumberFormat="1" applyAlignment="1">
      <alignment horizontal="right"/>
    </xf>
    <xf numFmtId="166" fontId="0" fillId="0" borderId="13" xfId="0" applyNumberFormat="1" applyFon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6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166" fontId="5" fillId="2" borderId="0" xfId="0" applyNumberFormat="1" applyFont="1" applyFill="1" applyBorder="1" applyAlignment="1">
      <alignment/>
    </xf>
    <xf numFmtId="166" fontId="5" fillId="2" borderId="0" xfId="0" applyNumberFormat="1" applyFont="1" applyFill="1" applyAlignment="1">
      <alignment horizontal="right"/>
    </xf>
    <xf numFmtId="166" fontId="5" fillId="3" borderId="0" xfId="0" applyNumberFormat="1" applyFont="1" applyFill="1" applyAlignment="1">
      <alignment/>
    </xf>
    <xf numFmtId="166" fontId="5" fillId="3" borderId="0" xfId="0" applyNumberFormat="1" applyFont="1" applyFill="1" applyBorder="1" applyAlignment="1">
      <alignment/>
    </xf>
    <xf numFmtId="166" fontId="5" fillId="3" borderId="0" xfId="0" applyNumberFormat="1" applyFont="1" applyFill="1" applyAlignment="1">
      <alignment horizontal="center" vertical="center" wrapText="1"/>
    </xf>
    <xf numFmtId="166" fontId="5" fillId="2" borderId="0" xfId="0" applyNumberFormat="1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/>
    </xf>
    <xf numFmtId="42" fontId="5" fillId="0" borderId="0" xfId="0" applyNumberFormat="1" applyFont="1" applyAlignment="1">
      <alignment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2" fontId="0" fillId="0" borderId="1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Namibian Produced Fish Feed vs. Imported Fish Feed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545"/>
          <c:w val="0.70375"/>
          <c:h val="0.62"/>
        </c:manualLayout>
      </c:layout>
      <c:lineChart>
        <c:grouping val="standard"/>
        <c:varyColors val="0"/>
        <c:ser>
          <c:idx val="1"/>
          <c:order val="0"/>
          <c:tx>
            <c:v>Imported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'fish meal and feed plant'!$G$42:$G$57</c:f>
              <c:numCache/>
            </c:numRef>
          </c:val>
          <c:smooth val="0"/>
        </c:ser>
        <c:ser>
          <c:idx val="2"/>
          <c:order val="1"/>
          <c:tx>
            <c:v>Namibian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'fish meal and feed plant'!$H$42:$H$57</c:f>
              <c:numCache/>
            </c:numRef>
          </c:val>
          <c:smooth val="0"/>
        </c:ser>
        <c:axId val="16398116"/>
        <c:axId val="13365317"/>
      </c:lineChart>
      <c:catAx>
        <c:axId val="16398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Years from start-up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65317"/>
        <c:crosses val="autoZero"/>
        <c:auto val="1"/>
        <c:lblOffset val="100"/>
        <c:noMultiLvlLbl val="0"/>
      </c:catAx>
      <c:valAx>
        <c:axId val="13365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million N$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3981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91"/>
          <c:y val="0.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Fish Meal Plant Break Even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7375"/>
          <c:w val="0.62175"/>
          <c:h val="0.6175"/>
        </c:manualLayout>
      </c:layout>
      <c:lineChart>
        <c:grouping val="standard"/>
        <c:varyColors val="0"/>
        <c:ser>
          <c:idx val="1"/>
          <c:order val="0"/>
          <c:tx>
            <c:v>Income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'fish meal and feed plant'!$G$4:$G$18</c:f>
              <c:numCache/>
            </c:numRef>
          </c:val>
          <c:smooth val="0"/>
        </c:ser>
        <c:ser>
          <c:idx val="2"/>
          <c:order val="1"/>
          <c:tx>
            <c:v>Expenses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'fish meal and feed plant'!$H$4:$H$18</c:f>
              <c:numCache/>
            </c:numRef>
          </c:val>
          <c:smooth val="0"/>
        </c:ser>
        <c:axId val="53178990"/>
        <c:axId val="8848863"/>
      </c:lineChart>
      <c:catAx>
        <c:axId val="53178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Years from start-up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48863"/>
        <c:crosses val="autoZero"/>
        <c:auto val="1"/>
        <c:lblOffset val="100"/>
        <c:tickLblSkip val="2"/>
        <c:noMultiLvlLbl val="0"/>
      </c:catAx>
      <c:valAx>
        <c:axId val="8848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million N$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178990"/>
        <c:crossesAt val="1"/>
        <c:crossBetween val="between"/>
        <c:dispUnits/>
        <c:majorUnit val="500"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59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Purchasing Fingerlings and Inert Juvenile Food vs. On-site Live Food Production</a:t>
            </a:r>
          </a:p>
        </c:rich>
      </c:tx>
      <c:layout>
        <c:manualLayout>
          <c:xMode val="factor"/>
          <c:yMode val="factor"/>
          <c:x val="0.001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2"/>
          <c:w val="0.71875"/>
          <c:h val="0.72875"/>
        </c:manualLayout>
      </c:layout>
      <c:lineChart>
        <c:grouping val="standard"/>
        <c:varyColors val="0"/>
        <c:ser>
          <c:idx val="1"/>
          <c:order val="0"/>
          <c:tx>
            <c:v>Purchasing Fingerlings and Inert Juvenile Food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'live feed break even'!$D$2:$D$17</c:f>
              <c:numCache/>
            </c:numRef>
          </c:val>
          <c:smooth val="0"/>
        </c:ser>
        <c:ser>
          <c:idx val="2"/>
          <c:order val="1"/>
          <c:tx>
            <c:v>On-site Live Feed Production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'live feed break even'!$E$2:$E$17</c:f>
              <c:numCache/>
            </c:numRef>
          </c:val>
          <c:smooth val="0"/>
        </c:ser>
        <c:axId val="12530904"/>
        <c:axId val="45669273"/>
      </c:lineChart>
      <c:catAx>
        <c:axId val="12530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Years from start-up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69273"/>
        <c:crosses val="autoZero"/>
        <c:auto val="1"/>
        <c:lblOffset val="100"/>
        <c:noMultiLvlLbl val="0"/>
      </c:catAx>
      <c:valAx>
        <c:axId val="45669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million N$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5309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7975"/>
          <c:y val="0.36975"/>
          <c:w val="0.21125"/>
          <c:h val="0.37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 Year Projected Yearly Savings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'overall results'!$K$5:$K$14</c:f>
              <c:numCache>
                <c:ptCount val="10"/>
                <c:pt idx="0">
                  <c:v>10880576</c:v>
                </c:pt>
                <c:pt idx="1">
                  <c:v>21761152</c:v>
                </c:pt>
                <c:pt idx="2">
                  <c:v>32641728</c:v>
                </c:pt>
                <c:pt idx="3">
                  <c:v>43522304</c:v>
                </c:pt>
                <c:pt idx="4">
                  <c:v>54402880</c:v>
                </c:pt>
                <c:pt idx="5">
                  <c:v>65283456</c:v>
                </c:pt>
                <c:pt idx="6">
                  <c:v>76164032</c:v>
                </c:pt>
                <c:pt idx="7">
                  <c:v>87044608</c:v>
                </c:pt>
                <c:pt idx="8">
                  <c:v>97925184</c:v>
                </c:pt>
                <c:pt idx="9">
                  <c:v>108805760</c:v>
                </c:pt>
              </c:numCache>
            </c:numRef>
          </c:val>
        </c:ser>
        <c:axId val="8370274"/>
        <c:axId val="8223603"/>
      </c:barChart>
      <c:catAx>
        <c:axId val="837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 from start-up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23603"/>
        <c:crosses val="autoZero"/>
        <c:auto val="1"/>
        <c:lblOffset val="100"/>
        <c:noMultiLvlLbl val="0"/>
      </c:catAx>
      <c:valAx>
        <c:axId val="82236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370274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19050</xdr:rowOff>
    </xdr:from>
    <xdr:to>
      <xdr:col>4</xdr:col>
      <xdr:colOff>95250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57150" y="7143750"/>
        <a:ext cx="45529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57</xdr:row>
      <xdr:rowOff>114300</xdr:rowOff>
    </xdr:from>
    <xdr:to>
      <xdr:col>8</xdr:col>
      <xdr:colOff>419100</xdr:colOff>
      <xdr:row>76</xdr:row>
      <xdr:rowOff>38100</xdr:rowOff>
    </xdr:to>
    <xdr:graphicFrame>
      <xdr:nvGraphicFramePr>
        <xdr:cNvPr id="2" name="Chart 2"/>
        <xdr:cNvGraphicFramePr/>
      </xdr:nvGraphicFramePr>
      <xdr:xfrm>
        <a:off x="5305425" y="9344025"/>
        <a:ext cx="33337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17</xdr:row>
      <xdr:rowOff>123825</xdr:rowOff>
    </xdr:from>
    <xdr:to>
      <xdr:col>7</xdr:col>
      <xdr:colOff>123825</xdr:colOff>
      <xdr:row>37</xdr:row>
      <xdr:rowOff>114300</xdr:rowOff>
    </xdr:to>
    <xdr:graphicFrame>
      <xdr:nvGraphicFramePr>
        <xdr:cNvPr id="1" name="Chart 2"/>
        <xdr:cNvGraphicFramePr/>
      </xdr:nvGraphicFramePr>
      <xdr:xfrm>
        <a:off x="238125" y="2895600"/>
        <a:ext cx="63531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0</xdr:rowOff>
    </xdr:from>
    <xdr:to>
      <xdr:col>8</xdr:col>
      <xdr:colOff>19050</xdr:colOff>
      <xdr:row>53</xdr:row>
      <xdr:rowOff>47625</xdr:rowOff>
    </xdr:to>
    <xdr:graphicFrame>
      <xdr:nvGraphicFramePr>
        <xdr:cNvPr id="1" name="Chart 4"/>
        <xdr:cNvGraphicFramePr/>
      </xdr:nvGraphicFramePr>
      <xdr:xfrm>
        <a:off x="19050" y="5181600"/>
        <a:ext cx="71437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1">
      <selection activeCell="B37" sqref="B37"/>
    </sheetView>
  </sheetViews>
  <sheetFormatPr defaultColWidth="9.140625" defaultRowHeight="12.75"/>
  <cols>
    <col min="1" max="1" width="35.7109375" style="0" customWidth="1"/>
    <col min="2" max="2" width="20.140625" style="0" bestFit="1" customWidth="1"/>
    <col min="6" max="9" width="13.7109375" style="0" customWidth="1"/>
  </cols>
  <sheetData>
    <row r="1" spans="1:3" ht="12.75">
      <c r="A1" t="s">
        <v>0</v>
      </c>
      <c r="B1" s="1">
        <v>7291667</v>
      </c>
      <c r="C1" t="s">
        <v>3</v>
      </c>
    </row>
    <row r="2" spans="1:3" ht="12.75">
      <c r="A2" t="s">
        <v>1</v>
      </c>
      <c r="B2">
        <v>0.64</v>
      </c>
      <c r="C2" t="s">
        <v>2</v>
      </c>
    </row>
    <row r="4" spans="1:3" ht="12.75">
      <c r="A4" s="55" t="s">
        <v>41</v>
      </c>
      <c r="B4" s="55" t="s">
        <v>138</v>
      </c>
      <c r="C4" s="55" t="s">
        <v>32</v>
      </c>
    </row>
    <row r="5" spans="1:3" ht="12.75">
      <c r="A5" s="55" t="s">
        <v>42</v>
      </c>
      <c r="B5" s="55" t="s">
        <v>139</v>
      </c>
      <c r="C5" s="55" t="s">
        <v>32</v>
      </c>
    </row>
    <row r="6" spans="1:3" ht="12.75">
      <c r="A6" s="55" t="s">
        <v>43</v>
      </c>
      <c r="B6" s="55" t="s">
        <v>140</v>
      </c>
      <c r="C6" s="55" t="s">
        <v>32</v>
      </c>
    </row>
    <row r="8" ht="12.75">
      <c r="A8" s="3" t="s">
        <v>4</v>
      </c>
    </row>
    <row r="10" spans="1:2" ht="12.75">
      <c r="A10" t="s">
        <v>6</v>
      </c>
      <c r="B10">
        <v>1500</v>
      </c>
    </row>
    <row r="11" spans="1:2" ht="12.75">
      <c r="A11" t="s">
        <v>18</v>
      </c>
      <c r="B11" s="1">
        <f>B10*B1/12</f>
        <v>911458375</v>
      </c>
    </row>
    <row r="12" spans="1:2" ht="12.75">
      <c r="A12" t="s">
        <v>7</v>
      </c>
      <c r="B12" s="1">
        <f>B11*9</f>
        <v>8203125375</v>
      </c>
    </row>
    <row r="13" spans="1:2" ht="12.75">
      <c r="A13" t="s">
        <v>9</v>
      </c>
      <c r="B13" s="1">
        <f>B12*12</f>
        <v>98437504500</v>
      </c>
    </row>
    <row r="15" spans="1:6" ht="12.75">
      <c r="A15" s="4" t="s">
        <v>8</v>
      </c>
      <c r="B15" s="16">
        <v>60</v>
      </c>
      <c r="C15" s="4" t="s">
        <v>16</v>
      </c>
      <c r="F15">
        <f>5*1800000</f>
        <v>9000000</v>
      </c>
    </row>
    <row r="16" spans="1:3" ht="12.75">
      <c r="A16" t="s">
        <v>65</v>
      </c>
      <c r="B16" s="17">
        <f>B15*911/6</f>
        <v>9110</v>
      </c>
      <c r="C16" t="s">
        <v>16</v>
      </c>
    </row>
    <row r="18" ht="13.5" thickBot="1">
      <c r="A18" s="3" t="s">
        <v>10</v>
      </c>
    </row>
    <row r="19" spans="5:9" ht="13.5" thickTop="1">
      <c r="E19" s="8"/>
      <c r="F19" s="56" t="s">
        <v>54</v>
      </c>
      <c r="G19" s="57"/>
      <c r="H19" s="57"/>
      <c r="I19" s="58"/>
    </row>
    <row r="20" spans="1:10" ht="12.75">
      <c r="A20" t="s">
        <v>11</v>
      </c>
      <c r="B20">
        <v>1000</v>
      </c>
      <c r="C20" t="s">
        <v>12</v>
      </c>
      <c r="F20" s="9" t="s">
        <v>10</v>
      </c>
      <c r="G20" s="7" t="s">
        <v>51</v>
      </c>
      <c r="H20" s="7" t="s">
        <v>52</v>
      </c>
      <c r="I20" s="11" t="s">
        <v>53</v>
      </c>
      <c r="J20" s="12"/>
    </row>
    <row r="21" spans="1:10" ht="13.5" thickBot="1">
      <c r="A21" t="s">
        <v>20</v>
      </c>
      <c r="B21" s="1">
        <f>B11/B20/1000</f>
        <v>911.458375</v>
      </c>
      <c r="C21" t="s">
        <v>13</v>
      </c>
      <c r="E21" s="8"/>
      <c r="F21" s="19">
        <f>B16+B25+B28+B27+B37/2</f>
        <v>3923707.2494666665</v>
      </c>
      <c r="G21" s="18">
        <f>B62+B71+B73+B74+B37/2</f>
        <v>3992612.364333333</v>
      </c>
      <c r="H21" s="18">
        <f>B46+B51+B52+B53</f>
        <v>2866997.5125</v>
      </c>
      <c r="I21" s="20">
        <f>F21+G21+H21</f>
        <v>10783317.1263</v>
      </c>
      <c r="J21" s="12"/>
    </row>
    <row r="22" spans="1:9" ht="14.25" thickBot="1" thickTop="1">
      <c r="A22" t="s">
        <v>31</v>
      </c>
      <c r="B22" s="1">
        <v>6</v>
      </c>
      <c r="C22" t="s">
        <v>32</v>
      </c>
      <c r="G22" s="10"/>
      <c r="H22" s="10"/>
      <c r="I22" s="10"/>
    </row>
    <row r="23" spans="1:9" ht="13.5" thickTop="1">
      <c r="A23" t="s">
        <v>15</v>
      </c>
      <c r="B23" s="1">
        <f>B21/50*B22</f>
        <v>109.37500500000002</v>
      </c>
      <c r="C23" t="s">
        <v>14</v>
      </c>
      <c r="F23" s="56" t="s">
        <v>55</v>
      </c>
      <c r="G23" s="57"/>
      <c r="H23" s="57"/>
      <c r="I23" s="58"/>
    </row>
    <row r="24" spans="1:9" ht="12.75">
      <c r="A24" t="s">
        <v>19</v>
      </c>
      <c r="B24" s="17">
        <v>1560</v>
      </c>
      <c r="C24" t="s">
        <v>16</v>
      </c>
      <c r="F24" s="9" t="s">
        <v>10</v>
      </c>
      <c r="G24" s="7" t="s">
        <v>51</v>
      </c>
      <c r="H24" s="7" t="s">
        <v>52</v>
      </c>
      <c r="I24" s="13" t="s">
        <v>53</v>
      </c>
    </row>
    <row r="25" spans="1:10" ht="13.5" thickBot="1">
      <c r="A25" s="4" t="s">
        <v>17</v>
      </c>
      <c r="B25" s="16">
        <f>B24*B23</f>
        <v>170625.00780000002</v>
      </c>
      <c r="C25" s="4" t="s">
        <v>16</v>
      </c>
      <c r="F25" s="19">
        <f>B37/2+B27</f>
        <v>2738531.908333333</v>
      </c>
      <c r="G25" s="21">
        <f>B37/2+B73</f>
        <v>2736121.5749999997</v>
      </c>
      <c r="H25" s="54" t="s">
        <v>69</v>
      </c>
      <c r="I25" s="22">
        <f>F25+G25</f>
        <v>5474653.483333332</v>
      </c>
      <c r="J25" s="12"/>
    </row>
    <row r="26" spans="1:3" ht="13.5" thickTop="1">
      <c r="A26" s="4" t="s">
        <v>8</v>
      </c>
      <c r="B26" s="16">
        <v>60</v>
      </c>
      <c r="C26" s="4" t="s">
        <v>16</v>
      </c>
    </row>
    <row r="27" spans="1:3" ht="12.75">
      <c r="A27" s="4" t="s">
        <v>56</v>
      </c>
      <c r="B27" s="16">
        <f>(1740+95+67+70+248+189+124+48+125+384+102+39+4000)*911/6</f>
        <v>1097906.8333333333</v>
      </c>
      <c r="C27" s="4" t="s">
        <v>16</v>
      </c>
    </row>
    <row r="28" spans="1:3" ht="12.75">
      <c r="A28" s="4" t="s">
        <v>57</v>
      </c>
      <c r="B28" s="16">
        <f>(750+706+300+600+1320+1670+1000+276)*911/6</f>
        <v>1005440.3333333334</v>
      </c>
      <c r="C28" s="4" t="s">
        <v>16</v>
      </c>
    </row>
    <row r="30" ht="12.75">
      <c r="B30">
        <f>(1740+95+67+70+248+189+124+48+125+384+102+39+4000)</f>
        <v>7231</v>
      </c>
    </row>
    <row r="31" ht="12.75">
      <c r="B31">
        <f>(750+706+300+600+1320+1670+1000+276)</f>
        <v>6622</v>
      </c>
    </row>
    <row r="32" ht="12.75">
      <c r="A32" s="3" t="s">
        <v>21</v>
      </c>
    </row>
    <row r="33" ht="12.75">
      <c r="A33" s="3"/>
    </row>
    <row r="34" spans="1:3" ht="12.75">
      <c r="A34" t="s">
        <v>22</v>
      </c>
      <c r="B34" s="17">
        <v>300</v>
      </c>
      <c r="C34" t="s">
        <v>66</v>
      </c>
    </row>
    <row r="35" spans="1:3" ht="12.75">
      <c r="A35" t="s">
        <v>24</v>
      </c>
      <c r="B35">
        <v>0.5</v>
      </c>
      <c r="C35" t="s">
        <v>23</v>
      </c>
    </row>
    <row r="36" spans="1:3" ht="12.75">
      <c r="A36" t="s">
        <v>25</v>
      </c>
      <c r="B36" s="5">
        <f>(B11/1000000)*B35+(B58/1000000)*B38</f>
        <v>911.4583749999999</v>
      </c>
      <c r="C36" t="s">
        <v>26</v>
      </c>
    </row>
    <row r="37" spans="1:3" ht="12.75">
      <c r="A37" s="4" t="s">
        <v>27</v>
      </c>
      <c r="B37" s="16">
        <f>B36*B34*12</f>
        <v>3281250.1499999994</v>
      </c>
      <c r="C37" s="4" t="s">
        <v>16</v>
      </c>
    </row>
    <row r="38" spans="1:3" s="14" customFormat="1" ht="12.75">
      <c r="A38" s="14" t="s">
        <v>67</v>
      </c>
      <c r="B38" s="23">
        <f>B35*3</f>
        <v>1.5</v>
      </c>
      <c r="C38" s="14" t="s">
        <v>68</v>
      </c>
    </row>
    <row r="40" s="14" customFormat="1" ht="12.75">
      <c r="B40" s="15"/>
    </row>
    <row r="41" s="14" customFormat="1" ht="12.75">
      <c r="B41" s="15"/>
    </row>
    <row r="42" s="14" customFormat="1" ht="12.75">
      <c r="B42" s="15"/>
    </row>
    <row r="43" s="14" customFormat="1" ht="12.75">
      <c r="B43" s="15"/>
    </row>
    <row r="44" ht="12.75">
      <c r="A44" s="3" t="s">
        <v>28</v>
      </c>
    </row>
    <row r="45" ht="12.75">
      <c r="A45" t="s">
        <v>60</v>
      </c>
    </row>
    <row r="46" spans="1:3" ht="12.75">
      <c r="A46" s="4" t="s">
        <v>29</v>
      </c>
      <c r="B46" s="16">
        <v>60</v>
      </c>
      <c r="C46" s="4" t="s">
        <v>16</v>
      </c>
    </row>
    <row r="47" spans="1:3" s="14" customFormat="1" ht="12.75">
      <c r="A47" s="4" t="s">
        <v>142</v>
      </c>
      <c r="B47" s="16">
        <f>B46*911/6*2</f>
        <v>18220</v>
      </c>
      <c r="C47" s="4" t="s">
        <v>16</v>
      </c>
    </row>
    <row r="48" spans="1:4" ht="12.75">
      <c r="A48" t="s">
        <v>30</v>
      </c>
      <c r="B48" s="6">
        <f>911458375/6000000*3*2</f>
        <v>911.4583749999999</v>
      </c>
      <c r="C48" t="s">
        <v>13</v>
      </c>
      <c r="D48" t="s">
        <v>61</v>
      </c>
    </row>
    <row r="49" spans="1:3" ht="12.75">
      <c r="A49" t="s">
        <v>33</v>
      </c>
      <c r="B49">
        <v>10</v>
      </c>
      <c r="C49" t="s">
        <v>32</v>
      </c>
    </row>
    <row r="50" spans="1:3" ht="12.75">
      <c r="A50" t="s">
        <v>34</v>
      </c>
      <c r="B50" s="6">
        <f>B48*B49/50</f>
        <v>182.291675</v>
      </c>
      <c r="C50" t="s">
        <v>35</v>
      </c>
    </row>
    <row r="51" spans="1:4" ht="12.75">
      <c r="A51" s="4" t="s">
        <v>36</v>
      </c>
      <c r="B51" s="16">
        <f>750*B50</f>
        <v>136718.75625</v>
      </c>
      <c r="C51" s="4" t="s">
        <v>16</v>
      </c>
      <c r="D51" t="s">
        <v>62</v>
      </c>
    </row>
    <row r="52" spans="1:4" ht="12.75">
      <c r="A52" s="4" t="s">
        <v>50</v>
      </c>
      <c r="B52" s="16">
        <f>1500*B50/2</f>
        <v>136718.75625</v>
      </c>
      <c r="C52" s="4" t="s">
        <v>16</v>
      </c>
      <c r="D52" t="s">
        <v>63</v>
      </c>
    </row>
    <row r="53" spans="1:3" ht="12.75">
      <c r="A53" s="4" t="s">
        <v>64</v>
      </c>
      <c r="B53" s="16">
        <f>(150000+21000)*182/12</f>
        <v>2593500</v>
      </c>
      <c r="C53" s="4" t="s">
        <v>16</v>
      </c>
    </row>
    <row r="55" ht="12.75">
      <c r="A55" s="3" t="s">
        <v>5</v>
      </c>
    </row>
    <row r="56" ht="12.75">
      <c r="B56" s="2"/>
    </row>
    <row r="57" spans="1:2" ht="12.75">
      <c r="A57" t="s">
        <v>40</v>
      </c>
      <c r="B57">
        <v>500</v>
      </c>
    </row>
    <row r="58" spans="1:2" ht="12.75">
      <c r="A58" t="s">
        <v>44</v>
      </c>
      <c r="B58" s="1">
        <f>B1*B57/12</f>
        <v>303819458.3333333</v>
      </c>
    </row>
    <row r="59" spans="1:2" ht="12.75">
      <c r="A59" t="s">
        <v>45</v>
      </c>
      <c r="B59" s="1">
        <f>B58*29</f>
        <v>8810764291.666666</v>
      </c>
    </row>
    <row r="60" spans="1:2" ht="12.75">
      <c r="A60" t="s">
        <v>46</v>
      </c>
      <c r="B60" s="1">
        <f>B59*12</f>
        <v>105729171500</v>
      </c>
    </row>
    <row r="62" spans="1:3" ht="12.75">
      <c r="A62" s="4" t="s">
        <v>37</v>
      </c>
      <c r="B62" s="16">
        <v>480</v>
      </c>
      <c r="C62" s="4" t="s">
        <v>58</v>
      </c>
    </row>
    <row r="63" spans="1:3" ht="12.75">
      <c r="A63" t="s">
        <v>38</v>
      </c>
      <c r="B63" s="1">
        <v>250000</v>
      </c>
      <c r="C63" t="s">
        <v>5</v>
      </c>
    </row>
    <row r="64" spans="1:3" ht="12.75">
      <c r="A64" t="s">
        <v>39</v>
      </c>
      <c r="B64" s="17">
        <f>B62/500</f>
        <v>0.96</v>
      </c>
      <c r="C64" t="s">
        <v>59</v>
      </c>
    </row>
    <row r="66" spans="1:3" ht="12.75">
      <c r="A66" t="s">
        <v>47</v>
      </c>
      <c r="B66">
        <v>300</v>
      </c>
      <c r="C66" t="s">
        <v>48</v>
      </c>
    </row>
    <row r="67" spans="1:3" ht="12.75">
      <c r="A67" t="s">
        <v>20</v>
      </c>
      <c r="B67" s="1">
        <f>B58/B66/1000</f>
        <v>1012.7315277777777</v>
      </c>
      <c r="C67" t="s">
        <v>13</v>
      </c>
    </row>
    <row r="68" spans="1:3" ht="12.75">
      <c r="A68" t="s">
        <v>31</v>
      </c>
      <c r="B68">
        <v>8</v>
      </c>
      <c r="C68" t="s">
        <v>32</v>
      </c>
    </row>
    <row r="69" spans="1:3" ht="12.75">
      <c r="A69" t="s">
        <v>15</v>
      </c>
      <c r="B69" s="1">
        <f>B67/50*8</f>
        <v>162.03704444444443</v>
      </c>
      <c r="C69" t="s">
        <v>14</v>
      </c>
    </row>
    <row r="70" spans="1:3" ht="12.75">
      <c r="A70" t="s">
        <v>19</v>
      </c>
      <c r="B70" s="17">
        <v>1560</v>
      </c>
      <c r="C70" t="s">
        <v>49</v>
      </c>
    </row>
    <row r="71" spans="1:3" ht="12.75">
      <c r="A71" s="4" t="s">
        <v>17</v>
      </c>
      <c r="B71" s="16">
        <f>B69*B70</f>
        <v>252777.78933333332</v>
      </c>
      <c r="C71" s="4" t="s">
        <v>49</v>
      </c>
    </row>
    <row r="72" spans="1:3" ht="12.75">
      <c r="A72" s="4" t="s">
        <v>37</v>
      </c>
      <c r="B72" s="16">
        <v>480</v>
      </c>
      <c r="C72" s="4" t="s">
        <v>58</v>
      </c>
    </row>
    <row r="73" spans="1:3" ht="12.75">
      <c r="A73" s="4" t="s">
        <v>56</v>
      </c>
      <c r="B73" s="16">
        <f>(1740+95+67+70+248+189+124+48+125+384+102+39+4000)*303/2</f>
        <v>1095496.5</v>
      </c>
      <c r="C73" s="4" t="s">
        <v>16</v>
      </c>
    </row>
    <row r="74" spans="1:3" ht="12.75">
      <c r="A74" s="4" t="s">
        <v>57</v>
      </c>
      <c r="B74" s="16">
        <f>(750+706+300+600+1320+1670+1000+276)*303/2</f>
        <v>1003233</v>
      </c>
      <c r="C74" s="4" t="s">
        <v>16</v>
      </c>
    </row>
  </sheetData>
  <mergeCells count="2">
    <mergeCell ref="F19:I19"/>
    <mergeCell ref="F23:I2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31">
      <selection activeCell="A63" sqref="A63"/>
    </sheetView>
  </sheetViews>
  <sheetFormatPr defaultColWidth="9.140625" defaultRowHeight="12.75"/>
  <cols>
    <col min="1" max="1" width="34.421875" style="0" customWidth="1"/>
    <col min="2" max="2" width="15.00390625" style="0" customWidth="1"/>
    <col min="7" max="7" width="17.421875" style="0" customWidth="1"/>
    <col min="8" max="8" width="19.8515625" style="0" customWidth="1"/>
  </cols>
  <sheetData>
    <row r="1" spans="1:6" ht="12.75">
      <c r="A1" s="3" t="s">
        <v>74</v>
      </c>
      <c r="F1" s="3" t="s">
        <v>91</v>
      </c>
    </row>
    <row r="2" spans="1:3" ht="12.75">
      <c r="A2" t="s">
        <v>147</v>
      </c>
      <c r="B2" s="1">
        <v>7200000</v>
      </c>
      <c r="C2" t="s">
        <v>3</v>
      </c>
    </row>
    <row r="3" spans="1:8" ht="12.75">
      <c r="A3" t="s">
        <v>71</v>
      </c>
      <c r="B3">
        <v>1.7</v>
      </c>
      <c r="F3" t="s">
        <v>81</v>
      </c>
      <c r="G3" t="s">
        <v>92</v>
      </c>
      <c r="H3" t="s">
        <v>93</v>
      </c>
    </row>
    <row r="4" spans="1:8" ht="12.75">
      <c r="A4" t="s">
        <v>146</v>
      </c>
      <c r="B4">
        <v>0.64</v>
      </c>
      <c r="C4" t="s">
        <v>2</v>
      </c>
      <c r="F4">
        <v>0</v>
      </c>
      <c r="G4" s="2">
        <v>0</v>
      </c>
      <c r="H4" s="2">
        <f>B20/1000000</f>
        <v>4.41966</v>
      </c>
    </row>
    <row r="5" spans="1:8" ht="12.75">
      <c r="A5" t="s">
        <v>145</v>
      </c>
      <c r="B5" s="1">
        <f>B2*0.64*1.7/1000</f>
        <v>7833.6</v>
      </c>
      <c r="C5" t="s">
        <v>82</v>
      </c>
      <c r="D5">
        <f>7933/365</f>
        <v>21.734246575342464</v>
      </c>
      <c r="F5">
        <v>1</v>
      </c>
      <c r="G5" s="2">
        <f>($B$21*$B$25)*F5/1000000</f>
        <v>114.12</v>
      </c>
      <c r="H5" s="2">
        <f>$H$4+($B$22*$B$24)*F5/1000000</f>
        <v>110.93166</v>
      </c>
    </row>
    <row r="6" spans="1:8" ht="12.75">
      <c r="A6" t="s">
        <v>144</v>
      </c>
      <c r="B6" s="1">
        <v>11200</v>
      </c>
      <c r="C6" t="s">
        <v>90</v>
      </c>
      <c r="F6">
        <v>2</v>
      </c>
      <c r="G6" s="2">
        <f aca="true" t="shared" si="0" ref="G6:G39">($B$21*$B$25)*F6/1000000</f>
        <v>228.24</v>
      </c>
      <c r="H6" s="2">
        <f aca="true" t="shared" si="1" ref="H6:H39">$H$4+($B$22*$B$24)*F6/1000000</f>
        <v>217.44366</v>
      </c>
    </row>
    <row r="7" spans="1:8" ht="12.75">
      <c r="A7" t="s">
        <v>143</v>
      </c>
      <c r="B7" s="17">
        <f>B5*B6</f>
        <v>87736320</v>
      </c>
      <c r="C7" t="s">
        <v>16</v>
      </c>
      <c r="D7">
        <f>(365-12*(4))*24*2</f>
        <v>15216</v>
      </c>
      <c r="F7">
        <v>3</v>
      </c>
      <c r="G7" s="2">
        <f t="shared" si="0"/>
        <v>342.36</v>
      </c>
      <c r="H7" s="2">
        <f t="shared" si="1"/>
        <v>323.95566</v>
      </c>
    </row>
    <row r="8" spans="1:8" ht="12.75">
      <c r="A8" t="s">
        <v>121</v>
      </c>
      <c r="B8" s="1">
        <v>7500</v>
      </c>
      <c r="C8" t="s">
        <v>90</v>
      </c>
      <c r="F8">
        <v>4</v>
      </c>
      <c r="G8" s="2">
        <f t="shared" si="0"/>
        <v>456.48</v>
      </c>
      <c r="H8" s="2">
        <f t="shared" si="1"/>
        <v>430.46766</v>
      </c>
    </row>
    <row r="9" spans="1:8" ht="12.75">
      <c r="A9" t="s">
        <v>148</v>
      </c>
      <c r="B9" s="17">
        <f>B5*B8</f>
        <v>58752000</v>
      </c>
      <c r="C9" t="s">
        <v>16</v>
      </c>
      <c r="D9">
        <f>7616-2520</f>
        <v>5096</v>
      </c>
      <c r="F9">
        <v>5</v>
      </c>
      <c r="G9" s="2">
        <f t="shared" si="0"/>
        <v>570.6</v>
      </c>
      <c r="H9" s="2">
        <f t="shared" si="1"/>
        <v>536.97966</v>
      </c>
    </row>
    <row r="10" spans="6:8" ht="12.75">
      <c r="F10">
        <v>6</v>
      </c>
      <c r="G10" s="2">
        <f t="shared" si="0"/>
        <v>684.72</v>
      </c>
      <c r="H10" s="2">
        <f t="shared" si="1"/>
        <v>643.49166</v>
      </c>
    </row>
    <row r="11" spans="1:8" ht="12.75">
      <c r="A11" s="3" t="s">
        <v>70</v>
      </c>
      <c r="F11">
        <v>7</v>
      </c>
      <c r="G11" s="2">
        <f t="shared" si="0"/>
        <v>798.84</v>
      </c>
      <c r="H11" s="2">
        <f t="shared" si="1"/>
        <v>750.00366</v>
      </c>
    </row>
    <row r="12" spans="1:8" ht="12.75">
      <c r="A12" t="s">
        <v>72</v>
      </c>
      <c r="B12">
        <v>2960</v>
      </c>
      <c r="C12" t="s">
        <v>16</v>
      </c>
      <c r="F12">
        <v>8</v>
      </c>
      <c r="G12" s="2">
        <f t="shared" si="0"/>
        <v>912.96</v>
      </c>
      <c r="H12" s="2">
        <f t="shared" si="1"/>
        <v>856.51566</v>
      </c>
    </row>
    <row r="13" spans="2:8" ht="12.75">
      <c r="B13">
        <v>1800</v>
      </c>
      <c r="C13" t="s">
        <v>16</v>
      </c>
      <c r="F13">
        <v>9</v>
      </c>
      <c r="G13" s="2">
        <f t="shared" si="0"/>
        <v>1027.08</v>
      </c>
      <c r="H13" s="2">
        <f t="shared" si="1"/>
        <v>963.02766</v>
      </c>
    </row>
    <row r="14" spans="1:8" ht="12.75">
      <c r="A14" s="3" t="s">
        <v>73</v>
      </c>
      <c r="F14">
        <v>10</v>
      </c>
      <c r="G14" s="2">
        <f t="shared" si="0"/>
        <v>1141.2</v>
      </c>
      <c r="H14" s="2">
        <f t="shared" si="1"/>
        <v>1069.53966</v>
      </c>
    </row>
    <row r="15" spans="1:8" ht="12.75">
      <c r="A15" t="s">
        <v>72</v>
      </c>
      <c r="F15">
        <v>11</v>
      </c>
      <c r="G15" s="2">
        <f t="shared" si="0"/>
        <v>1255.32</v>
      </c>
      <c r="H15" s="2">
        <f t="shared" si="1"/>
        <v>1176.05166</v>
      </c>
    </row>
    <row r="16" spans="3:8" ht="12.75">
      <c r="C16" t="s">
        <v>141</v>
      </c>
      <c r="F16">
        <v>12</v>
      </c>
      <c r="G16" s="2">
        <f t="shared" si="0"/>
        <v>1369.44</v>
      </c>
      <c r="H16" s="2">
        <f t="shared" si="1"/>
        <v>1282.56366</v>
      </c>
    </row>
    <row r="17" spans="2:8" ht="12.75">
      <c r="B17">
        <v>4200</v>
      </c>
      <c r="C17" t="s">
        <v>82</v>
      </c>
      <c r="F17">
        <v>13</v>
      </c>
      <c r="G17" s="2">
        <f t="shared" si="0"/>
        <v>1483.56</v>
      </c>
      <c r="H17" s="2">
        <f t="shared" si="1"/>
        <v>1389.07566</v>
      </c>
    </row>
    <row r="18" spans="2:8" ht="12.75">
      <c r="B18">
        <f>B17*0.6</f>
        <v>2520</v>
      </c>
      <c r="C18" t="s">
        <v>82</v>
      </c>
      <c r="F18">
        <v>14</v>
      </c>
      <c r="G18" s="2">
        <f t="shared" si="0"/>
        <v>1597.68</v>
      </c>
      <c r="H18" s="2">
        <f t="shared" si="1"/>
        <v>1495.58766</v>
      </c>
    </row>
    <row r="19" spans="6:8" ht="12.75">
      <c r="F19">
        <v>15</v>
      </c>
      <c r="G19" s="2">
        <f t="shared" si="0"/>
        <v>1711.8</v>
      </c>
      <c r="H19" s="2">
        <f t="shared" si="1"/>
        <v>1602.09966</v>
      </c>
    </row>
    <row r="20" spans="1:8" ht="12.75">
      <c r="A20" t="s">
        <v>83</v>
      </c>
      <c r="B20" s="2">
        <f>736610*6</f>
        <v>4419660</v>
      </c>
      <c r="C20" t="s">
        <v>16</v>
      </c>
      <c r="F20">
        <v>16</v>
      </c>
      <c r="G20" s="2">
        <f t="shared" si="0"/>
        <v>1825.92</v>
      </c>
      <c r="H20" s="2">
        <f t="shared" si="1"/>
        <v>1708.61166</v>
      </c>
    </row>
    <row r="21" spans="1:8" ht="12.75">
      <c r="A21" t="s">
        <v>85</v>
      </c>
      <c r="B21" s="1">
        <f>D7</f>
        <v>15216</v>
      </c>
      <c r="C21" t="s">
        <v>82</v>
      </c>
      <c r="D21">
        <v>2158</v>
      </c>
      <c r="F21">
        <v>17</v>
      </c>
      <c r="G21" s="2">
        <f t="shared" si="0"/>
        <v>1940.04</v>
      </c>
      <c r="H21" s="2">
        <f t="shared" si="1"/>
        <v>1815.12366</v>
      </c>
    </row>
    <row r="22" spans="1:8" ht="12.75">
      <c r="A22" t="s">
        <v>84</v>
      </c>
      <c r="B22" s="1">
        <f>B21*2</f>
        <v>30432</v>
      </c>
      <c r="C22" t="s">
        <v>82</v>
      </c>
      <c r="F22">
        <v>18</v>
      </c>
      <c r="G22" s="2">
        <f t="shared" si="0"/>
        <v>2054.16</v>
      </c>
      <c r="H22" s="2">
        <f t="shared" si="1"/>
        <v>1921.63566</v>
      </c>
    </row>
    <row r="23" spans="6:8" ht="12.75">
      <c r="F23">
        <v>19</v>
      </c>
      <c r="G23" s="2">
        <f t="shared" si="0"/>
        <v>2168.28</v>
      </c>
      <c r="H23" s="2">
        <f t="shared" si="1"/>
        <v>2028.14766</v>
      </c>
    </row>
    <row r="24" spans="1:8" ht="12.75">
      <c r="A24" t="s">
        <v>86</v>
      </c>
      <c r="B24">
        <v>3500</v>
      </c>
      <c r="C24" t="s">
        <v>90</v>
      </c>
      <c r="F24">
        <v>20</v>
      </c>
      <c r="G24" s="2">
        <f t="shared" si="0"/>
        <v>2282.4</v>
      </c>
      <c r="H24" s="2">
        <f t="shared" si="1"/>
        <v>2134.65966</v>
      </c>
    </row>
    <row r="25" spans="1:8" ht="12.75">
      <c r="A25" t="s">
        <v>87</v>
      </c>
      <c r="B25">
        <v>7500</v>
      </c>
      <c r="C25" t="s">
        <v>90</v>
      </c>
      <c r="F25">
        <v>21</v>
      </c>
      <c r="G25" s="2">
        <f t="shared" si="0"/>
        <v>2396.52</v>
      </c>
      <c r="H25" s="2">
        <f t="shared" si="1"/>
        <v>2241.17166</v>
      </c>
    </row>
    <row r="26" spans="1:8" ht="12.75">
      <c r="A26" t="s">
        <v>88</v>
      </c>
      <c r="B26">
        <v>2</v>
      </c>
      <c r="F26">
        <v>22</v>
      </c>
      <c r="G26" s="2">
        <f t="shared" si="0"/>
        <v>2510.64</v>
      </c>
      <c r="H26" s="2">
        <f t="shared" si="1"/>
        <v>2347.68366</v>
      </c>
    </row>
    <row r="27" spans="6:8" ht="12.75">
      <c r="F27">
        <v>23</v>
      </c>
      <c r="G27" s="2">
        <f t="shared" si="0"/>
        <v>2624.76</v>
      </c>
      <c r="H27" s="2">
        <f t="shared" si="1"/>
        <v>2454.19566</v>
      </c>
    </row>
    <row r="28" spans="1:8" ht="12.75">
      <c r="A28" t="s">
        <v>89</v>
      </c>
      <c r="B28">
        <v>11200</v>
      </c>
      <c r="C28" t="s">
        <v>90</v>
      </c>
      <c r="E28">
        <f>7833*2</f>
        <v>15666</v>
      </c>
      <c r="F28">
        <v>24</v>
      </c>
      <c r="G28" s="2">
        <f t="shared" si="0"/>
        <v>2738.88</v>
      </c>
      <c r="H28" s="2">
        <f t="shared" si="1"/>
        <v>2560.70766</v>
      </c>
    </row>
    <row r="29" spans="2:8" ht="12.75">
      <c r="B29">
        <v>11.2</v>
      </c>
      <c r="C29" t="s">
        <v>2</v>
      </c>
      <c r="F29">
        <v>25</v>
      </c>
      <c r="G29" s="2">
        <f t="shared" si="0"/>
        <v>2853</v>
      </c>
      <c r="H29" s="2">
        <f t="shared" si="1"/>
        <v>2667.21966</v>
      </c>
    </row>
    <row r="30" spans="6:8" ht="12.75">
      <c r="F30">
        <v>26</v>
      </c>
      <c r="G30" s="2">
        <f t="shared" si="0"/>
        <v>2967.12</v>
      </c>
      <c r="H30" s="2">
        <f t="shared" si="1"/>
        <v>2773.73166</v>
      </c>
    </row>
    <row r="31" spans="2:8" ht="12.75">
      <c r="B31" s="27"/>
      <c r="F31">
        <v>27</v>
      </c>
      <c r="G31" s="2">
        <f t="shared" si="0"/>
        <v>3081.24</v>
      </c>
      <c r="H31" s="2">
        <f t="shared" si="1"/>
        <v>2880.24366</v>
      </c>
    </row>
    <row r="32" spans="1:8" ht="12.75">
      <c r="A32" s="59" t="s">
        <v>96</v>
      </c>
      <c r="B32" s="59"/>
      <c r="F32">
        <v>28</v>
      </c>
      <c r="G32" s="2">
        <f t="shared" si="0"/>
        <v>3195.36</v>
      </c>
      <c r="H32" s="2">
        <f t="shared" si="1"/>
        <v>2986.75566</v>
      </c>
    </row>
    <row r="33" spans="1:8" ht="12.75">
      <c r="A33" s="28" t="s">
        <v>98</v>
      </c>
      <c r="B33" s="29">
        <v>3500</v>
      </c>
      <c r="F33">
        <v>29</v>
      </c>
      <c r="G33" s="2">
        <f t="shared" si="0"/>
        <v>3309.48</v>
      </c>
      <c r="H33" s="2">
        <f t="shared" si="1"/>
        <v>3093.26766</v>
      </c>
    </row>
    <row r="34" spans="1:8" ht="12.75">
      <c r="A34" s="28" t="s">
        <v>97</v>
      </c>
      <c r="B34" s="29">
        <v>7500</v>
      </c>
      <c r="F34">
        <v>30</v>
      </c>
      <c r="G34" s="2">
        <f t="shared" si="0"/>
        <v>3423.6</v>
      </c>
      <c r="H34" s="2">
        <f t="shared" si="1"/>
        <v>3199.77966</v>
      </c>
    </row>
    <row r="35" spans="1:8" ht="12.75">
      <c r="A35" s="28" t="s">
        <v>99</v>
      </c>
      <c r="B35" s="29">
        <v>16000000</v>
      </c>
      <c r="D35">
        <f>B35/7000000</f>
        <v>2.2857142857142856</v>
      </c>
      <c r="F35">
        <v>31</v>
      </c>
      <c r="G35" s="2">
        <f t="shared" si="0"/>
        <v>3537.72</v>
      </c>
      <c r="H35" s="2">
        <f t="shared" si="1"/>
        <v>3306.29166</v>
      </c>
    </row>
    <row r="36" spans="1:8" ht="12.75">
      <c r="A36" s="28" t="s">
        <v>100</v>
      </c>
      <c r="B36" s="29">
        <v>24000000</v>
      </c>
      <c r="D36">
        <f>B36/7000000</f>
        <v>3.4285714285714284</v>
      </c>
      <c r="F36">
        <v>32</v>
      </c>
      <c r="G36" s="2">
        <f t="shared" si="0"/>
        <v>3651.84</v>
      </c>
      <c r="H36" s="2">
        <f t="shared" si="1"/>
        <v>3412.80366</v>
      </c>
    </row>
    <row r="37" spans="6:8" ht="12.75">
      <c r="F37">
        <v>33</v>
      </c>
      <c r="G37" s="2">
        <f t="shared" si="0"/>
        <v>3765.96</v>
      </c>
      <c r="H37" s="2">
        <f t="shared" si="1"/>
        <v>3519.31566</v>
      </c>
    </row>
    <row r="38" spans="6:8" ht="12.75">
      <c r="F38">
        <v>34</v>
      </c>
      <c r="G38" s="2">
        <f t="shared" si="0"/>
        <v>3880.08</v>
      </c>
      <c r="H38" s="2">
        <f t="shared" si="1"/>
        <v>3625.82766</v>
      </c>
    </row>
    <row r="39" spans="6:8" ht="12.75">
      <c r="F39">
        <v>35</v>
      </c>
      <c r="G39" s="2">
        <f t="shared" si="0"/>
        <v>3994.2</v>
      </c>
      <c r="H39" s="2">
        <f t="shared" si="1"/>
        <v>3732.33966</v>
      </c>
    </row>
    <row r="41" spans="6:8" ht="12.75">
      <c r="F41" t="s">
        <v>81</v>
      </c>
      <c r="G41" t="s">
        <v>94</v>
      </c>
      <c r="H41" t="s">
        <v>95</v>
      </c>
    </row>
    <row r="42" spans="6:8" ht="12.75">
      <c r="F42">
        <v>0</v>
      </c>
      <c r="G42" s="2">
        <v>0</v>
      </c>
      <c r="H42" s="2">
        <v>0</v>
      </c>
    </row>
    <row r="43" spans="6:8" ht="12.75">
      <c r="F43">
        <v>1</v>
      </c>
      <c r="G43" s="2">
        <f>($B$21*$B$28)*F43/1000000</f>
        <v>170.4192</v>
      </c>
      <c r="H43" s="2">
        <f>F43*($B$25*$B$21)/1000000</f>
        <v>114.12</v>
      </c>
    </row>
    <row r="44" spans="6:8" ht="12.75">
      <c r="F44">
        <v>2</v>
      </c>
      <c r="G44" s="2">
        <f aca="true" t="shared" si="2" ref="G44:G57">($B$21*$B$28)*F44/1000000</f>
        <v>340.8384</v>
      </c>
      <c r="H44" s="2">
        <f aca="true" t="shared" si="3" ref="H44:H57">F44*($B$25*$B$21)/1000000</f>
        <v>228.24</v>
      </c>
    </row>
    <row r="45" spans="6:8" ht="12.75">
      <c r="F45">
        <v>3</v>
      </c>
      <c r="G45" s="2">
        <f t="shared" si="2"/>
        <v>511.2576</v>
      </c>
      <c r="H45" s="2">
        <f t="shared" si="3"/>
        <v>342.36</v>
      </c>
    </row>
    <row r="46" spans="6:8" ht="12.75">
      <c r="F46">
        <v>4</v>
      </c>
      <c r="G46" s="2">
        <f t="shared" si="2"/>
        <v>681.6768</v>
      </c>
      <c r="H46" s="2">
        <f t="shared" si="3"/>
        <v>456.48</v>
      </c>
    </row>
    <row r="47" spans="6:8" ht="12.75">
      <c r="F47">
        <v>5</v>
      </c>
      <c r="G47" s="2">
        <f t="shared" si="2"/>
        <v>852.096</v>
      </c>
      <c r="H47" s="2">
        <f t="shared" si="3"/>
        <v>570.6</v>
      </c>
    </row>
    <row r="48" spans="6:8" ht="12.75">
      <c r="F48">
        <v>6</v>
      </c>
      <c r="G48" s="2">
        <f t="shared" si="2"/>
        <v>1022.5152</v>
      </c>
      <c r="H48" s="2">
        <f t="shared" si="3"/>
        <v>684.72</v>
      </c>
    </row>
    <row r="49" spans="6:8" ht="12.75">
      <c r="F49">
        <v>7</v>
      </c>
      <c r="G49" s="2">
        <f t="shared" si="2"/>
        <v>1192.9344</v>
      </c>
      <c r="H49" s="2">
        <f t="shared" si="3"/>
        <v>798.84</v>
      </c>
    </row>
    <row r="50" spans="6:8" ht="12.75">
      <c r="F50">
        <v>8</v>
      </c>
      <c r="G50" s="2">
        <f t="shared" si="2"/>
        <v>1363.3536</v>
      </c>
      <c r="H50" s="2">
        <f t="shared" si="3"/>
        <v>912.96</v>
      </c>
    </row>
    <row r="51" spans="6:8" ht="12.75">
      <c r="F51">
        <v>9</v>
      </c>
      <c r="G51" s="2">
        <f t="shared" si="2"/>
        <v>1533.7728</v>
      </c>
      <c r="H51" s="2">
        <f t="shared" si="3"/>
        <v>1027.08</v>
      </c>
    </row>
    <row r="52" spans="6:8" ht="12.75">
      <c r="F52">
        <v>10</v>
      </c>
      <c r="G52" s="2">
        <f t="shared" si="2"/>
        <v>1704.192</v>
      </c>
      <c r="H52" s="2">
        <f t="shared" si="3"/>
        <v>1141.2</v>
      </c>
    </row>
    <row r="53" spans="6:8" ht="12.75">
      <c r="F53">
        <v>11</v>
      </c>
      <c r="G53" s="2">
        <f t="shared" si="2"/>
        <v>1874.6112</v>
      </c>
      <c r="H53" s="2">
        <f t="shared" si="3"/>
        <v>1255.32</v>
      </c>
    </row>
    <row r="54" spans="6:8" ht="12.75">
      <c r="F54">
        <v>12</v>
      </c>
      <c r="G54" s="2">
        <f t="shared" si="2"/>
        <v>2045.0304</v>
      </c>
      <c r="H54" s="2">
        <f t="shared" si="3"/>
        <v>1369.44</v>
      </c>
    </row>
    <row r="55" spans="6:8" ht="12.75">
      <c r="F55">
        <v>13</v>
      </c>
      <c r="G55" s="2">
        <f t="shared" si="2"/>
        <v>2215.4496</v>
      </c>
      <c r="H55" s="2">
        <f t="shared" si="3"/>
        <v>1483.56</v>
      </c>
    </row>
    <row r="56" spans="6:8" ht="12.75">
      <c r="F56">
        <v>14</v>
      </c>
      <c r="G56" s="2">
        <f t="shared" si="2"/>
        <v>2385.8688</v>
      </c>
      <c r="H56" s="2">
        <f t="shared" si="3"/>
        <v>1597.68</v>
      </c>
    </row>
    <row r="57" spans="6:8" ht="12.75">
      <c r="F57">
        <v>15</v>
      </c>
      <c r="G57" s="2">
        <f t="shared" si="2"/>
        <v>2556.288</v>
      </c>
      <c r="H57" s="2">
        <f t="shared" si="3"/>
        <v>1711.8</v>
      </c>
    </row>
  </sheetData>
  <mergeCells count="1">
    <mergeCell ref="A32:B3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16" sqref="B16"/>
    </sheetView>
  </sheetViews>
  <sheetFormatPr defaultColWidth="9.140625" defaultRowHeight="12.75"/>
  <cols>
    <col min="1" max="1" width="32.28125" style="0" customWidth="1"/>
    <col min="2" max="2" width="12.28125" style="0" bestFit="1" customWidth="1"/>
    <col min="4" max="4" width="13.8515625" style="0" customWidth="1"/>
    <col min="5" max="5" width="11.140625" style="0" bestFit="1" customWidth="1"/>
  </cols>
  <sheetData>
    <row r="1" spans="1:5" ht="12.75">
      <c r="A1" t="s">
        <v>80</v>
      </c>
      <c r="B1" s="24">
        <v>0</v>
      </c>
      <c r="C1" t="s">
        <v>81</v>
      </c>
      <c r="D1">
        <v>2004</v>
      </c>
      <c r="E1">
        <v>2005</v>
      </c>
    </row>
    <row r="2" spans="1:5" ht="13.5" thickBot="1">
      <c r="A2" t="s">
        <v>75</v>
      </c>
      <c r="B2" s="25">
        <v>2187500</v>
      </c>
      <c r="C2">
        <v>0</v>
      </c>
      <c r="D2" s="2">
        <v>0</v>
      </c>
      <c r="E2" s="2">
        <f>B8</f>
        <v>10.783317</v>
      </c>
    </row>
    <row r="3" spans="1:5" ht="13.5" thickBot="1">
      <c r="A3" t="s">
        <v>76</v>
      </c>
      <c r="B3" s="25">
        <v>5176458</v>
      </c>
      <c r="C3">
        <v>1</v>
      </c>
      <c r="D3" s="2">
        <f>$D$2+$B$4*(C3)</f>
        <v>7.363958</v>
      </c>
      <c r="E3" s="2">
        <f>$E$2+$B$9*(C3)</f>
        <v>16.257952</v>
      </c>
    </row>
    <row r="4" spans="1:5" ht="12.75">
      <c r="A4" t="s">
        <v>79</v>
      </c>
      <c r="B4" s="24">
        <f>(B2+B3)/1000000</f>
        <v>7.363958</v>
      </c>
      <c r="C4">
        <v>2</v>
      </c>
      <c r="D4" s="2">
        <f>$D$2+$B$4*(C4)</f>
        <v>14.727916</v>
      </c>
      <c r="E4" s="2">
        <f aca="true" t="shared" si="0" ref="E4:E17">$E$2+$B$9*(C4)</f>
        <v>21.732587000000002</v>
      </c>
    </row>
    <row r="5" spans="2:5" ht="12.75">
      <c r="B5" s="24">
        <f>B2+B3</f>
        <v>7363958</v>
      </c>
      <c r="C5">
        <v>3</v>
      </c>
      <c r="D5" s="2">
        <f aca="true" t="shared" si="1" ref="D5:D17">$D$2+$B$4*(C5)</f>
        <v>22.091874</v>
      </c>
      <c r="E5" s="2">
        <f t="shared" si="0"/>
        <v>27.207222</v>
      </c>
    </row>
    <row r="6" spans="2:5" ht="12.75">
      <c r="B6" s="24"/>
      <c r="C6">
        <v>4</v>
      </c>
      <c r="D6" s="2">
        <f t="shared" si="1"/>
        <v>29.455832</v>
      </c>
      <c r="E6" s="2">
        <f t="shared" si="0"/>
        <v>32.681857</v>
      </c>
    </row>
    <row r="7" spans="2:5" ht="12.75">
      <c r="B7" s="24"/>
      <c r="C7">
        <v>5</v>
      </c>
      <c r="D7" s="2">
        <f t="shared" si="1"/>
        <v>36.81979</v>
      </c>
      <c r="E7" s="2">
        <f t="shared" si="0"/>
        <v>38.156492</v>
      </c>
    </row>
    <row r="8" spans="1:5" ht="12.75">
      <c r="A8" t="s">
        <v>77</v>
      </c>
      <c r="B8" s="26">
        <f>10783317/1000000</f>
        <v>10.783317</v>
      </c>
      <c r="C8">
        <v>6</v>
      </c>
      <c r="D8" s="2">
        <f t="shared" si="1"/>
        <v>44.183748</v>
      </c>
      <c r="E8" s="2">
        <f t="shared" si="0"/>
        <v>43.631127000000006</v>
      </c>
    </row>
    <row r="9" spans="1:8" ht="12.75">
      <c r="A9" t="s">
        <v>78</v>
      </c>
      <c r="B9" s="24">
        <f>5474635/1000000</f>
        <v>5.474635</v>
      </c>
      <c r="C9">
        <v>7</v>
      </c>
      <c r="D9" s="2">
        <f t="shared" si="1"/>
        <v>51.547706000000005</v>
      </c>
      <c r="E9" s="2">
        <f t="shared" si="0"/>
        <v>49.105762</v>
      </c>
      <c r="H9">
        <f>1-(49/52)</f>
        <v>0.05769230769230771</v>
      </c>
    </row>
    <row r="10" spans="2:8" ht="12.75">
      <c r="B10">
        <v>10783317</v>
      </c>
      <c r="C10">
        <v>8</v>
      </c>
      <c r="D10" s="2">
        <f t="shared" si="1"/>
        <v>58.911664</v>
      </c>
      <c r="E10" s="2">
        <f t="shared" si="0"/>
        <v>54.580397000000005</v>
      </c>
      <c r="H10">
        <f>1-(55/59)</f>
        <v>0.06779661016949157</v>
      </c>
    </row>
    <row r="11" spans="2:8" ht="12.75">
      <c r="B11">
        <v>5474635</v>
      </c>
      <c r="C11">
        <v>9</v>
      </c>
      <c r="D11" s="2">
        <f t="shared" si="1"/>
        <v>66.275622</v>
      </c>
      <c r="E11" s="2">
        <f t="shared" si="0"/>
        <v>60.055032</v>
      </c>
      <c r="H11">
        <f aca="true" t="shared" si="2" ref="H11:H17">1-(E11/D11)</f>
        <v>0.09385939825657164</v>
      </c>
    </row>
    <row r="12" spans="3:8" ht="12.75">
      <c r="C12">
        <v>10</v>
      </c>
      <c r="D12" s="2">
        <f t="shared" si="1"/>
        <v>73.63958</v>
      </c>
      <c r="E12" s="2">
        <f t="shared" si="0"/>
        <v>65.529667</v>
      </c>
      <c r="H12">
        <f t="shared" si="2"/>
        <v>0.11012981062629623</v>
      </c>
    </row>
    <row r="13" spans="3:8" ht="12.75">
      <c r="C13">
        <v>11</v>
      </c>
      <c r="D13" s="2">
        <f t="shared" si="1"/>
        <v>81.003538</v>
      </c>
      <c r="E13" s="2">
        <f t="shared" si="0"/>
        <v>71.004302</v>
      </c>
      <c r="H13">
        <f t="shared" si="2"/>
        <v>0.12344196620152581</v>
      </c>
    </row>
    <row r="14" spans="3:8" ht="12.75">
      <c r="C14">
        <v>12</v>
      </c>
      <c r="D14" s="2">
        <f t="shared" si="1"/>
        <v>88.367496</v>
      </c>
      <c r="E14" s="2">
        <f t="shared" si="0"/>
        <v>76.478937</v>
      </c>
      <c r="H14">
        <f t="shared" si="2"/>
        <v>0.13453542918088346</v>
      </c>
    </row>
    <row r="15" spans="3:8" ht="12.75">
      <c r="C15">
        <v>13</v>
      </c>
      <c r="D15" s="2">
        <f t="shared" si="1"/>
        <v>95.731454</v>
      </c>
      <c r="E15" s="2">
        <f t="shared" si="0"/>
        <v>81.953572</v>
      </c>
      <c r="H15">
        <f t="shared" si="2"/>
        <v>0.14392220554803237</v>
      </c>
    </row>
    <row r="16" spans="3:8" ht="12.75">
      <c r="C16">
        <v>14</v>
      </c>
      <c r="D16" s="2">
        <f t="shared" si="1"/>
        <v>103.09541200000001</v>
      </c>
      <c r="E16" s="2">
        <f t="shared" si="0"/>
        <v>87.428207</v>
      </c>
      <c r="H16">
        <f t="shared" si="2"/>
        <v>0.1519680138627314</v>
      </c>
    </row>
    <row r="17" spans="3:8" ht="12.75">
      <c r="C17">
        <v>15</v>
      </c>
      <c r="D17" s="2">
        <f t="shared" si="1"/>
        <v>110.45937</v>
      </c>
      <c r="E17" s="2">
        <f t="shared" si="0"/>
        <v>92.90284199999999</v>
      </c>
      <c r="H17">
        <f t="shared" si="2"/>
        <v>0.1589410477354707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1">
      <selection activeCell="K23" sqref="K23"/>
    </sheetView>
  </sheetViews>
  <sheetFormatPr defaultColWidth="9.140625" defaultRowHeight="12.75"/>
  <cols>
    <col min="1" max="1" width="13.140625" style="30" customWidth="1"/>
    <col min="2" max="2" width="10.140625" style="30" bestFit="1" customWidth="1"/>
    <col min="3" max="3" width="9.140625" style="30" customWidth="1"/>
    <col min="4" max="4" width="14.140625" style="30" customWidth="1"/>
    <col min="5" max="5" width="12.421875" style="30" customWidth="1"/>
    <col min="6" max="7" width="9.140625" style="30" customWidth="1"/>
    <col min="8" max="8" width="29.8515625" style="30" customWidth="1"/>
    <col min="9" max="9" width="12.8515625" style="30" customWidth="1"/>
    <col min="10" max="10" width="14.28125" style="30" customWidth="1"/>
    <col min="11" max="11" width="13.140625" style="30" customWidth="1"/>
    <col min="12" max="16384" width="9.140625" style="30" customWidth="1"/>
  </cols>
  <sheetData>
    <row r="1" ht="12.75">
      <c r="A1" s="30" t="s">
        <v>101</v>
      </c>
    </row>
    <row r="3" ht="12.75">
      <c r="A3" s="31" t="s">
        <v>102</v>
      </c>
    </row>
    <row r="4" spans="1:11" ht="12.75">
      <c r="A4" s="32" t="s">
        <v>104</v>
      </c>
      <c r="E4" s="32" t="s">
        <v>105</v>
      </c>
      <c r="H4" s="30">
        <v>2004</v>
      </c>
      <c r="I4" s="30" t="s">
        <v>114</v>
      </c>
      <c r="J4" s="30" t="s">
        <v>115</v>
      </c>
      <c r="K4" s="30" t="s">
        <v>118</v>
      </c>
    </row>
    <row r="5" spans="1:11" ht="12.75">
      <c r="A5" s="30" t="s">
        <v>103</v>
      </c>
      <c r="G5" s="30">
        <v>0</v>
      </c>
      <c r="H5" s="47">
        <f>E26</f>
        <v>83806493</v>
      </c>
      <c r="I5" s="47">
        <f>E28</f>
        <v>72925917</v>
      </c>
      <c r="J5" s="47">
        <f>E30</f>
        <v>73453256</v>
      </c>
      <c r="K5" s="47">
        <f>H5-I5</f>
        <v>10880576</v>
      </c>
    </row>
    <row r="6" spans="1:11" ht="12.75">
      <c r="A6" s="33">
        <v>7363958</v>
      </c>
      <c r="E6" s="41">
        <v>7363958</v>
      </c>
      <c r="G6" s="30">
        <v>1</v>
      </c>
      <c r="H6" s="47">
        <f>($H$5*G6)+$H$5</f>
        <v>167612986</v>
      </c>
      <c r="I6" s="47">
        <f>($I$5*G6)+$I$5</f>
        <v>145851834</v>
      </c>
      <c r="J6" s="47">
        <f>($J$5*G6)+$J$5</f>
        <v>146906512</v>
      </c>
      <c r="K6" s="47">
        <f aca="true" t="shared" si="0" ref="K6:K15">H6-I6</f>
        <v>21761152</v>
      </c>
    </row>
    <row r="7" spans="1:11" ht="12.75">
      <c r="A7" s="30" t="s">
        <v>102</v>
      </c>
      <c r="G7" s="30">
        <v>2</v>
      </c>
      <c r="H7" s="47">
        <f aca="true" t="shared" si="1" ref="H7:H15">($H$5*G7)+$H$5</f>
        <v>251419479</v>
      </c>
      <c r="I7" s="47">
        <f aca="true" t="shared" si="2" ref="I7:I15">($I$5*G7)+$I$5</f>
        <v>218777751</v>
      </c>
      <c r="J7" s="47">
        <f aca="true" t="shared" si="3" ref="J7:J15">($J$5*G7)+$J$5</f>
        <v>220359768</v>
      </c>
      <c r="K7" s="47">
        <f t="shared" si="0"/>
        <v>32641728</v>
      </c>
    </row>
    <row r="8" spans="1:11" ht="12.75">
      <c r="A8" s="34">
        <v>10783317</v>
      </c>
      <c r="E8" s="42">
        <v>5474635</v>
      </c>
      <c r="G8" s="30">
        <v>3</v>
      </c>
      <c r="H8" s="47">
        <f t="shared" si="1"/>
        <v>335225972</v>
      </c>
      <c r="I8" s="47">
        <f t="shared" si="2"/>
        <v>291703668</v>
      </c>
      <c r="J8" s="47">
        <f t="shared" si="3"/>
        <v>293813024</v>
      </c>
      <c r="K8" s="47">
        <f t="shared" si="0"/>
        <v>43522304</v>
      </c>
    </row>
    <row r="9" spans="7:11" ht="12.75">
      <c r="G9" s="30">
        <v>4</v>
      </c>
      <c r="H9" s="47">
        <f t="shared" si="1"/>
        <v>419032465</v>
      </c>
      <c r="I9" s="47">
        <f t="shared" si="2"/>
        <v>364629585</v>
      </c>
      <c r="J9" s="47">
        <f t="shared" si="3"/>
        <v>367266280</v>
      </c>
      <c r="K9" s="47">
        <f t="shared" si="0"/>
        <v>54402880</v>
      </c>
    </row>
    <row r="10" spans="1:11" ht="12.75">
      <c r="A10" s="31" t="s">
        <v>106</v>
      </c>
      <c r="G10" s="30">
        <v>5</v>
      </c>
      <c r="H10" s="47">
        <f t="shared" si="1"/>
        <v>502838958</v>
      </c>
      <c r="I10" s="47">
        <f t="shared" si="2"/>
        <v>437555502</v>
      </c>
      <c r="J10" s="47">
        <f t="shared" si="3"/>
        <v>440719536</v>
      </c>
      <c r="K10" s="47">
        <f t="shared" si="0"/>
        <v>65283456</v>
      </c>
    </row>
    <row r="11" spans="1:11" ht="12.75">
      <c r="A11" s="32" t="s">
        <v>104</v>
      </c>
      <c r="E11" s="32" t="s">
        <v>105</v>
      </c>
      <c r="G11" s="30">
        <v>6</v>
      </c>
      <c r="H11" s="47">
        <f t="shared" si="1"/>
        <v>586645451</v>
      </c>
      <c r="I11" s="47">
        <f t="shared" si="2"/>
        <v>510481419</v>
      </c>
      <c r="J11" s="47">
        <f t="shared" si="3"/>
        <v>514172792</v>
      </c>
      <c r="K11" s="47">
        <f t="shared" si="0"/>
        <v>76164032</v>
      </c>
    </row>
    <row r="12" spans="1:11" ht="12.75">
      <c r="A12" s="30" t="s">
        <v>107</v>
      </c>
      <c r="G12" s="30">
        <v>7</v>
      </c>
      <c r="H12" s="47">
        <f t="shared" si="1"/>
        <v>670451944</v>
      </c>
      <c r="I12" s="47">
        <f t="shared" si="2"/>
        <v>583407336</v>
      </c>
      <c r="J12" s="47">
        <f t="shared" si="3"/>
        <v>587626048</v>
      </c>
      <c r="K12" s="47">
        <f t="shared" si="0"/>
        <v>87044608</v>
      </c>
    </row>
    <row r="13" spans="1:11" ht="12.75">
      <c r="A13" s="37">
        <v>16000000</v>
      </c>
      <c r="B13" s="35"/>
      <c r="C13" s="35"/>
      <c r="D13" s="35"/>
      <c r="E13" s="43">
        <v>16000000</v>
      </c>
      <c r="G13" s="30">
        <v>8</v>
      </c>
      <c r="H13" s="47">
        <f t="shared" si="1"/>
        <v>754258437</v>
      </c>
      <c r="I13" s="47">
        <f t="shared" si="2"/>
        <v>656333253</v>
      </c>
      <c r="J13" s="47">
        <f t="shared" si="3"/>
        <v>661079304</v>
      </c>
      <c r="K13" s="47">
        <f t="shared" si="0"/>
        <v>97925184</v>
      </c>
    </row>
    <row r="14" spans="1:11" ht="12.75">
      <c r="A14" s="35" t="s">
        <v>108</v>
      </c>
      <c r="B14" s="35"/>
      <c r="C14" s="35"/>
      <c r="D14" s="35"/>
      <c r="E14" s="35"/>
      <c r="G14" s="30">
        <v>9</v>
      </c>
      <c r="H14" s="47">
        <f t="shared" si="1"/>
        <v>838064930</v>
      </c>
      <c r="I14" s="47">
        <f t="shared" si="2"/>
        <v>729259170</v>
      </c>
      <c r="J14" s="47">
        <f t="shared" si="3"/>
        <v>734532560</v>
      </c>
      <c r="K14" s="47">
        <f t="shared" si="0"/>
        <v>108805760</v>
      </c>
    </row>
    <row r="15" spans="1:11" ht="12.75">
      <c r="A15" s="37">
        <v>24000000</v>
      </c>
      <c r="B15" s="35"/>
      <c r="C15" s="35"/>
      <c r="D15" s="35"/>
      <c r="E15" s="40">
        <v>24000000</v>
      </c>
      <c r="G15" s="30">
        <v>10</v>
      </c>
      <c r="H15" s="47">
        <f t="shared" si="1"/>
        <v>921871423</v>
      </c>
      <c r="I15" s="47">
        <f t="shared" si="2"/>
        <v>802185087</v>
      </c>
      <c r="J15" s="47">
        <f t="shared" si="3"/>
        <v>807985816</v>
      </c>
      <c r="K15" s="47">
        <f t="shared" si="0"/>
        <v>119686336</v>
      </c>
    </row>
    <row r="17" ht="12.75">
      <c r="A17" s="31" t="s">
        <v>109</v>
      </c>
    </row>
    <row r="18" spans="1:10" ht="12.75">
      <c r="A18" s="32" t="s">
        <v>104</v>
      </c>
      <c r="E18" s="32" t="s">
        <v>105</v>
      </c>
      <c r="H18" s="48" t="s">
        <v>136</v>
      </c>
      <c r="I18" s="60" t="s">
        <v>137</v>
      </c>
      <c r="J18" s="60"/>
    </row>
    <row r="19" spans="1:10" ht="12.75">
      <c r="A19" s="30" t="s">
        <v>110</v>
      </c>
      <c r="H19" s="49"/>
      <c r="I19" s="50" t="s">
        <v>104</v>
      </c>
      <c r="J19" s="50" t="s">
        <v>105</v>
      </c>
    </row>
    <row r="20" spans="1:10" ht="12.75">
      <c r="A20" s="38">
        <v>26081628</v>
      </c>
      <c r="B20" s="36"/>
      <c r="E20" s="39">
        <v>1410969</v>
      </c>
      <c r="H20" s="49" t="s">
        <v>119</v>
      </c>
      <c r="I20" s="51" t="s">
        <v>126</v>
      </c>
      <c r="J20" s="51" t="s">
        <v>126</v>
      </c>
    </row>
    <row r="21" spans="1:10" ht="12.75">
      <c r="A21" s="30" t="s">
        <v>112</v>
      </c>
      <c r="H21" s="49" t="s">
        <v>120</v>
      </c>
      <c r="I21" s="52" t="s">
        <v>127</v>
      </c>
      <c r="J21" s="52" t="s">
        <v>128</v>
      </c>
    </row>
    <row r="22" spans="1:10" ht="12.75">
      <c r="A22" s="38">
        <v>29128230</v>
      </c>
      <c r="E22" s="44">
        <v>883630</v>
      </c>
      <c r="H22" s="49"/>
      <c r="I22" s="50"/>
      <c r="J22" s="50"/>
    </row>
    <row r="23" spans="1:10" ht="12.75">
      <c r="A23" s="30" t="s">
        <v>113</v>
      </c>
      <c r="H23" s="49" t="s">
        <v>122</v>
      </c>
      <c r="I23" s="51" t="s">
        <v>134</v>
      </c>
      <c r="J23" s="51" t="s">
        <v>134</v>
      </c>
    </row>
    <row r="24" spans="1:10" ht="12.75">
      <c r="A24" s="38">
        <v>28386150</v>
      </c>
      <c r="B24" s="34"/>
      <c r="C24" s="34"/>
      <c r="D24" s="34"/>
      <c r="E24" s="45">
        <v>1874883</v>
      </c>
      <c r="H24" s="49" t="s">
        <v>121</v>
      </c>
      <c r="I24" s="52" t="s">
        <v>135</v>
      </c>
      <c r="J24" s="52" t="s">
        <v>135</v>
      </c>
    </row>
    <row r="25" spans="8:10" ht="12.75">
      <c r="H25" s="49"/>
      <c r="I25" s="50"/>
      <c r="J25" s="50"/>
    </row>
    <row r="26" spans="4:10" ht="12.75">
      <c r="D26" s="30" t="s">
        <v>111</v>
      </c>
      <c r="E26" s="46">
        <v>83806493</v>
      </c>
      <c r="H26" s="49" t="s">
        <v>125</v>
      </c>
      <c r="I26" s="51" t="s">
        <v>129</v>
      </c>
      <c r="J26" s="51" t="s">
        <v>130</v>
      </c>
    </row>
    <row r="27" spans="8:10" ht="12.75">
      <c r="H27" s="49" t="s">
        <v>124</v>
      </c>
      <c r="I27" s="52" t="s">
        <v>131</v>
      </c>
      <c r="J27" s="52">
        <v>0.9</v>
      </c>
    </row>
    <row r="28" spans="4:10" ht="12.75">
      <c r="D28" s="30" t="s">
        <v>116</v>
      </c>
      <c r="E28" s="42">
        <f>E26-(E24-E22)-(E15-E13)-(E6-E8)</f>
        <v>72925917</v>
      </c>
      <c r="H28" s="49" t="s">
        <v>123</v>
      </c>
      <c r="I28" s="53" t="s">
        <v>132</v>
      </c>
      <c r="J28" s="53" t="s">
        <v>133</v>
      </c>
    </row>
    <row r="30" spans="4:5" ht="12.75">
      <c r="D30" s="30" t="s">
        <v>117</v>
      </c>
      <c r="E30" s="34">
        <f>E26-(E24-E20)-(E15-E13)-(E6-E8)</f>
        <v>73453256</v>
      </c>
    </row>
  </sheetData>
  <mergeCells count="1">
    <mergeCell ref="I18:J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Worcester Polytechnic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Technology Center</dc:creator>
  <cp:keywords/>
  <dc:description/>
  <cp:lastModifiedBy>Academic Technology Center</cp:lastModifiedBy>
  <dcterms:created xsi:type="dcterms:W3CDTF">2005-04-21T11:07:49Z</dcterms:created>
  <dcterms:modified xsi:type="dcterms:W3CDTF">2005-05-05T14:02:52Z</dcterms:modified>
  <cp:category/>
  <cp:version/>
  <cp:contentType/>
  <cp:contentStatus/>
</cp:coreProperties>
</file>