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5" sheetId="1" r:id="rId4"/>
    <sheet state="visible" name="2016" sheetId="2" r:id="rId5"/>
    <sheet state="visible" name="2017" sheetId="3" r:id="rId6"/>
    <sheet state="visible" name="2018" sheetId="4" r:id="rId7"/>
    <sheet state="visible" name="2019" sheetId="5" r:id="rId8"/>
    <sheet state="visible" name="Cumulative Total" sheetId="6" r:id="rId9"/>
    <sheet state="visible" name="tables" sheetId="7" r:id="rId10"/>
  </sheets>
  <definedNames/>
  <calcPr/>
</workbook>
</file>

<file path=xl/sharedStrings.xml><?xml version="1.0" encoding="utf-8"?>
<sst xmlns="http://schemas.openxmlformats.org/spreadsheetml/2006/main" count="194" uniqueCount="58">
  <si>
    <t>Type</t>
  </si>
  <si>
    <t>Composition</t>
  </si>
  <si>
    <t>Amount (tons)</t>
  </si>
  <si>
    <t>Amount Collectors (tons)</t>
  </si>
  <si>
    <t>Total (tons)</t>
  </si>
  <si>
    <t>DOCf</t>
  </si>
  <si>
    <t>degradable fraction</t>
  </si>
  <si>
    <t>degradable organic carbon</t>
  </si>
  <si>
    <t>decay rate</t>
  </si>
  <si>
    <t>Amount remaining</t>
  </si>
  <si>
    <t>Amount Decomposed</t>
  </si>
  <si>
    <t xml:space="preserve">Methane </t>
  </si>
  <si>
    <t>CO2</t>
  </si>
  <si>
    <t>CO2 eq</t>
  </si>
  <si>
    <t>Food waste</t>
  </si>
  <si>
    <t>Garden</t>
  </si>
  <si>
    <t>Paper and Cardboard</t>
  </si>
  <si>
    <t>Wood and straw</t>
  </si>
  <si>
    <t>Textiles</t>
  </si>
  <si>
    <t>Disposable nappies</t>
  </si>
  <si>
    <t>Industrial waste</t>
  </si>
  <si>
    <t>Sewage sludge</t>
  </si>
  <si>
    <t>Total Methane (tons)</t>
  </si>
  <si>
    <t>Recovery (?) (tons)</t>
  </si>
  <si>
    <t>Net Methane (tons)</t>
  </si>
  <si>
    <t>Total CO2</t>
  </si>
  <si>
    <t>Carbon Dioxide Equiv.</t>
  </si>
  <si>
    <t>Plastic</t>
  </si>
  <si>
    <t>Metal</t>
  </si>
  <si>
    <t>Glass</t>
  </si>
  <si>
    <t>Other</t>
  </si>
  <si>
    <t>Total Primary (tons)</t>
  </si>
  <si>
    <t>Amount Household(tons)</t>
  </si>
  <si>
    <t xml:space="preserve">Carbon Dioxide </t>
  </si>
  <si>
    <t>Total CO2 (ton)</t>
  </si>
  <si>
    <t>Amount Primary (tons)</t>
  </si>
  <si>
    <t>L0 = [MCF * DOC * DOCF * F * 16/12 (Gg CH4 / Gg waste)]</t>
  </si>
  <si>
    <t>CH4 emissions (Gg/yr) = [(MSWT * MSWF * L0) - R] *(1 - OX)</t>
  </si>
  <si>
    <t>DOC = (0.4A) + (0.17B) + (0.15C) + (0.3D) A= paper/textiles, B= garden, park, non-food organic, C= food, D= wood/straw</t>
  </si>
  <si>
    <t>to convert to carbon dioxide equivalents multiply by 25</t>
  </si>
  <si>
    <t>Household Composition</t>
  </si>
  <si>
    <t>Household total</t>
  </si>
  <si>
    <t>degradable content</t>
  </si>
  <si>
    <t>Methane (tons)</t>
  </si>
  <si>
    <t>Carbon Dioxide (tons)</t>
  </si>
  <si>
    <t>Cumulative Total (tons CO2 eq)</t>
  </si>
  <si>
    <t>Degradable Content Fraction (DOCi)</t>
  </si>
  <si>
    <t>Decay Rate k (1/yr)</t>
  </si>
  <si>
    <t>Year</t>
  </si>
  <si>
    <t>Methane Emissions</t>
  </si>
  <si>
    <t>Methane Recovered (tons)</t>
  </si>
  <si>
    <t>CO2 (tons)</t>
  </si>
  <si>
    <t>CO2 eq (tons)</t>
  </si>
  <si>
    <t>Total</t>
  </si>
  <si>
    <t xml:space="preserve"> Emissions CO2 eq (tons)</t>
  </si>
  <si>
    <t>total</t>
  </si>
  <si>
    <t xml:space="preserve">Year </t>
  </si>
  <si>
    <t>Waste (tons)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</si>
</sst>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color rgb="FF000000"/>
      <name val="Roboto"/>
    </font>
    <font>
      <b/>
      <color theme="1"/>
      <name val="Arial"/>
    </font>
    <font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5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/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readingOrder="0"/>
    </xf>
    <xf borderId="1" fillId="0" fontId="1" numFmtId="0" xfId="0" applyAlignment="1" applyBorder="1" applyFont="1">
      <alignment readingOrder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left" readingOrder="0" shrinkToFit="0" vertical="bottom" wrapText="0"/>
    </xf>
    <xf borderId="0" fillId="0" fontId="1" numFmtId="2" xfId="0" applyAlignment="1" applyFont="1" applyNumberFormat="1">
      <alignment readingOrder="0"/>
    </xf>
    <xf borderId="0" fillId="0" fontId="1" numFmtId="2" xfId="0" applyFont="1" applyNumberFormat="1"/>
    <xf borderId="0" fillId="0" fontId="1" numFmtId="2" xfId="0" applyAlignment="1" applyFont="1" applyNumberFormat="1">
      <alignment horizontal="right"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right" vertical="bottom"/>
    </xf>
    <xf borderId="2" fillId="0" fontId="1" numFmtId="0" xfId="0" applyAlignment="1" applyBorder="1" applyFont="1">
      <alignment horizontal="left" readingOrder="0" shrinkToFit="0" vertical="bottom" wrapText="0"/>
    </xf>
    <xf borderId="2" fillId="0" fontId="1" numFmtId="0" xfId="0" applyAlignment="1" applyBorder="1" applyFont="1">
      <alignment readingOrder="0"/>
    </xf>
    <xf borderId="2" fillId="0" fontId="1" numFmtId="2" xfId="0" applyBorder="1" applyFont="1" applyNumberFormat="1"/>
    <xf borderId="2" fillId="0" fontId="1" numFmtId="2" xfId="0" applyAlignment="1" applyBorder="1" applyFont="1" applyNumberFormat="1">
      <alignment readingOrder="0"/>
    </xf>
    <xf borderId="2" fillId="0" fontId="1" numFmtId="2" xfId="0" applyAlignment="1" applyBorder="1" applyFont="1" applyNumberFormat="1">
      <alignment horizontal="right" readingOrder="0" shrinkToFit="0" vertical="bottom" wrapText="0"/>
    </xf>
    <xf borderId="2" fillId="0" fontId="1" numFmtId="0" xfId="0" applyBorder="1" applyFont="1"/>
    <xf borderId="3" fillId="0" fontId="1" numFmtId="0" xfId="0" applyAlignment="1" applyBorder="1" applyFont="1">
      <alignment readingOrder="0"/>
    </xf>
    <xf borderId="0" fillId="3" fontId="3" numFmtId="0" xfId="0" applyAlignment="1" applyFill="1" applyFont="1">
      <alignment readingOrder="0"/>
    </xf>
    <xf borderId="0" fillId="3" fontId="3" numFmtId="0" xfId="0" applyFont="1"/>
    <xf borderId="0" fillId="3" fontId="3" numFmtId="4" xfId="0" applyAlignment="1" applyFont="1" applyNumberFormat="1">
      <alignment readingOrder="0"/>
    </xf>
    <xf borderId="0" fillId="3" fontId="3" numFmtId="4" xfId="0" applyFont="1" applyNumberFormat="1"/>
    <xf borderId="0" fillId="0" fontId="3" numFmtId="0" xfId="0" applyAlignment="1" applyFont="1">
      <alignment readingOrder="0"/>
    </xf>
    <xf borderId="1" fillId="0" fontId="1" numFmtId="0" xfId="0" applyBorder="1" applyFont="1"/>
    <xf borderId="0" fillId="0" fontId="3" numFmtId="0" xfId="0" applyFont="1"/>
    <xf borderId="2" fillId="3" fontId="1" numFmtId="2" xfId="0" applyAlignment="1" applyBorder="1" applyFont="1" applyNumberFormat="1">
      <alignment readingOrder="0"/>
    </xf>
    <xf borderId="3" fillId="0" fontId="1" numFmtId="0" xfId="0" applyBorder="1" applyFont="1"/>
    <xf borderId="0" fillId="3" fontId="3" numFmtId="0" xfId="0" applyAlignment="1" applyFont="1">
      <alignment vertical="bottom"/>
    </xf>
    <xf borderId="0" fillId="3" fontId="3" numFmtId="4" xfId="0" applyAlignment="1" applyFont="1" applyNumberFormat="1">
      <alignment vertical="bottom"/>
    </xf>
    <xf borderId="0" fillId="3" fontId="3" numFmtId="0" xfId="0" applyAlignment="1" applyFont="1">
      <alignment readingOrder="0" vertical="bottom"/>
    </xf>
    <xf borderId="4" fillId="3" fontId="3" numFmtId="0" xfId="0" applyAlignment="1" applyBorder="1" applyFont="1">
      <alignment shrinkToFit="0" vertical="bottom" wrapText="0"/>
    </xf>
    <xf borderId="0" fillId="0" fontId="1" numFmtId="0" xfId="0" applyAlignment="1" applyFont="1">
      <alignment vertical="bottom"/>
    </xf>
    <xf borderId="0" fillId="3" fontId="3" numFmtId="0" xfId="0" applyAlignment="1" applyFont="1">
      <alignment horizontal="right" vertical="bottom"/>
    </xf>
    <xf borderId="0" fillId="0" fontId="3" numFmtId="4" xfId="0" applyAlignment="1" applyFont="1" applyNumberFormat="1">
      <alignment readingOrder="0"/>
    </xf>
    <xf borderId="0" fillId="0" fontId="3" numFmtId="4" xfId="0" applyFont="1" applyNumberFormat="1"/>
    <xf borderId="0" fillId="3" fontId="3" numFmtId="0" xfId="0" applyAlignment="1" applyFont="1">
      <alignment vertical="bottom"/>
    </xf>
    <xf borderId="4" fillId="3" fontId="3" numFmtId="0" xfId="0" applyAlignment="1" applyBorder="1" applyFont="1">
      <alignment vertical="bottom"/>
    </xf>
    <xf borderId="0" fillId="0" fontId="1" numFmtId="3" xfId="0" applyAlignment="1" applyFont="1" applyNumberFormat="1">
      <alignment readingOrder="0"/>
    </xf>
    <xf borderId="0" fillId="2" fontId="2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2" xfId="0" applyAlignment="1" applyFont="1" applyNumberFormat="1">
      <alignment horizontal="right" vertical="bottom"/>
    </xf>
    <xf borderId="0" fillId="0" fontId="1" numFmtId="2" xfId="0" applyAlignment="1" applyFont="1" applyNumberFormat="1">
      <alignment horizontal="right" readingOrder="0" vertical="bottom"/>
    </xf>
    <xf borderId="0" fillId="0" fontId="1" numFmtId="0" xfId="0" applyAlignment="1" applyFont="1">
      <alignment horizontal="right" readingOrder="0" vertical="bottom"/>
    </xf>
    <xf borderId="0" fillId="0" fontId="1" numFmtId="2" xfId="0" applyAlignment="1" applyFont="1" applyNumberFormat="1">
      <alignment vertical="bottom"/>
    </xf>
    <xf borderId="2" fillId="0" fontId="1" numFmtId="0" xfId="0" applyAlignment="1" applyBorder="1" applyFont="1">
      <alignment vertical="bottom"/>
    </xf>
    <xf borderId="2" fillId="0" fontId="1" numFmtId="0" xfId="0" applyAlignment="1" applyBorder="1" applyFont="1">
      <alignment horizontal="right" vertical="bottom"/>
    </xf>
    <xf borderId="2" fillId="0" fontId="1" numFmtId="2" xfId="0" applyAlignment="1" applyBorder="1" applyFont="1" applyNumberFormat="1">
      <alignment horizontal="right" vertical="bottom"/>
    </xf>
    <xf borderId="2" fillId="3" fontId="1" numFmtId="2" xfId="0" applyAlignment="1" applyBorder="1" applyFont="1" applyNumberFormat="1">
      <alignment horizontal="right" vertical="bottom"/>
    </xf>
    <xf borderId="2" fillId="0" fontId="1" numFmtId="0" xfId="0" applyAlignment="1" applyBorder="1" applyFont="1">
      <alignment horizontal="right" readingOrder="0" vertical="bottom"/>
    </xf>
    <xf borderId="0" fillId="2" fontId="2" numFmtId="0" xfId="0" applyAlignment="1" applyFont="1">
      <alignment readingOrder="0" vertical="bottom"/>
    </xf>
    <xf borderId="0" fillId="0" fontId="4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0" fontId="4" numFmtId="2" xfId="0" applyAlignment="1" applyFont="1" applyNumberFormat="1">
      <alignment horizontal="right" vertical="bottom"/>
    </xf>
    <xf borderId="0" fillId="0" fontId="1" numFmtId="3" xfId="0" applyFont="1" applyNumberFormat="1"/>
    <xf borderId="0" fillId="0" fontId="1" numFmtId="0" xfId="0" applyAlignment="1" applyFont="1">
      <alignment horizontal="center" readingOrder="0"/>
    </xf>
    <xf borderId="0" fillId="0" fontId="1" numFmtId="3" xfId="0" applyFont="1" applyNumberFormat="1"/>
    <xf borderId="0" fillId="0" fontId="5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Composition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tables!$G$18:$G$19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9900FF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tables!$A$20:$A$24</c:f>
            </c:strRef>
          </c:cat>
          <c:val>
            <c:numRef>
              <c:f>tables!$G$20:$G$24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923925</xdr:colOff>
      <xdr:row>24</xdr:row>
      <xdr:rowOff>180975</xdr:rowOff>
    </xdr:from>
    <xdr:ext cx="3667125" cy="22669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86"/>
    <col customWidth="1" min="2" max="2" width="13.14"/>
    <col customWidth="1" min="3" max="3" width="17.43"/>
    <col customWidth="1" min="4" max="4" width="21.71"/>
    <col customWidth="1" min="7" max="7" width="18.57"/>
    <col customWidth="1" min="12" max="12" width="18.43"/>
    <col customWidth="1" min="13" max="13" width="18.86"/>
    <col customWidth="1" min="14" max="14" width="19.0"/>
    <col customWidth="1" min="15" max="15" width="20.57"/>
    <col customWidth="1" min="16" max="16" width="22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>
      <c r="A2" s="5" t="s">
        <v>14</v>
      </c>
      <c r="B2" s="6">
        <v>0.28</v>
      </c>
      <c r="C2" s="7">
        <f>B2*A17</f>
        <v>15654.24</v>
      </c>
      <c r="D2" s="6"/>
      <c r="E2" s="6">
        <f t="shared" ref="E2:E13" si="1">C2+D2</f>
        <v>15654.24</v>
      </c>
      <c r="F2" s="6">
        <v>0.77</v>
      </c>
      <c r="G2" s="1">
        <f>0.15</f>
        <v>0.15</v>
      </c>
      <c r="H2" s="7">
        <f t="shared" ref="H2:H7" si="2">G2*C2*0.77</f>
        <v>1808.06472</v>
      </c>
      <c r="I2" s="8">
        <v>0.06</v>
      </c>
      <c r="J2" s="7">
        <f t="shared" ref="J2:J7" si="3">H2*EXP(-I2*(2020-2015.5))</f>
        <v>1380.239532</v>
      </c>
      <c r="K2" s="7">
        <f t="shared" ref="K2:K7" si="4">H2-J2</f>
        <v>427.8251883</v>
      </c>
      <c r="L2" s="9">
        <f t="shared" ref="L2:L7" si="5">(4/3)*K2*1/2</f>
        <v>285.2167922</v>
      </c>
      <c r="M2" s="3">
        <f t="shared" ref="M2:M7" si="6">K2*(1/2)*(44/12)</f>
        <v>784.3461786</v>
      </c>
      <c r="N2" s="10">
        <f t="shared" ref="N2:N7" si="7">(3/10)*25*L2+M2</f>
        <v>2923.47212</v>
      </c>
    </row>
    <row r="3">
      <c r="A3" s="5" t="s">
        <v>15</v>
      </c>
      <c r="B3" s="6">
        <v>0.02</v>
      </c>
      <c r="C3" s="7">
        <f>B3*A17</f>
        <v>1118.16</v>
      </c>
      <c r="D3" s="6"/>
      <c r="E3" s="6">
        <f t="shared" si="1"/>
        <v>1118.16</v>
      </c>
      <c r="F3" s="6">
        <v>0.77</v>
      </c>
      <c r="G3" s="1">
        <v>0.17</v>
      </c>
      <c r="H3" s="7">
        <f t="shared" si="2"/>
        <v>146.367144</v>
      </c>
      <c r="I3" s="8">
        <v>0.05</v>
      </c>
      <c r="J3" s="7">
        <f t="shared" si="3"/>
        <v>116.8765384</v>
      </c>
      <c r="K3" s="7">
        <f t="shared" si="4"/>
        <v>29.49060562</v>
      </c>
      <c r="L3" s="9">
        <f t="shared" si="5"/>
        <v>19.66040375</v>
      </c>
      <c r="M3" s="3">
        <f t="shared" si="6"/>
        <v>54.06611031</v>
      </c>
      <c r="N3" s="10">
        <f t="shared" si="7"/>
        <v>201.5191384</v>
      </c>
    </row>
    <row r="4">
      <c r="A4" s="5" t="s">
        <v>16</v>
      </c>
      <c r="B4" s="6">
        <v>0.37</v>
      </c>
      <c r="C4" s="7">
        <f>B4*A17</f>
        <v>20685.96</v>
      </c>
      <c r="D4" s="6">
        <f>341+2338</f>
        <v>2679</v>
      </c>
      <c r="E4" s="6">
        <f t="shared" si="1"/>
        <v>23364.96</v>
      </c>
      <c r="F4" s="6">
        <v>0.77</v>
      </c>
      <c r="G4" s="6">
        <v>0.4</v>
      </c>
      <c r="H4" s="7">
        <f t="shared" si="2"/>
        <v>6371.27568</v>
      </c>
      <c r="I4" s="8">
        <v>0.04</v>
      </c>
      <c r="J4" s="7">
        <f t="shared" si="3"/>
        <v>5321.736784</v>
      </c>
      <c r="K4" s="7">
        <f t="shared" si="4"/>
        <v>1049.538896</v>
      </c>
      <c r="L4" s="9">
        <f t="shared" si="5"/>
        <v>699.6925972</v>
      </c>
      <c r="M4" s="3">
        <f t="shared" si="6"/>
        <v>1924.154642</v>
      </c>
      <c r="N4" s="10">
        <f t="shared" si="7"/>
        <v>7171.849121</v>
      </c>
    </row>
    <row r="5">
      <c r="A5" s="5" t="s">
        <v>17</v>
      </c>
      <c r="B5" s="7"/>
      <c r="C5" s="7">
        <f>B5*A17</f>
        <v>0</v>
      </c>
      <c r="D5" s="6"/>
      <c r="E5" s="6">
        <f t="shared" si="1"/>
        <v>0</v>
      </c>
      <c r="F5" s="6">
        <v>0.77</v>
      </c>
      <c r="G5" s="6">
        <v>0.3</v>
      </c>
      <c r="H5" s="7">
        <f t="shared" si="2"/>
        <v>0</v>
      </c>
      <c r="I5" s="8">
        <v>0.02</v>
      </c>
      <c r="J5" s="7">
        <f t="shared" si="3"/>
        <v>0</v>
      </c>
      <c r="K5" s="7">
        <f t="shared" si="4"/>
        <v>0</v>
      </c>
      <c r="L5" s="9">
        <f t="shared" si="5"/>
        <v>0</v>
      </c>
      <c r="M5" s="3">
        <f t="shared" si="6"/>
        <v>0</v>
      </c>
      <c r="N5" s="10">
        <f t="shared" si="7"/>
        <v>0</v>
      </c>
    </row>
    <row r="6">
      <c r="A6" s="5" t="s">
        <v>18</v>
      </c>
      <c r="B6" s="6">
        <v>0.03</v>
      </c>
      <c r="C6" s="7">
        <f>B6*A17</f>
        <v>1677.24</v>
      </c>
      <c r="D6" s="6">
        <v>28.0</v>
      </c>
      <c r="E6" s="6">
        <f t="shared" si="1"/>
        <v>1705.24</v>
      </c>
      <c r="F6" s="6">
        <v>0.77</v>
      </c>
      <c r="G6" s="6">
        <v>0.4</v>
      </c>
      <c r="H6" s="7">
        <f t="shared" si="2"/>
        <v>516.58992</v>
      </c>
      <c r="I6" s="8">
        <v>0.04</v>
      </c>
      <c r="J6" s="7">
        <f t="shared" si="3"/>
        <v>431.4921717</v>
      </c>
      <c r="K6" s="7">
        <f t="shared" si="4"/>
        <v>85.09774831</v>
      </c>
      <c r="L6" s="9">
        <f t="shared" si="5"/>
        <v>56.73183221</v>
      </c>
      <c r="M6" s="3">
        <f t="shared" si="6"/>
        <v>156.0125386</v>
      </c>
      <c r="N6" s="10">
        <f t="shared" si="7"/>
        <v>581.5012801</v>
      </c>
    </row>
    <row r="7">
      <c r="A7" s="11" t="s">
        <v>19</v>
      </c>
      <c r="B7" s="12">
        <v>0.02</v>
      </c>
      <c r="C7" s="13">
        <f>B7*A17</f>
        <v>1118.16</v>
      </c>
      <c r="D7" s="14"/>
      <c r="E7" s="14">
        <f t="shared" si="1"/>
        <v>1118.16</v>
      </c>
      <c r="F7" s="14">
        <v>0.77</v>
      </c>
      <c r="G7" s="14">
        <v>0.24</v>
      </c>
      <c r="H7" s="13">
        <f t="shared" si="2"/>
        <v>206.635968</v>
      </c>
      <c r="I7" s="15">
        <v>0.05</v>
      </c>
      <c r="J7" s="13">
        <f t="shared" si="3"/>
        <v>165.0021718</v>
      </c>
      <c r="K7" s="13">
        <f t="shared" si="4"/>
        <v>41.63379617</v>
      </c>
      <c r="L7" s="16">
        <f t="shared" si="5"/>
        <v>27.75586412</v>
      </c>
      <c r="M7" s="17">
        <f t="shared" si="6"/>
        <v>76.32862632</v>
      </c>
      <c r="N7" s="10">
        <f t="shared" si="7"/>
        <v>284.4976072</v>
      </c>
    </row>
    <row r="8">
      <c r="A8" s="5" t="s">
        <v>20</v>
      </c>
      <c r="B8" s="6">
        <v>0.06</v>
      </c>
      <c r="C8" s="7">
        <f>B8*A17</f>
        <v>3354.48</v>
      </c>
      <c r="D8" s="6"/>
      <c r="E8" s="6">
        <f t="shared" si="1"/>
        <v>3354.48</v>
      </c>
      <c r="F8" s="6"/>
      <c r="G8" s="7"/>
      <c r="H8" s="7"/>
      <c r="I8" s="8">
        <v>0.05</v>
      </c>
    </row>
    <row r="9">
      <c r="A9" s="5" t="s">
        <v>21</v>
      </c>
      <c r="B9" s="6"/>
      <c r="C9" s="7">
        <f>B9*A17</f>
        <v>0</v>
      </c>
      <c r="D9" s="6"/>
      <c r="E9" s="6">
        <f t="shared" si="1"/>
        <v>0</v>
      </c>
      <c r="F9" s="6"/>
      <c r="G9" s="7"/>
      <c r="H9" s="7"/>
      <c r="I9" s="8">
        <v>0.06</v>
      </c>
      <c r="L9" s="18" t="s">
        <v>22</v>
      </c>
      <c r="M9" s="18" t="s">
        <v>23</v>
      </c>
      <c r="N9" s="18" t="s">
        <v>24</v>
      </c>
      <c r="O9" s="18" t="s">
        <v>25</v>
      </c>
      <c r="P9" s="18" t="s">
        <v>26</v>
      </c>
    </row>
    <row r="10">
      <c r="A10" s="1" t="s">
        <v>27</v>
      </c>
      <c r="B10" s="1">
        <v>0.18</v>
      </c>
      <c r="C10" s="7">
        <f>B10*A17</f>
        <v>10063.44</v>
      </c>
      <c r="D10" s="6">
        <v>80.5</v>
      </c>
      <c r="E10" s="6">
        <f t="shared" si="1"/>
        <v>10143.94</v>
      </c>
      <c r="F10" s="6"/>
      <c r="I10" s="1">
        <v>0.0</v>
      </c>
      <c r="L10" s="19">
        <f>sum(L2:L7)</f>
        <v>1089.057489</v>
      </c>
      <c r="M10" s="20">
        <f>(0.7)*L10</f>
        <v>762.3402426</v>
      </c>
      <c r="N10" s="21">
        <f>L10-M10</f>
        <v>326.7172468</v>
      </c>
      <c r="O10" s="19">
        <f>sum(M2:M7)</f>
        <v>2994.908096</v>
      </c>
      <c r="P10" s="19">
        <f>(N10*25)+O10</f>
        <v>11162.83927</v>
      </c>
    </row>
    <row r="11">
      <c r="A11" s="1" t="s">
        <v>28</v>
      </c>
      <c r="B11" s="1">
        <v>0.02</v>
      </c>
      <c r="C11" s="7">
        <f>B11*A17</f>
        <v>1118.16</v>
      </c>
      <c r="D11" s="6">
        <v>63.5</v>
      </c>
      <c r="E11" s="6">
        <f t="shared" si="1"/>
        <v>1181.66</v>
      </c>
      <c r="F11" s="6"/>
      <c r="I11" s="1">
        <v>0.0</v>
      </c>
    </row>
    <row r="12">
      <c r="A12" s="1" t="s">
        <v>29</v>
      </c>
      <c r="B12" s="1">
        <v>0.01</v>
      </c>
      <c r="C12" s="7">
        <f>B12*A17</f>
        <v>559.08</v>
      </c>
      <c r="D12" s="6">
        <v>1218.0</v>
      </c>
      <c r="E12" s="6">
        <f t="shared" si="1"/>
        <v>1777.08</v>
      </c>
      <c r="F12" s="6"/>
      <c r="I12" s="1">
        <v>0.0</v>
      </c>
    </row>
    <row r="13">
      <c r="A13" s="1" t="s">
        <v>30</v>
      </c>
      <c r="B13" s="1">
        <v>0.01</v>
      </c>
      <c r="C13" s="7">
        <f>B13*A17</f>
        <v>559.08</v>
      </c>
      <c r="D13" s="6">
        <f>191+355</f>
        <v>546</v>
      </c>
      <c r="E13" s="6">
        <f t="shared" si="1"/>
        <v>1105.08</v>
      </c>
      <c r="F13" s="6"/>
      <c r="I13" s="1">
        <v>0.0</v>
      </c>
    </row>
    <row r="16">
      <c r="A16" s="1" t="s">
        <v>31</v>
      </c>
    </row>
    <row r="17">
      <c r="A17" s="1">
        <v>55908.0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29"/>
    <col customWidth="1" min="16" max="16" width="24.57"/>
  </cols>
  <sheetData>
    <row r="1">
      <c r="A1" s="1" t="s">
        <v>0</v>
      </c>
      <c r="B1" s="1" t="s">
        <v>1</v>
      </c>
      <c r="C1" s="1" t="s">
        <v>32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3" t="s">
        <v>33</v>
      </c>
      <c r="N1" s="4" t="s">
        <v>13</v>
      </c>
      <c r="O1" s="1"/>
      <c r="R1" s="22"/>
    </row>
    <row r="2">
      <c r="A2" s="5" t="s">
        <v>14</v>
      </c>
      <c r="B2" s="6">
        <v>0.28</v>
      </c>
      <c r="C2" s="7">
        <f>B2*A17</f>
        <v>16774.52</v>
      </c>
      <c r="D2" s="6"/>
      <c r="E2" s="6">
        <f t="shared" ref="E2:E13" si="1">C2+D2</f>
        <v>16774.52</v>
      </c>
      <c r="F2" s="6">
        <v>0.77</v>
      </c>
      <c r="G2" s="1">
        <f>0.15</f>
        <v>0.15</v>
      </c>
      <c r="H2" s="7">
        <f t="shared" ref="H2:H7" si="2">G2*C2*0.77</f>
        <v>1937.45706</v>
      </c>
      <c r="I2" s="8">
        <v>0.06</v>
      </c>
      <c r="J2" s="7">
        <f t="shared" ref="J2:J7" si="3">H2*EXP(-I2*(2020-2016.5))</f>
        <v>1570.47217</v>
      </c>
      <c r="K2" s="7">
        <f t="shared" ref="K2:K7" si="4">H2-J2</f>
        <v>366.9848899</v>
      </c>
      <c r="L2" s="9">
        <f t="shared" ref="L2:L7" si="5">(4/3)*K2*1/2</f>
        <v>244.6565933</v>
      </c>
      <c r="M2" s="23">
        <f t="shared" ref="M2:M7" si="6">K2*(1/2)*(44/12)</f>
        <v>672.8056315</v>
      </c>
      <c r="N2" s="10">
        <f t="shared" ref="N2:N7" si="7">(3/10)*25*L2+M2</f>
        <v>2507.730081</v>
      </c>
      <c r="R2" s="24"/>
    </row>
    <row r="3">
      <c r="A3" s="5" t="s">
        <v>15</v>
      </c>
      <c r="B3" s="6">
        <v>0.02</v>
      </c>
      <c r="C3" s="7">
        <f>B3*A17</f>
        <v>1198.18</v>
      </c>
      <c r="D3" s="6"/>
      <c r="E3" s="6">
        <f t="shared" si="1"/>
        <v>1198.18</v>
      </c>
      <c r="F3" s="6">
        <v>0.77</v>
      </c>
      <c r="G3" s="1">
        <v>0.17</v>
      </c>
      <c r="H3" s="7">
        <f t="shared" si="2"/>
        <v>156.841762</v>
      </c>
      <c r="I3" s="8">
        <v>0.05</v>
      </c>
      <c r="J3" s="7">
        <f t="shared" si="3"/>
        <v>131.6619183</v>
      </c>
      <c r="K3" s="7">
        <f t="shared" si="4"/>
        <v>25.17984374</v>
      </c>
      <c r="L3" s="9">
        <f t="shared" si="5"/>
        <v>16.78656249</v>
      </c>
      <c r="M3" s="23">
        <f t="shared" si="6"/>
        <v>46.16304686</v>
      </c>
      <c r="N3" s="10">
        <f t="shared" si="7"/>
        <v>172.0622656</v>
      </c>
    </row>
    <row r="4">
      <c r="A4" s="5" t="s">
        <v>16</v>
      </c>
      <c r="B4" s="6">
        <v>0.37</v>
      </c>
      <c r="C4" s="7">
        <f>B4*A17</f>
        <v>22166.33</v>
      </c>
      <c r="D4" s="6">
        <f>308+2547</f>
        <v>2855</v>
      </c>
      <c r="E4" s="6">
        <f t="shared" si="1"/>
        <v>25021.33</v>
      </c>
      <c r="F4" s="6">
        <v>0.77</v>
      </c>
      <c r="G4" s="6">
        <v>0.4</v>
      </c>
      <c r="H4" s="7">
        <f t="shared" si="2"/>
        <v>6827.22964</v>
      </c>
      <c r="I4" s="8">
        <v>0.04</v>
      </c>
      <c r="J4" s="7">
        <f t="shared" si="3"/>
        <v>5935.308312</v>
      </c>
      <c r="K4" s="7">
        <f t="shared" si="4"/>
        <v>891.9213275</v>
      </c>
      <c r="L4" s="9">
        <f t="shared" si="5"/>
        <v>594.6142183</v>
      </c>
      <c r="M4" s="23">
        <f t="shared" si="6"/>
        <v>1635.1891</v>
      </c>
      <c r="N4" s="10">
        <f t="shared" si="7"/>
        <v>6094.795738</v>
      </c>
    </row>
    <row r="5">
      <c r="A5" s="5" t="s">
        <v>17</v>
      </c>
      <c r="B5" s="7"/>
      <c r="C5" s="7">
        <f>B5*A17</f>
        <v>0</v>
      </c>
      <c r="D5" s="6"/>
      <c r="E5" s="6">
        <f t="shared" si="1"/>
        <v>0</v>
      </c>
      <c r="F5" s="6">
        <v>0.77</v>
      </c>
      <c r="G5" s="6">
        <v>0.3</v>
      </c>
      <c r="H5" s="7">
        <f t="shared" si="2"/>
        <v>0</v>
      </c>
      <c r="I5" s="8">
        <v>0.02</v>
      </c>
      <c r="J5" s="7">
        <f t="shared" si="3"/>
        <v>0</v>
      </c>
      <c r="K5" s="7">
        <f t="shared" si="4"/>
        <v>0</v>
      </c>
      <c r="L5" s="9">
        <f t="shared" si="5"/>
        <v>0</v>
      </c>
      <c r="M5" s="23">
        <f t="shared" si="6"/>
        <v>0</v>
      </c>
      <c r="N5" s="10">
        <f t="shared" si="7"/>
        <v>0</v>
      </c>
    </row>
    <row r="6">
      <c r="A6" s="5" t="s">
        <v>18</v>
      </c>
      <c r="B6" s="6">
        <v>0.03</v>
      </c>
      <c r="C6" s="7">
        <f>B6*A17</f>
        <v>1797.27</v>
      </c>
      <c r="D6" s="6"/>
      <c r="E6" s="6">
        <f t="shared" si="1"/>
        <v>1797.27</v>
      </c>
      <c r="F6" s="6">
        <v>0.77</v>
      </c>
      <c r="G6" s="6">
        <v>0.4</v>
      </c>
      <c r="H6" s="7">
        <f t="shared" si="2"/>
        <v>553.55916</v>
      </c>
      <c r="I6" s="8">
        <v>0.04</v>
      </c>
      <c r="J6" s="7">
        <f t="shared" si="3"/>
        <v>481.2412145</v>
      </c>
      <c r="K6" s="7">
        <f t="shared" si="4"/>
        <v>72.31794547</v>
      </c>
      <c r="L6" s="9">
        <f t="shared" si="5"/>
        <v>48.21196365</v>
      </c>
      <c r="M6" s="23">
        <f t="shared" si="6"/>
        <v>132.5829</v>
      </c>
      <c r="N6" s="10">
        <f t="shared" si="7"/>
        <v>494.1726274</v>
      </c>
    </row>
    <row r="7">
      <c r="A7" s="11" t="s">
        <v>19</v>
      </c>
      <c r="B7" s="12">
        <v>0.02</v>
      </c>
      <c r="C7" s="13">
        <f>B7*A17</f>
        <v>1198.18</v>
      </c>
      <c r="D7" s="14"/>
      <c r="E7" s="14">
        <f t="shared" si="1"/>
        <v>1198.18</v>
      </c>
      <c r="F7" s="14">
        <v>0.77</v>
      </c>
      <c r="G7" s="25">
        <v>0.24</v>
      </c>
      <c r="H7" s="13">
        <f t="shared" si="2"/>
        <v>221.423664</v>
      </c>
      <c r="I7" s="15">
        <v>0.05</v>
      </c>
      <c r="J7" s="13">
        <f t="shared" si="3"/>
        <v>185.8756493</v>
      </c>
      <c r="K7" s="13">
        <f t="shared" si="4"/>
        <v>35.54801469</v>
      </c>
      <c r="L7" s="16">
        <f t="shared" si="5"/>
        <v>23.69867646</v>
      </c>
      <c r="M7" s="26">
        <f t="shared" si="6"/>
        <v>65.17136027</v>
      </c>
      <c r="N7" s="10">
        <f t="shared" si="7"/>
        <v>242.9114337</v>
      </c>
    </row>
    <row r="8">
      <c r="A8" s="5" t="s">
        <v>20</v>
      </c>
      <c r="B8" s="6">
        <v>0.06</v>
      </c>
      <c r="C8" s="7">
        <f>B8*A17</f>
        <v>3594.54</v>
      </c>
      <c r="D8" s="6"/>
      <c r="E8" s="6">
        <f t="shared" si="1"/>
        <v>3594.54</v>
      </c>
      <c r="F8" s="6"/>
      <c r="G8" s="7"/>
      <c r="H8" s="7"/>
      <c r="I8" s="8">
        <v>0.05</v>
      </c>
    </row>
    <row r="9">
      <c r="A9" s="5" t="s">
        <v>21</v>
      </c>
      <c r="B9" s="6"/>
      <c r="C9" s="7">
        <f>B9*A17</f>
        <v>0</v>
      </c>
      <c r="D9" s="6"/>
      <c r="E9" s="6">
        <f t="shared" si="1"/>
        <v>0</v>
      </c>
      <c r="F9" s="6"/>
      <c r="G9" s="7"/>
      <c r="H9" s="7"/>
      <c r="I9" s="8">
        <v>0.06</v>
      </c>
      <c r="L9" s="27" t="s">
        <v>22</v>
      </c>
      <c r="M9" s="28" t="s">
        <v>23</v>
      </c>
      <c r="N9" s="28" t="s">
        <v>24</v>
      </c>
      <c r="O9" s="29" t="s">
        <v>34</v>
      </c>
      <c r="P9" s="30" t="s">
        <v>26</v>
      </c>
      <c r="Q9" s="31"/>
    </row>
    <row r="10">
      <c r="A10" s="1" t="s">
        <v>27</v>
      </c>
      <c r="B10" s="1">
        <v>0.18</v>
      </c>
      <c r="C10" s="7">
        <f>B10*A17</f>
        <v>10783.62</v>
      </c>
      <c r="D10" s="6">
        <f>34+81.5</f>
        <v>115.5</v>
      </c>
      <c r="E10" s="6">
        <f t="shared" si="1"/>
        <v>10899.12</v>
      </c>
      <c r="F10" s="6"/>
      <c r="I10" s="1">
        <v>0.0</v>
      </c>
      <c r="L10" s="32">
        <f>sum(L2:L7)</f>
        <v>927.9680142</v>
      </c>
      <c r="M10" s="32">
        <f>(0.7)*L10</f>
        <v>649.57761</v>
      </c>
      <c r="N10" s="32">
        <f>L10-M10</f>
        <v>278.3904043</v>
      </c>
      <c r="O10" s="32">
        <f>sum(M2:M7)</f>
        <v>2551.912039</v>
      </c>
      <c r="P10" s="32">
        <f>(N10*25)+O10</f>
        <v>9511.672146</v>
      </c>
    </row>
    <row r="11">
      <c r="A11" s="1" t="s">
        <v>28</v>
      </c>
      <c r="B11" s="1">
        <v>0.02</v>
      </c>
      <c r="C11" s="7">
        <f>B11*A17</f>
        <v>1198.18</v>
      </c>
      <c r="D11" s="6">
        <v>63.0</v>
      </c>
      <c r="E11" s="6">
        <f t="shared" si="1"/>
        <v>1261.18</v>
      </c>
      <c r="F11" s="6"/>
      <c r="I11" s="1">
        <v>0.0</v>
      </c>
    </row>
    <row r="12">
      <c r="A12" s="1" t="s">
        <v>29</v>
      </c>
      <c r="B12" s="1">
        <v>0.01</v>
      </c>
      <c r="C12" s="7">
        <f>B12*A17</f>
        <v>599.09</v>
      </c>
      <c r="D12" s="6">
        <f>17.8+21.4</f>
        <v>39.2</v>
      </c>
      <c r="E12" s="6">
        <f t="shared" si="1"/>
        <v>638.29</v>
      </c>
      <c r="F12" s="6"/>
      <c r="I12" s="1">
        <v>0.0</v>
      </c>
      <c r="L12" s="24"/>
      <c r="M12" s="33"/>
      <c r="N12" s="34"/>
      <c r="O12" s="24"/>
      <c r="P12" s="24"/>
    </row>
    <row r="13">
      <c r="A13" s="1" t="s">
        <v>30</v>
      </c>
      <c r="B13" s="1">
        <v>0.01</v>
      </c>
      <c r="C13" s="7">
        <f>B13*A17</f>
        <v>599.09</v>
      </c>
      <c r="D13" s="6">
        <f>288+361</f>
        <v>649</v>
      </c>
      <c r="E13" s="6">
        <f t="shared" si="1"/>
        <v>1248.09</v>
      </c>
      <c r="F13" s="6"/>
      <c r="I13" s="1">
        <v>0.0</v>
      </c>
    </row>
    <row r="16">
      <c r="A16" s="1" t="s">
        <v>31</v>
      </c>
    </row>
    <row r="17">
      <c r="A17" s="1">
        <v>59909.0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0"/>
    <col customWidth="1" min="2" max="2" width="17.0"/>
    <col customWidth="1" min="3" max="3" width="27.86"/>
    <col customWidth="1" min="4" max="5" width="21.29"/>
    <col customWidth="1" min="7" max="7" width="19.29"/>
    <col customWidth="1" min="8" max="8" width="23.86"/>
    <col customWidth="1" min="9" max="10" width="19.0"/>
    <col customWidth="1" min="11" max="11" width="18.86"/>
    <col customWidth="1" min="17" max="17" width="18.71"/>
  </cols>
  <sheetData>
    <row r="1">
      <c r="A1" s="1" t="s">
        <v>0</v>
      </c>
      <c r="B1" s="1" t="s">
        <v>1</v>
      </c>
      <c r="C1" s="1" t="s">
        <v>35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3" t="s">
        <v>33</v>
      </c>
      <c r="N1" s="4" t="s">
        <v>13</v>
      </c>
      <c r="O1" s="1"/>
      <c r="P1" s="1"/>
      <c r="R1" s="22"/>
    </row>
    <row r="2">
      <c r="A2" s="5" t="s">
        <v>14</v>
      </c>
      <c r="B2" s="6">
        <v>0.28</v>
      </c>
      <c r="C2" s="7">
        <f>B2*A17</f>
        <v>17178.56</v>
      </c>
      <c r="D2" s="6"/>
      <c r="E2" s="6">
        <f t="shared" ref="E2:E13" si="1">C2+D3</f>
        <v>17178.56</v>
      </c>
      <c r="F2" s="6">
        <v>0.77</v>
      </c>
      <c r="G2" s="1">
        <f>0.15</f>
        <v>0.15</v>
      </c>
      <c r="H2" s="7">
        <f t="shared" ref="H2:H7" si="2">G2*C2*0.77</f>
        <v>1984.12368</v>
      </c>
      <c r="I2" s="8">
        <v>0.06</v>
      </c>
      <c r="J2" s="7">
        <f t="shared" ref="J2:J7" si="3">H2*EXP(-I2*(2020-2017.5))</f>
        <v>1707.751078</v>
      </c>
      <c r="K2" s="7">
        <f t="shared" ref="K2:K7" si="4">H2-J2</f>
        <v>276.3726024</v>
      </c>
      <c r="L2" s="9">
        <f t="shared" ref="L2:L7" si="5">(4/3)*K2*1/2</f>
        <v>184.2484016</v>
      </c>
      <c r="M2" s="23">
        <f t="shared" ref="M2:M7" si="6">K2*(1/2)*(44/12)</f>
        <v>506.6831044</v>
      </c>
      <c r="N2" s="10">
        <f t="shared" ref="N2:N7" si="7">(3/10)*25*L2+M2</f>
        <v>1888.546116</v>
      </c>
      <c r="R2" s="24"/>
    </row>
    <row r="3">
      <c r="A3" s="5" t="s">
        <v>15</v>
      </c>
      <c r="B3" s="6">
        <v>0.02</v>
      </c>
      <c r="C3" s="7">
        <f>B3*A17</f>
        <v>1227.04</v>
      </c>
      <c r="D3" s="6"/>
      <c r="E3" s="6">
        <f t="shared" si="1"/>
        <v>4289.04</v>
      </c>
      <c r="F3" s="6">
        <v>0.77</v>
      </c>
      <c r="G3" s="1">
        <v>0.17</v>
      </c>
      <c r="H3" s="7">
        <f t="shared" si="2"/>
        <v>160.619536</v>
      </c>
      <c r="I3" s="8">
        <v>0.05</v>
      </c>
      <c r="J3" s="7">
        <f t="shared" si="3"/>
        <v>141.746243</v>
      </c>
      <c r="K3" s="7">
        <f t="shared" si="4"/>
        <v>18.87329299</v>
      </c>
      <c r="L3" s="9">
        <f t="shared" si="5"/>
        <v>12.58219532</v>
      </c>
      <c r="M3" s="23">
        <f t="shared" si="6"/>
        <v>34.60103714</v>
      </c>
      <c r="N3" s="10">
        <f t="shared" si="7"/>
        <v>128.9675021</v>
      </c>
    </row>
    <row r="4">
      <c r="A4" s="5" t="s">
        <v>16</v>
      </c>
      <c r="B4" s="6">
        <v>0.37</v>
      </c>
      <c r="C4" s="7">
        <f>B4*A17</f>
        <v>22700.24</v>
      </c>
      <c r="D4" s="6">
        <f>323+2739</f>
        <v>3062</v>
      </c>
      <c r="E4" s="6">
        <f t="shared" si="1"/>
        <v>22700.24</v>
      </c>
      <c r="F4" s="6">
        <v>0.77</v>
      </c>
      <c r="G4" s="6">
        <v>0.4</v>
      </c>
      <c r="H4" s="7">
        <f t="shared" si="2"/>
        <v>6991.67392</v>
      </c>
      <c r="I4" s="8">
        <v>0.04</v>
      </c>
      <c r="J4" s="7">
        <f t="shared" si="3"/>
        <v>6326.328178</v>
      </c>
      <c r="K4" s="7">
        <f t="shared" si="4"/>
        <v>665.3457425</v>
      </c>
      <c r="L4" s="9">
        <f t="shared" si="5"/>
        <v>443.5638283</v>
      </c>
      <c r="M4" s="23">
        <f t="shared" si="6"/>
        <v>1219.800528</v>
      </c>
      <c r="N4" s="10">
        <f t="shared" si="7"/>
        <v>4546.52924</v>
      </c>
    </row>
    <row r="5">
      <c r="A5" s="5" t="s">
        <v>17</v>
      </c>
      <c r="B5" s="7"/>
      <c r="C5" s="7">
        <f>B5*A17</f>
        <v>0</v>
      </c>
      <c r="D5" s="6"/>
      <c r="E5" s="6">
        <f t="shared" si="1"/>
        <v>27.5</v>
      </c>
      <c r="F5" s="6">
        <v>0.77</v>
      </c>
      <c r="G5" s="6">
        <v>0.3</v>
      </c>
      <c r="H5" s="7">
        <f t="shared" si="2"/>
        <v>0</v>
      </c>
      <c r="I5" s="8">
        <v>0.02</v>
      </c>
      <c r="J5" s="7">
        <f t="shared" si="3"/>
        <v>0</v>
      </c>
      <c r="K5" s="7">
        <f t="shared" si="4"/>
        <v>0</v>
      </c>
      <c r="L5" s="9">
        <f t="shared" si="5"/>
        <v>0</v>
      </c>
      <c r="M5" s="23">
        <f t="shared" si="6"/>
        <v>0</v>
      </c>
      <c r="N5" s="10">
        <f t="shared" si="7"/>
        <v>0</v>
      </c>
    </row>
    <row r="6">
      <c r="A6" s="5" t="s">
        <v>18</v>
      </c>
      <c r="B6" s="6">
        <v>0.03</v>
      </c>
      <c r="C6" s="7">
        <f>B6*A17</f>
        <v>1840.56</v>
      </c>
      <c r="D6" s="6">
        <v>27.5</v>
      </c>
      <c r="E6" s="6">
        <f t="shared" si="1"/>
        <v>1840.56</v>
      </c>
      <c r="F6" s="6">
        <v>0.77</v>
      </c>
      <c r="G6" s="6">
        <v>0.4</v>
      </c>
      <c r="H6" s="7">
        <f t="shared" si="2"/>
        <v>566.89248</v>
      </c>
      <c r="I6" s="8">
        <v>0.04</v>
      </c>
      <c r="J6" s="7">
        <f t="shared" si="3"/>
        <v>512.9455279</v>
      </c>
      <c r="K6" s="7">
        <f t="shared" si="4"/>
        <v>53.94695209</v>
      </c>
      <c r="L6" s="9">
        <f t="shared" si="5"/>
        <v>35.96463473</v>
      </c>
      <c r="M6" s="23">
        <f t="shared" si="6"/>
        <v>98.9027455</v>
      </c>
      <c r="N6" s="10">
        <f t="shared" si="7"/>
        <v>368.637506</v>
      </c>
    </row>
    <row r="7">
      <c r="A7" s="11" t="s">
        <v>19</v>
      </c>
      <c r="B7" s="12">
        <v>0.02</v>
      </c>
      <c r="C7" s="13">
        <f>B7*A17</f>
        <v>1227.04</v>
      </c>
      <c r="D7" s="14"/>
      <c r="E7" s="14">
        <f t="shared" si="1"/>
        <v>1227.04</v>
      </c>
      <c r="F7" s="14">
        <v>0.77</v>
      </c>
      <c r="G7" s="25">
        <v>0.24</v>
      </c>
      <c r="H7" s="13">
        <f t="shared" si="2"/>
        <v>226.756992</v>
      </c>
      <c r="I7" s="15">
        <v>0.05</v>
      </c>
      <c r="J7" s="13">
        <f t="shared" si="3"/>
        <v>200.1123431</v>
      </c>
      <c r="K7" s="13">
        <f t="shared" si="4"/>
        <v>26.64464892</v>
      </c>
      <c r="L7" s="16">
        <f t="shared" si="5"/>
        <v>17.76309928</v>
      </c>
      <c r="M7" s="26">
        <f t="shared" si="6"/>
        <v>48.84852302</v>
      </c>
      <c r="N7" s="10">
        <f t="shared" si="7"/>
        <v>182.0717676</v>
      </c>
    </row>
    <row r="8">
      <c r="A8" s="5" t="s">
        <v>20</v>
      </c>
      <c r="B8" s="6">
        <v>0.06</v>
      </c>
      <c r="C8" s="7">
        <f>B8*A17</f>
        <v>3681.12</v>
      </c>
      <c r="D8" s="6"/>
      <c r="E8" s="6">
        <f t="shared" si="1"/>
        <v>3681.12</v>
      </c>
      <c r="F8" s="6">
        <v>0.77</v>
      </c>
      <c r="G8" s="7"/>
      <c r="H8" s="7"/>
      <c r="I8" s="8">
        <v>0.05</v>
      </c>
    </row>
    <row r="9">
      <c r="A9" s="5" t="s">
        <v>21</v>
      </c>
      <c r="B9" s="6"/>
      <c r="C9" s="7">
        <f>B9*A17</f>
        <v>0</v>
      </c>
      <c r="D9" s="6"/>
      <c r="E9" s="6">
        <f t="shared" si="1"/>
        <v>113</v>
      </c>
      <c r="F9" s="6"/>
      <c r="G9" s="7"/>
      <c r="H9" s="7"/>
      <c r="I9" s="8">
        <v>0.06</v>
      </c>
      <c r="L9" s="27" t="s">
        <v>22</v>
      </c>
      <c r="M9" s="28" t="s">
        <v>23</v>
      </c>
      <c r="N9" s="28" t="s">
        <v>24</v>
      </c>
      <c r="O9" s="35" t="s">
        <v>34</v>
      </c>
      <c r="P9" s="36" t="s">
        <v>26</v>
      </c>
    </row>
    <row r="10">
      <c r="A10" s="1" t="s">
        <v>27</v>
      </c>
      <c r="B10" s="1">
        <v>0.18</v>
      </c>
      <c r="C10" s="7">
        <f>B10*A17</f>
        <v>11043.36</v>
      </c>
      <c r="D10" s="6">
        <v>113.0</v>
      </c>
      <c r="E10" s="6">
        <f t="shared" si="1"/>
        <v>11103.36</v>
      </c>
      <c r="F10" s="6"/>
      <c r="I10" s="1">
        <v>0.0</v>
      </c>
      <c r="L10" s="32">
        <f>sum(L2:L7)</f>
        <v>694.1221593</v>
      </c>
      <c r="M10" s="32">
        <f>(0.7)*L10</f>
        <v>485.8855115</v>
      </c>
      <c r="N10" s="32">
        <f>L10-M10</f>
        <v>208.2366478</v>
      </c>
      <c r="O10" s="32">
        <f>sum(M2:M7)</f>
        <v>1908.835938</v>
      </c>
      <c r="P10" s="32">
        <f>(N10*25)+O10</f>
        <v>7114.752132</v>
      </c>
    </row>
    <row r="11">
      <c r="A11" s="1" t="s">
        <v>28</v>
      </c>
      <c r="B11" s="1">
        <v>0.02</v>
      </c>
      <c r="C11" s="7">
        <f>B11*A17</f>
        <v>1227.04</v>
      </c>
      <c r="D11" s="6">
        <v>60.0</v>
      </c>
      <c r="E11" s="6">
        <f t="shared" si="1"/>
        <v>2477.04</v>
      </c>
      <c r="F11" s="6"/>
      <c r="I11" s="1">
        <v>0.0</v>
      </c>
    </row>
    <row r="12">
      <c r="A12" s="1" t="s">
        <v>29</v>
      </c>
      <c r="B12" s="1">
        <v>0.01</v>
      </c>
      <c r="C12" s="7">
        <f>B12*A17</f>
        <v>613.52</v>
      </c>
      <c r="D12" s="6">
        <v>1250.0</v>
      </c>
      <c r="E12" s="6">
        <f t="shared" si="1"/>
        <v>1505.02</v>
      </c>
      <c r="F12" s="6"/>
      <c r="I12" s="1">
        <v>0.0</v>
      </c>
    </row>
    <row r="13">
      <c r="A13" s="1" t="s">
        <v>30</v>
      </c>
      <c r="B13" s="1">
        <v>0.01</v>
      </c>
      <c r="C13" s="7">
        <f>B13*A17</f>
        <v>613.52</v>
      </c>
      <c r="D13" s="6">
        <f>368.5+196+327</f>
        <v>891.5</v>
      </c>
      <c r="E13" s="6">
        <f t="shared" si="1"/>
        <v>613.52</v>
      </c>
      <c r="F13" s="6"/>
      <c r="I13" s="1">
        <v>0.0</v>
      </c>
    </row>
    <row r="16">
      <c r="A16" s="1" t="s">
        <v>31</v>
      </c>
    </row>
    <row r="17">
      <c r="A17" s="37">
        <v>61352.0</v>
      </c>
    </row>
    <row r="20">
      <c r="B20" s="1" t="s">
        <v>36</v>
      </c>
    </row>
    <row r="21">
      <c r="B21" s="1" t="s">
        <v>37</v>
      </c>
    </row>
    <row r="22">
      <c r="B22" s="1" t="s">
        <v>38</v>
      </c>
    </row>
    <row r="26">
      <c r="B26" s="1" t="s">
        <v>39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8" max="9" width="28.29"/>
    <col customWidth="1" min="10" max="10" width="18.43"/>
    <col customWidth="1" min="16" max="16" width="19.43"/>
  </cols>
  <sheetData>
    <row r="1">
      <c r="A1" s="1" t="s">
        <v>0</v>
      </c>
      <c r="B1" s="1" t="s">
        <v>40</v>
      </c>
      <c r="C1" s="1" t="s">
        <v>35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3" t="s">
        <v>33</v>
      </c>
      <c r="N1" s="4" t="s">
        <v>13</v>
      </c>
      <c r="O1" s="1"/>
      <c r="R1" s="22"/>
    </row>
    <row r="2">
      <c r="A2" s="5" t="s">
        <v>14</v>
      </c>
      <c r="B2" s="6">
        <v>0.28</v>
      </c>
      <c r="C2" s="7">
        <f>B2*A17</f>
        <v>17772.72</v>
      </c>
      <c r="E2" s="7">
        <f t="shared" ref="E2:E13" si="1">C2+D2</f>
        <v>17772.72</v>
      </c>
      <c r="F2" s="1">
        <f>0.15</f>
        <v>0.15</v>
      </c>
      <c r="G2" s="1">
        <v>0.77</v>
      </c>
      <c r="H2" s="7">
        <f t="shared" ref="H2:H7" si="2">F2*C2*G2</f>
        <v>2052.74916</v>
      </c>
      <c r="I2" s="8">
        <v>0.06</v>
      </c>
      <c r="J2" s="7">
        <f t="shared" ref="J2:J7" si="3">H2*EXP(-I2*(2020-2018.5))</f>
        <v>1876.071473</v>
      </c>
      <c r="K2" s="7">
        <f t="shared" ref="K2:K7" si="4">H2-J2</f>
        <v>176.6776871</v>
      </c>
      <c r="L2" s="9">
        <f t="shared" ref="L2:L7" si="5">(4/3)*K2*1/2</f>
        <v>117.7851248</v>
      </c>
      <c r="M2" s="23">
        <f t="shared" ref="M2:M7" si="6">K2*(1/2)*(44/12)</f>
        <v>323.9090931</v>
      </c>
      <c r="N2" s="10">
        <f t="shared" ref="N2:N7" si="7">(3/10)*25*L2+M2</f>
        <v>1207.297529</v>
      </c>
      <c r="R2" s="24"/>
    </row>
    <row r="3">
      <c r="A3" s="5" t="s">
        <v>15</v>
      </c>
      <c r="B3" s="6">
        <v>0.02</v>
      </c>
      <c r="C3" s="7">
        <f>B3*A17</f>
        <v>1269.48</v>
      </c>
      <c r="E3" s="7">
        <f t="shared" si="1"/>
        <v>1269.48</v>
      </c>
      <c r="F3" s="1">
        <v>0.17</v>
      </c>
      <c r="G3" s="1">
        <v>0.77</v>
      </c>
      <c r="H3" s="7">
        <f t="shared" si="2"/>
        <v>166.174932</v>
      </c>
      <c r="I3" s="8">
        <v>0.05</v>
      </c>
      <c r="J3" s="7">
        <f t="shared" si="3"/>
        <v>154.1677108</v>
      </c>
      <c r="K3" s="7">
        <f t="shared" si="4"/>
        <v>12.00722125</v>
      </c>
      <c r="L3" s="9">
        <f t="shared" si="5"/>
        <v>8.004814164</v>
      </c>
      <c r="M3" s="23">
        <f t="shared" si="6"/>
        <v>22.01323895</v>
      </c>
      <c r="N3" s="10">
        <f t="shared" si="7"/>
        <v>82.04934518</v>
      </c>
    </row>
    <row r="4">
      <c r="A4" s="5" t="s">
        <v>16</v>
      </c>
      <c r="B4" s="6">
        <v>0.37</v>
      </c>
      <c r="C4" s="7">
        <f>B4*69046</f>
        <v>25547.02</v>
      </c>
      <c r="D4" s="9">
        <f>319+2962</f>
        <v>3281</v>
      </c>
      <c r="E4" s="7">
        <f t="shared" si="1"/>
        <v>28828.02</v>
      </c>
      <c r="F4" s="6">
        <v>0.4</v>
      </c>
      <c r="G4" s="1">
        <v>0.77</v>
      </c>
      <c r="H4" s="7">
        <f t="shared" si="2"/>
        <v>7868.48216</v>
      </c>
      <c r="I4" s="8">
        <v>0.04</v>
      </c>
      <c r="J4" s="7">
        <f t="shared" si="3"/>
        <v>7410.257431</v>
      </c>
      <c r="K4" s="7">
        <f t="shared" si="4"/>
        <v>458.2247286</v>
      </c>
      <c r="L4" s="9">
        <f t="shared" si="5"/>
        <v>305.4831524</v>
      </c>
      <c r="M4" s="23">
        <f t="shared" si="6"/>
        <v>840.078669</v>
      </c>
      <c r="N4" s="10">
        <f t="shared" si="7"/>
        <v>3131.202312</v>
      </c>
    </row>
    <row r="5">
      <c r="A5" s="5" t="s">
        <v>17</v>
      </c>
      <c r="B5" s="7"/>
      <c r="C5" s="7">
        <f>B5*A17</f>
        <v>0</v>
      </c>
      <c r="E5" s="7">
        <f t="shared" si="1"/>
        <v>0</v>
      </c>
      <c r="F5" s="6">
        <v>0.3</v>
      </c>
      <c r="G5" s="1">
        <v>0.77</v>
      </c>
      <c r="H5" s="7">
        <f t="shared" si="2"/>
        <v>0</v>
      </c>
      <c r="I5" s="8">
        <v>0.02</v>
      </c>
      <c r="J5" s="7">
        <f t="shared" si="3"/>
        <v>0</v>
      </c>
      <c r="K5" s="7">
        <f t="shared" si="4"/>
        <v>0</v>
      </c>
      <c r="L5" s="9">
        <f t="shared" si="5"/>
        <v>0</v>
      </c>
      <c r="M5" s="23">
        <f t="shared" si="6"/>
        <v>0</v>
      </c>
      <c r="N5" s="10">
        <f t="shared" si="7"/>
        <v>0</v>
      </c>
    </row>
    <row r="6">
      <c r="A6" s="5" t="s">
        <v>18</v>
      </c>
      <c r="B6" s="6">
        <v>0.03</v>
      </c>
      <c r="C6" s="7">
        <f>B6*A17</f>
        <v>1904.22</v>
      </c>
      <c r="D6" s="1">
        <v>26.0</v>
      </c>
      <c r="E6" s="6">
        <f t="shared" si="1"/>
        <v>1930.22</v>
      </c>
      <c r="F6" s="6">
        <v>0.4</v>
      </c>
      <c r="G6" s="1">
        <v>0.77</v>
      </c>
      <c r="H6" s="7">
        <f t="shared" si="2"/>
        <v>586.49976</v>
      </c>
      <c r="I6" s="8">
        <v>0.04</v>
      </c>
      <c r="J6" s="7">
        <f t="shared" si="3"/>
        <v>552.3446729</v>
      </c>
      <c r="K6" s="7">
        <f t="shared" si="4"/>
        <v>34.15508708</v>
      </c>
      <c r="L6" s="9">
        <f t="shared" si="5"/>
        <v>22.77005805</v>
      </c>
      <c r="M6" s="23">
        <f t="shared" si="6"/>
        <v>62.61765964</v>
      </c>
      <c r="N6" s="10">
        <f t="shared" si="7"/>
        <v>233.393095</v>
      </c>
    </row>
    <row r="7">
      <c r="A7" s="11" t="s">
        <v>19</v>
      </c>
      <c r="B7" s="12">
        <v>0.02</v>
      </c>
      <c r="C7" s="13">
        <f>B7*A17</f>
        <v>1269.48</v>
      </c>
      <c r="D7" s="16"/>
      <c r="E7" s="13">
        <f t="shared" si="1"/>
        <v>1269.48</v>
      </c>
      <c r="F7" s="25">
        <v>0.24</v>
      </c>
      <c r="G7" s="12">
        <v>0.77</v>
      </c>
      <c r="H7" s="13">
        <f t="shared" si="2"/>
        <v>234.599904</v>
      </c>
      <c r="I7" s="15">
        <v>0.05</v>
      </c>
      <c r="J7" s="13">
        <f t="shared" si="3"/>
        <v>217.6485328</v>
      </c>
      <c r="K7" s="13">
        <f t="shared" si="4"/>
        <v>16.95137117</v>
      </c>
      <c r="L7" s="16">
        <f t="shared" si="5"/>
        <v>11.30091411</v>
      </c>
      <c r="M7" s="26">
        <f t="shared" si="6"/>
        <v>31.07751381</v>
      </c>
      <c r="N7" s="10">
        <f t="shared" si="7"/>
        <v>115.8343697</v>
      </c>
    </row>
    <row r="8">
      <c r="A8" s="5" t="s">
        <v>20</v>
      </c>
      <c r="B8" s="6">
        <v>0.06</v>
      </c>
      <c r="C8" s="7">
        <f>B8*A17</f>
        <v>3808.44</v>
      </c>
      <c r="E8" s="7">
        <f t="shared" si="1"/>
        <v>3808.44</v>
      </c>
      <c r="G8" s="7"/>
      <c r="H8" s="7"/>
      <c r="I8" s="8">
        <v>0.05</v>
      </c>
    </row>
    <row r="9">
      <c r="A9" s="5" t="s">
        <v>21</v>
      </c>
      <c r="B9" s="6"/>
      <c r="C9" s="7">
        <f>B9*A17</f>
        <v>0</v>
      </c>
      <c r="E9" s="7">
        <f t="shared" si="1"/>
        <v>0</v>
      </c>
      <c r="H9" s="7"/>
      <c r="I9" s="8">
        <v>0.06</v>
      </c>
      <c r="L9" s="27" t="s">
        <v>22</v>
      </c>
      <c r="M9" s="28" t="s">
        <v>23</v>
      </c>
      <c r="N9" s="28" t="s">
        <v>24</v>
      </c>
      <c r="O9" s="29" t="s">
        <v>34</v>
      </c>
      <c r="P9" s="30" t="s">
        <v>26</v>
      </c>
    </row>
    <row r="10">
      <c r="A10" s="1" t="s">
        <v>27</v>
      </c>
      <c r="B10" s="1">
        <v>0.18</v>
      </c>
      <c r="C10" s="7">
        <f>B10*A17</f>
        <v>11425.32</v>
      </c>
      <c r="D10" s="1">
        <v>122.0</v>
      </c>
      <c r="E10" s="6">
        <f t="shared" si="1"/>
        <v>11547.32</v>
      </c>
      <c r="I10" s="1">
        <v>0.0</v>
      </c>
      <c r="L10" s="32">
        <f>sum(L2:L7)</f>
        <v>465.3440635</v>
      </c>
      <c r="M10" s="32">
        <f>(0.7)*L10</f>
        <v>325.7408444</v>
      </c>
      <c r="N10" s="32">
        <f>L10-M10</f>
        <v>139.603219</v>
      </c>
      <c r="O10" s="32">
        <f>sum(M2:M7)</f>
        <v>1279.696175</v>
      </c>
      <c r="P10" s="32">
        <f>(N10*25)+O10</f>
        <v>4769.776651</v>
      </c>
    </row>
    <row r="11">
      <c r="A11" s="1" t="s">
        <v>28</v>
      </c>
      <c r="B11" s="1">
        <v>0.02</v>
      </c>
      <c r="C11" s="7">
        <f>B11*A17</f>
        <v>1269.48</v>
      </c>
      <c r="D11" s="1">
        <v>68.0</v>
      </c>
      <c r="E11" s="7">
        <f t="shared" si="1"/>
        <v>1337.48</v>
      </c>
      <c r="I11" s="1">
        <v>0.0</v>
      </c>
    </row>
    <row r="12">
      <c r="A12" s="1" t="s">
        <v>29</v>
      </c>
      <c r="B12" s="1">
        <v>0.01</v>
      </c>
      <c r="C12" s="7">
        <f>B12*A17</f>
        <v>634.74</v>
      </c>
      <c r="D12" s="1">
        <v>1265.0</v>
      </c>
      <c r="E12" s="6">
        <f t="shared" si="1"/>
        <v>1899.74</v>
      </c>
      <c r="I12" s="1">
        <v>0.0</v>
      </c>
    </row>
    <row r="13">
      <c r="A13" s="1" t="s">
        <v>30</v>
      </c>
      <c r="B13" s="1">
        <v>0.01</v>
      </c>
      <c r="C13" s="7">
        <f>B13*A17</f>
        <v>634.74</v>
      </c>
      <c r="D13" s="1">
        <v>388.0</v>
      </c>
      <c r="E13" s="6">
        <f t="shared" si="1"/>
        <v>1022.74</v>
      </c>
      <c r="I13" s="1">
        <v>0.0</v>
      </c>
    </row>
    <row r="16">
      <c r="A16" s="1" t="s">
        <v>41</v>
      </c>
    </row>
    <row r="17">
      <c r="A17" s="1">
        <v>63474.0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43"/>
    <col customWidth="1" min="13" max="13" width="15.29"/>
    <col customWidth="1" min="16" max="16" width="21.57"/>
    <col customWidth="1" min="17" max="17" width="24.71"/>
    <col customWidth="1" min="18" max="18" width="20.0"/>
    <col customWidth="1" min="19" max="19" width="27.29"/>
  </cols>
  <sheetData>
    <row r="1">
      <c r="A1" s="4" t="s">
        <v>0</v>
      </c>
      <c r="B1" s="31" t="s">
        <v>1</v>
      </c>
      <c r="C1" s="4" t="s">
        <v>35</v>
      </c>
      <c r="D1" s="4" t="s">
        <v>3</v>
      </c>
      <c r="E1" s="4" t="s">
        <v>4</v>
      </c>
      <c r="F1" s="4" t="s">
        <v>42</v>
      </c>
      <c r="G1" s="4" t="s">
        <v>5</v>
      </c>
      <c r="H1" s="31" t="s">
        <v>7</v>
      </c>
      <c r="I1" s="38" t="s">
        <v>8</v>
      </c>
      <c r="J1" s="31" t="s">
        <v>9</v>
      </c>
      <c r="K1" s="31" t="s">
        <v>10</v>
      </c>
      <c r="L1" s="4" t="s">
        <v>43</v>
      </c>
      <c r="M1" s="3" t="s">
        <v>44</v>
      </c>
      <c r="N1" s="4" t="s">
        <v>13</v>
      </c>
      <c r="O1" s="31"/>
      <c r="P1" s="31"/>
      <c r="R1" s="22"/>
      <c r="S1" s="22"/>
    </row>
    <row r="2">
      <c r="A2" s="39" t="s">
        <v>14</v>
      </c>
      <c r="B2" s="40">
        <v>0.28</v>
      </c>
      <c r="C2" s="40">
        <f>B2*A17</f>
        <v>16645.72</v>
      </c>
      <c r="D2" s="40"/>
      <c r="E2" s="41">
        <f t="shared" ref="E2:E13" si="1">C2+D2</f>
        <v>16645.72</v>
      </c>
      <c r="F2" s="10">
        <f>0.15</f>
        <v>0.15</v>
      </c>
      <c r="G2" s="42">
        <v>0.77</v>
      </c>
      <c r="H2" s="40">
        <f t="shared" ref="H2:H7" si="2">F2*C2*G2</f>
        <v>1922.58066</v>
      </c>
      <c r="I2" s="40">
        <v>0.06</v>
      </c>
      <c r="J2" s="40">
        <f t="shared" ref="J2:J7" si="3">H2*EXP(-I2*(2020-2019.5))</f>
        <v>1865.759814</v>
      </c>
      <c r="K2" s="40">
        <f t="shared" ref="K2:K7" si="4">H2-J2</f>
        <v>56.82084562</v>
      </c>
      <c r="L2" s="10">
        <f t="shared" ref="L2:L7" si="5">(4/3)*K2*1/2</f>
        <v>37.88056374</v>
      </c>
      <c r="M2" s="23">
        <f t="shared" ref="M2:M7" si="6">K2*(1/2)*(44/12)</f>
        <v>104.1715503</v>
      </c>
      <c r="N2" s="10">
        <f t="shared" ref="N2:N7" si="7">(3/10)*25*L2+M2</f>
        <v>388.2757784</v>
      </c>
      <c r="O2" s="31"/>
      <c r="P2" s="10"/>
      <c r="R2" s="24"/>
      <c r="S2" s="24"/>
    </row>
    <row r="3">
      <c r="A3" s="39" t="s">
        <v>15</v>
      </c>
      <c r="B3" s="40">
        <v>0.02</v>
      </c>
      <c r="C3" s="40">
        <f>B3*A17</f>
        <v>1188.98</v>
      </c>
      <c r="D3" s="40"/>
      <c r="E3" s="41">
        <f t="shared" si="1"/>
        <v>1188.98</v>
      </c>
      <c r="F3" s="10">
        <v>0.17</v>
      </c>
      <c r="G3" s="42">
        <v>0.77</v>
      </c>
      <c r="H3" s="40">
        <f t="shared" si="2"/>
        <v>155.637482</v>
      </c>
      <c r="I3" s="40">
        <v>0.05</v>
      </c>
      <c r="J3" s="40">
        <f t="shared" si="3"/>
        <v>151.7947789</v>
      </c>
      <c r="K3" s="40">
        <f t="shared" si="4"/>
        <v>3.842703122</v>
      </c>
      <c r="L3" s="10">
        <f t="shared" si="5"/>
        <v>2.561802082</v>
      </c>
      <c r="M3" s="23">
        <f t="shared" si="6"/>
        <v>7.044955724</v>
      </c>
      <c r="N3" s="10">
        <f t="shared" si="7"/>
        <v>26.25847134</v>
      </c>
      <c r="O3" s="31"/>
      <c r="P3" s="10"/>
    </row>
    <row r="4">
      <c r="A4" s="4" t="s">
        <v>16</v>
      </c>
      <c r="B4" s="40">
        <v>0.37</v>
      </c>
      <c r="C4" s="40">
        <f>B4*A17</f>
        <v>21996.13</v>
      </c>
      <c r="D4" s="40">
        <f>300+4262</f>
        <v>4562</v>
      </c>
      <c r="E4" s="41">
        <f t="shared" si="1"/>
        <v>26558.13</v>
      </c>
      <c r="F4" s="40">
        <v>0.4</v>
      </c>
      <c r="G4" s="42">
        <v>0.77</v>
      </c>
      <c r="H4" s="40">
        <f t="shared" si="2"/>
        <v>6774.80804</v>
      </c>
      <c r="I4" s="40">
        <v>0.04</v>
      </c>
      <c r="J4" s="40">
        <f t="shared" si="3"/>
        <v>6640.657853</v>
      </c>
      <c r="K4" s="40">
        <f t="shared" si="4"/>
        <v>134.1501873</v>
      </c>
      <c r="L4" s="10">
        <f t="shared" si="5"/>
        <v>89.43345819</v>
      </c>
      <c r="M4" s="23">
        <f t="shared" si="6"/>
        <v>245.94201</v>
      </c>
      <c r="N4" s="10">
        <f t="shared" si="7"/>
        <v>916.6929464</v>
      </c>
      <c r="O4" s="31"/>
      <c r="P4" s="10"/>
    </row>
    <row r="5">
      <c r="A5" s="39" t="s">
        <v>17</v>
      </c>
      <c r="B5" s="43"/>
      <c r="C5" s="40">
        <f>B5*A17</f>
        <v>0</v>
      </c>
      <c r="D5" s="40"/>
      <c r="E5" s="41">
        <f t="shared" si="1"/>
        <v>0</v>
      </c>
      <c r="F5" s="40">
        <v>0.3</v>
      </c>
      <c r="G5" s="42">
        <v>0.77</v>
      </c>
      <c r="H5" s="40">
        <f t="shared" si="2"/>
        <v>0</v>
      </c>
      <c r="I5" s="40">
        <v>0.02</v>
      </c>
      <c r="J5" s="40">
        <f t="shared" si="3"/>
        <v>0</v>
      </c>
      <c r="K5" s="40">
        <f t="shared" si="4"/>
        <v>0</v>
      </c>
      <c r="L5" s="10">
        <f t="shared" si="5"/>
        <v>0</v>
      </c>
      <c r="M5" s="23">
        <f t="shared" si="6"/>
        <v>0</v>
      </c>
      <c r="N5" s="10">
        <f t="shared" si="7"/>
        <v>0</v>
      </c>
      <c r="O5" s="31"/>
      <c r="P5" s="10"/>
    </row>
    <row r="6">
      <c r="A6" s="39" t="s">
        <v>18</v>
      </c>
      <c r="B6" s="40">
        <v>0.03</v>
      </c>
      <c r="C6" s="40">
        <f>B6*A17</f>
        <v>1783.47</v>
      </c>
      <c r="D6" s="41">
        <v>27.0</v>
      </c>
      <c r="E6" s="41">
        <f t="shared" si="1"/>
        <v>1810.47</v>
      </c>
      <c r="F6" s="40">
        <v>0.4</v>
      </c>
      <c r="G6" s="42">
        <v>0.77</v>
      </c>
      <c r="H6" s="40">
        <f t="shared" si="2"/>
        <v>549.30876</v>
      </c>
      <c r="I6" s="40">
        <v>0.04</v>
      </c>
      <c r="J6" s="40">
        <f t="shared" si="3"/>
        <v>538.4317178</v>
      </c>
      <c r="K6" s="40">
        <f t="shared" si="4"/>
        <v>10.87704221</v>
      </c>
      <c r="L6" s="10">
        <f t="shared" si="5"/>
        <v>7.251361475</v>
      </c>
      <c r="M6" s="23">
        <f t="shared" si="6"/>
        <v>19.94124406</v>
      </c>
      <c r="N6" s="10">
        <f t="shared" si="7"/>
        <v>74.32645512</v>
      </c>
      <c r="O6" s="31"/>
      <c r="P6" s="10"/>
    </row>
    <row r="7">
      <c r="A7" s="44" t="s">
        <v>19</v>
      </c>
      <c r="B7" s="45">
        <v>0.02</v>
      </c>
      <c r="C7" s="40">
        <f>B7*A17</f>
        <v>1188.98</v>
      </c>
      <c r="D7" s="46"/>
      <c r="E7" s="41">
        <f t="shared" si="1"/>
        <v>1188.98</v>
      </c>
      <c r="F7" s="47">
        <v>0.24</v>
      </c>
      <c r="G7" s="48">
        <v>0.77</v>
      </c>
      <c r="H7" s="46">
        <f t="shared" si="2"/>
        <v>219.723504</v>
      </c>
      <c r="I7" s="46">
        <v>0.05</v>
      </c>
      <c r="J7" s="46">
        <f t="shared" si="3"/>
        <v>214.2985114</v>
      </c>
      <c r="K7" s="46">
        <f t="shared" si="4"/>
        <v>5.424992643</v>
      </c>
      <c r="L7" s="45">
        <f t="shared" si="5"/>
        <v>3.616661762</v>
      </c>
      <c r="M7" s="26">
        <f t="shared" si="6"/>
        <v>9.945819846</v>
      </c>
      <c r="N7" s="10">
        <f t="shared" si="7"/>
        <v>37.07078306</v>
      </c>
      <c r="O7" s="31"/>
      <c r="P7" s="10"/>
    </row>
    <row r="8">
      <c r="A8" s="39" t="s">
        <v>20</v>
      </c>
      <c r="B8" s="40">
        <v>0.06</v>
      </c>
      <c r="C8" s="40">
        <f>B8*A17</f>
        <v>3566.94</v>
      </c>
      <c r="D8" s="40"/>
      <c r="E8" s="41">
        <f t="shared" si="1"/>
        <v>3566.94</v>
      </c>
      <c r="G8" s="43"/>
      <c r="H8" s="43"/>
      <c r="I8" s="40">
        <v>0.05</v>
      </c>
      <c r="J8" s="31"/>
      <c r="K8" s="31"/>
      <c r="L8" s="31"/>
      <c r="N8" s="31"/>
      <c r="O8" s="31"/>
      <c r="P8" s="31"/>
    </row>
    <row r="9">
      <c r="A9" s="39" t="s">
        <v>21</v>
      </c>
      <c r="B9" s="43"/>
      <c r="C9" s="40">
        <f>B9*A17</f>
        <v>0</v>
      </c>
      <c r="D9" s="40"/>
      <c r="E9" s="41">
        <f t="shared" si="1"/>
        <v>0</v>
      </c>
      <c r="H9" s="43"/>
      <c r="I9" s="40">
        <v>0.06</v>
      </c>
      <c r="J9" s="31"/>
      <c r="K9" s="31"/>
      <c r="L9" s="27" t="s">
        <v>22</v>
      </c>
      <c r="M9" s="28" t="s">
        <v>23</v>
      </c>
      <c r="N9" s="28" t="s">
        <v>24</v>
      </c>
      <c r="O9" s="29" t="s">
        <v>34</v>
      </c>
      <c r="P9" s="30" t="s">
        <v>26</v>
      </c>
    </row>
    <row r="10">
      <c r="A10" s="31" t="s">
        <v>27</v>
      </c>
      <c r="B10" s="10">
        <v>0.18</v>
      </c>
      <c r="C10" s="40">
        <f>B10*A17</f>
        <v>10700.82</v>
      </c>
      <c r="D10" s="40">
        <f>39+83</f>
        <v>122</v>
      </c>
      <c r="E10" s="41">
        <f t="shared" si="1"/>
        <v>10822.82</v>
      </c>
      <c r="H10" s="31"/>
      <c r="I10" s="10">
        <v>0.0</v>
      </c>
      <c r="J10" s="31"/>
      <c r="K10" s="31"/>
      <c r="L10" s="32">
        <f>sum(L2:L7)</f>
        <v>140.7438473</v>
      </c>
      <c r="M10" s="32">
        <f>(0.7)*L10</f>
        <v>98.52069308</v>
      </c>
      <c r="N10" s="32">
        <f>L10-M10</f>
        <v>42.22315418</v>
      </c>
      <c r="O10" s="32">
        <f>sum(M2:M7)</f>
        <v>387.0455799</v>
      </c>
      <c r="P10" s="32">
        <f>(N10*25)+O10</f>
        <v>1442.624434</v>
      </c>
    </row>
    <row r="11">
      <c r="A11" s="31" t="s">
        <v>28</v>
      </c>
      <c r="B11" s="10">
        <v>0.02</v>
      </c>
      <c r="C11" s="40">
        <f>B11*A17</f>
        <v>1188.98</v>
      </c>
      <c r="D11" s="40">
        <f>72</f>
        <v>72</v>
      </c>
      <c r="E11" s="41">
        <f t="shared" si="1"/>
        <v>1260.98</v>
      </c>
      <c r="H11" s="31"/>
      <c r="I11" s="10">
        <v>0.0</v>
      </c>
      <c r="J11" s="31"/>
      <c r="K11" s="31"/>
    </row>
    <row r="12">
      <c r="A12" s="31" t="s">
        <v>29</v>
      </c>
      <c r="B12" s="10">
        <v>0.01</v>
      </c>
      <c r="C12" s="40">
        <f>B12*A17</f>
        <v>594.49</v>
      </c>
      <c r="D12" s="41">
        <v>1260.0</v>
      </c>
      <c r="E12" s="41">
        <f t="shared" si="1"/>
        <v>1854.49</v>
      </c>
      <c r="G12" s="9">
        <f t="shared" ref="G12:G17" si="8">G2*F2</f>
        <v>0.1155</v>
      </c>
      <c r="H12" s="31"/>
      <c r="I12" s="10">
        <v>0.0</v>
      </c>
      <c r="J12" s="31"/>
      <c r="K12" s="31"/>
      <c r="L12" s="31"/>
      <c r="N12" s="31"/>
      <c r="O12" s="31"/>
      <c r="P12" s="31"/>
    </row>
    <row r="13">
      <c r="A13" s="31" t="s">
        <v>30</v>
      </c>
      <c r="B13" s="10">
        <v>0.01</v>
      </c>
      <c r="C13" s="40">
        <f>B13*A17</f>
        <v>594.49</v>
      </c>
      <c r="D13" s="40">
        <f>400+391+226</f>
        <v>1017</v>
      </c>
      <c r="E13" s="41">
        <f t="shared" si="1"/>
        <v>1611.49</v>
      </c>
      <c r="G13" s="9">
        <f t="shared" si="8"/>
        <v>0.1309</v>
      </c>
      <c r="H13" s="31"/>
      <c r="I13" s="10">
        <v>0.0</v>
      </c>
      <c r="J13" s="31"/>
      <c r="K13" s="31"/>
      <c r="L13" s="31"/>
      <c r="N13" s="31"/>
      <c r="O13" s="31"/>
      <c r="P13" s="31"/>
    </row>
    <row r="14">
      <c r="G14" s="9">
        <f t="shared" si="8"/>
        <v>0.308</v>
      </c>
    </row>
    <row r="15">
      <c r="G15" s="9">
        <f t="shared" si="8"/>
        <v>0.231</v>
      </c>
    </row>
    <row r="16">
      <c r="A16" s="1" t="s">
        <v>31</v>
      </c>
      <c r="G16" s="9">
        <f t="shared" si="8"/>
        <v>0.308</v>
      </c>
    </row>
    <row r="17">
      <c r="A17" s="1">
        <v>59449.0</v>
      </c>
      <c r="G17" s="9">
        <f t="shared" si="8"/>
        <v>0.1848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6.57"/>
  </cols>
  <sheetData>
    <row r="1">
      <c r="A1" s="22" t="s">
        <v>45</v>
      </c>
    </row>
    <row r="2">
      <c r="A2" s="9">
        <f>SUM('2015'!P10+'2016'!P10+'2017'!P10+'2018'!P10+'2019'!P10)</f>
        <v>34001.66463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14"/>
  </cols>
  <sheetData>
    <row r="1">
      <c r="A1" s="4" t="s">
        <v>0</v>
      </c>
      <c r="B1" s="31" t="s">
        <v>1</v>
      </c>
      <c r="C1" s="1" t="s">
        <v>46</v>
      </c>
      <c r="D1" s="49" t="s">
        <v>47</v>
      </c>
    </row>
    <row r="2">
      <c r="A2" s="39" t="s">
        <v>14</v>
      </c>
      <c r="B2" s="40">
        <v>0.28</v>
      </c>
      <c r="C2" s="9">
        <v>0.11549999999999999</v>
      </c>
      <c r="D2" s="40">
        <v>0.06</v>
      </c>
    </row>
    <row r="3">
      <c r="A3" s="39" t="s">
        <v>15</v>
      </c>
      <c r="B3" s="40">
        <v>0.02</v>
      </c>
      <c r="C3" s="9">
        <v>0.13090000000000002</v>
      </c>
      <c r="D3" s="40">
        <v>0.05</v>
      </c>
    </row>
    <row r="4">
      <c r="A4" s="4" t="s">
        <v>16</v>
      </c>
      <c r="B4" s="40">
        <v>0.37</v>
      </c>
      <c r="C4" s="9">
        <v>0.30800000000000005</v>
      </c>
      <c r="D4" s="40">
        <v>0.04</v>
      </c>
    </row>
    <row r="5">
      <c r="A5" s="39" t="s">
        <v>18</v>
      </c>
      <c r="B5" s="40">
        <v>0.03</v>
      </c>
      <c r="C5" s="9">
        <v>0.30800000000000005</v>
      </c>
      <c r="D5" s="40">
        <v>0.04</v>
      </c>
    </row>
    <row r="6">
      <c r="A6" s="50" t="s">
        <v>19</v>
      </c>
      <c r="B6" s="51">
        <v>0.02</v>
      </c>
      <c r="C6">
        <v>0.1848</v>
      </c>
      <c r="D6" s="52">
        <v>0.05</v>
      </c>
    </row>
    <row r="10">
      <c r="A10" s="1" t="s">
        <v>48</v>
      </c>
      <c r="B10" s="1" t="s">
        <v>49</v>
      </c>
      <c r="C10" s="1" t="s">
        <v>50</v>
      </c>
      <c r="D10" s="1" t="s">
        <v>24</v>
      </c>
      <c r="G10" s="1" t="s">
        <v>48</v>
      </c>
      <c r="H10" s="1" t="s">
        <v>24</v>
      </c>
      <c r="I10" s="1" t="s">
        <v>51</v>
      </c>
      <c r="J10" s="1" t="s">
        <v>52</v>
      </c>
    </row>
    <row r="11">
      <c r="A11" s="1">
        <v>2015.0</v>
      </c>
      <c r="B11" s="53">
        <f>'2015'!L10</f>
        <v>1089.057489</v>
      </c>
      <c r="C11" s="53">
        <f>'2015'!M10</f>
        <v>762.3402426</v>
      </c>
      <c r="D11" s="53">
        <f>'2015'!N10</f>
        <v>326.7172468</v>
      </c>
      <c r="G11" s="1">
        <v>2015.0</v>
      </c>
      <c r="H11" s="53">
        <f>'2015'!N10</f>
        <v>326.7172468</v>
      </c>
      <c r="I11" s="53">
        <f>'2015'!O10</f>
        <v>2994.908096</v>
      </c>
      <c r="J11" s="53">
        <f>'2015'!P10</f>
        <v>11162.83927</v>
      </c>
    </row>
    <row r="12">
      <c r="A12" s="1">
        <v>2016.0</v>
      </c>
      <c r="B12" s="53">
        <f>'2016'!L10</f>
        <v>927.9680142</v>
      </c>
      <c r="C12" s="53">
        <f>'2016'!M10</f>
        <v>649.57761</v>
      </c>
      <c r="D12" s="53">
        <f>'2016'!N10</f>
        <v>278.3904043</v>
      </c>
      <c r="G12" s="1">
        <v>2016.0</v>
      </c>
      <c r="H12" s="53">
        <f>'2016'!N10</f>
        <v>278.3904043</v>
      </c>
      <c r="I12" s="53">
        <f>'2016'!O10</f>
        <v>2551.912039</v>
      </c>
      <c r="J12" s="53">
        <f>'2016'!P10</f>
        <v>9511.672146</v>
      </c>
    </row>
    <row r="13">
      <c r="A13" s="1">
        <v>2017.0</v>
      </c>
      <c r="B13" s="53">
        <f>'2017'!L10</f>
        <v>694.1221593</v>
      </c>
      <c r="C13" s="53">
        <f>'2017'!M10</f>
        <v>485.8855115</v>
      </c>
      <c r="D13" s="53">
        <f>'2017'!N10</f>
        <v>208.2366478</v>
      </c>
      <c r="G13" s="1">
        <v>2017.0</v>
      </c>
      <c r="H13" s="53">
        <f>'2017'!N10</f>
        <v>208.2366478</v>
      </c>
      <c r="I13" s="53">
        <f>'2017'!O10</f>
        <v>1908.835938</v>
      </c>
      <c r="J13" s="53">
        <f>'2017'!P10</f>
        <v>7114.752132</v>
      </c>
    </row>
    <row r="14">
      <c r="A14" s="1">
        <v>2018.0</v>
      </c>
      <c r="B14" s="53">
        <f>'2018'!L10</f>
        <v>465.3440635</v>
      </c>
      <c r="C14" s="53">
        <f>'2018'!M10</f>
        <v>325.7408444</v>
      </c>
      <c r="D14" s="53">
        <f>'2018'!N10</f>
        <v>139.603219</v>
      </c>
      <c r="G14" s="1">
        <v>2018.0</v>
      </c>
      <c r="H14" s="53">
        <f>'2018'!N10</f>
        <v>139.603219</v>
      </c>
      <c r="I14" s="53">
        <f>'2018'!O10</f>
        <v>1279.696175</v>
      </c>
      <c r="J14" s="53">
        <f>'2018'!P10</f>
        <v>4769.776651</v>
      </c>
    </row>
    <row r="15">
      <c r="A15" s="1">
        <v>2019.0</v>
      </c>
      <c r="B15" s="53">
        <f>'2019'!L10</f>
        <v>140.7438473</v>
      </c>
      <c r="C15" s="53">
        <f>'2019'!M10</f>
        <v>98.52069308</v>
      </c>
      <c r="D15" s="53">
        <f>'2019'!N10</f>
        <v>42.22315418</v>
      </c>
      <c r="G15" s="1">
        <v>2019.0</v>
      </c>
      <c r="H15" s="53">
        <f>'2019'!N10</f>
        <v>42.22315418</v>
      </c>
      <c r="I15" s="53">
        <f>'2019'!O10</f>
        <v>387.0455799</v>
      </c>
      <c r="J15" s="53">
        <f>'2019'!P10</f>
        <v>1442.624434</v>
      </c>
    </row>
    <row r="16">
      <c r="A16" s="1" t="s">
        <v>53</v>
      </c>
      <c r="B16" s="53">
        <f t="shared" ref="B16:D16" si="1">sum(B11:B15)</f>
        <v>3317.235574</v>
      </c>
      <c r="C16" s="53">
        <f t="shared" si="1"/>
        <v>2322.064902</v>
      </c>
      <c r="D16" s="53">
        <f t="shared" si="1"/>
        <v>995.1706721</v>
      </c>
      <c r="G16" s="1" t="s">
        <v>53</v>
      </c>
      <c r="H16" s="53">
        <f t="shared" ref="H16:J16" si="2">sum(H11:H15)</f>
        <v>995.1706721</v>
      </c>
      <c r="I16" s="53">
        <f t="shared" si="2"/>
        <v>9122.397828</v>
      </c>
      <c r="J16" s="53">
        <f t="shared" si="2"/>
        <v>34001.66463</v>
      </c>
    </row>
    <row r="18">
      <c r="B18" s="54" t="s">
        <v>54</v>
      </c>
    </row>
    <row r="19">
      <c r="A19" s="4" t="s">
        <v>0</v>
      </c>
      <c r="B19" s="1">
        <v>2015.0</v>
      </c>
      <c r="C19" s="1">
        <v>2016.0</v>
      </c>
      <c r="D19" s="1">
        <v>2017.0</v>
      </c>
      <c r="E19" s="1">
        <v>2018.0</v>
      </c>
      <c r="F19" s="1">
        <v>2019.0</v>
      </c>
      <c r="G19" s="1" t="s">
        <v>55</v>
      </c>
    </row>
    <row r="20">
      <c r="A20" s="39" t="s">
        <v>14</v>
      </c>
      <c r="B20" s="55">
        <f>'2015'!N2</f>
        <v>2923.47212</v>
      </c>
      <c r="C20" s="55">
        <f>'2016'!N2</f>
        <v>2507.730081</v>
      </c>
      <c r="D20" s="55">
        <f>'2017'!N2</f>
        <v>1888.546116</v>
      </c>
      <c r="E20" s="55">
        <f>'2018'!N2</f>
        <v>1207.297529</v>
      </c>
      <c r="F20" s="55">
        <f>'2019'!N2</f>
        <v>388.2757784</v>
      </c>
      <c r="G20" s="55">
        <f t="shared" ref="G20:G24" si="3">sum(B20:F20)</f>
        <v>8915.321625</v>
      </c>
    </row>
    <row r="21">
      <c r="A21" s="39" t="s">
        <v>15</v>
      </c>
      <c r="B21" s="55">
        <f>'2015'!N3</f>
        <v>201.5191384</v>
      </c>
      <c r="C21" s="55">
        <f>'2016'!N3</f>
        <v>172.0622656</v>
      </c>
      <c r="D21" s="55">
        <f>'2017'!N3</f>
        <v>128.9675021</v>
      </c>
      <c r="E21" s="55">
        <f>'2018'!N3</f>
        <v>82.04934518</v>
      </c>
      <c r="F21" s="55">
        <f>'2019'!N3</f>
        <v>26.25847134</v>
      </c>
      <c r="G21" s="55">
        <f t="shared" si="3"/>
        <v>610.8567226</v>
      </c>
    </row>
    <row r="22">
      <c r="A22" s="4" t="s">
        <v>16</v>
      </c>
      <c r="B22" s="55">
        <f>'2015'!N4</f>
        <v>7171.849121</v>
      </c>
      <c r="C22" s="55">
        <f>'2016'!N4</f>
        <v>6094.795738</v>
      </c>
      <c r="D22" s="55">
        <f>'2017'!N4</f>
        <v>4546.52924</v>
      </c>
      <c r="E22" s="55">
        <f>'2018'!N4</f>
        <v>3131.202312</v>
      </c>
      <c r="F22" s="55">
        <f>'2019'!N4</f>
        <v>916.6929464</v>
      </c>
      <c r="G22" s="55">
        <f t="shared" si="3"/>
        <v>21861.06936</v>
      </c>
    </row>
    <row r="23">
      <c r="A23" s="39" t="s">
        <v>18</v>
      </c>
      <c r="B23" s="55">
        <f>'2015'!N6</f>
        <v>581.5012801</v>
      </c>
      <c r="C23" s="55">
        <f>'2016'!N6</f>
        <v>494.1726274</v>
      </c>
      <c r="D23" s="55">
        <f>'2017'!N6</f>
        <v>368.637506</v>
      </c>
      <c r="E23" s="55">
        <f>'2018'!N6</f>
        <v>233.393095</v>
      </c>
      <c r="F23" s="55">
        <f>'2019'!N6</f>
        <v>74.32645512</v>
      </c>
      <c r="G23" s="55">
        <f t="shared" si="3"/>
        <v>1752.030964</v>
      </c>
    </row>
    <row r="24">
      <c r="A24" s="39" t="s">
        <v>19</v>
      </c>
      <c r="B24" s="55">
        <f>'2015'!N7</f>
        <v>284.4976072</v>
      </c>
      <c r="C24" s="55">
        <f>'2016'!N7</f>
        <v>242.9114337</v>
      </c>
      <c r="D24" s="55">
        <f>'2017'!N7</f>
        <v>182.0717676</v>
      </c>
      <c r="E24" s="55">
        <f>'2018'!N7</f>
        <v>115.8343697</v>
      </c>
      <c r="F24" s="55">
        <f>'2019'!N7</f>
        <v>37.07078306</v>
      </c>
      <c r="G24" s="55">
        <f t="shared" si="3"/>
        <v>862.3859613</v>
      </c>
    </row>
    <row r="27">
      <c r="G27" s="1" t="s">
        <v>56</v>
      </c>
      <c r="H27" s="56" t="s">
        <v>57</v>
      </c>
    </row>
    <row r="28">
      <c r="G28" s="1">
        <v>2015.0</v>
      </c>
    </row>
    <row r="29">
      <c r="G29" s="1">
        <v>2016.0</v>
      </c>
    </row>
    <row r="30">
      <c r="G30" s="1">
        <v>2017.0</v>
      </c>
    </row>
    <row r="31">
      <c r="G31" s="1">
        <v>2018.0</v>
      </c>
    </row>
    <row r="32">
      <c r="G32" s="1">
        <v>2019.0</v>
      </c>
    </row>
  </sheetData>
  <mergeCells count="1">
    <mergeCell ref="B18:F18"/>
  </mergeCells>
  <drawing r:id="rId1"/>
</worksheet>
</file>