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wpi0-my.sharepoint.com/personal/dschwartz_wpi_edu/Documents/Junior Year/IQP/excel sheets/electric/"/>
    </mc:Choice>
  </mc:AlternateContent>
  <xr:revisionPtr revIDLastSave="143" documentId="8_{D68ED31B-F313-4935-9CAE-FC8CCDCE9392}" xr6:coauthVersionLast="46" xr6:coauthVersionMax="46" xr10:uidLastSave="{F0274557-4B27-4F0D-8EA5-0CE9CFB8D913}"/>
  <bookViews>
    <workbookView xWindow="-108" yWindow="-108" windowWidth="23256" windowHeight="12576" activeTab="2" xr2:uid="{00000000-000D-0000-FFFF-FFFF00000000}"/>
  </bookViews>
  <sheets>
    <sheet name="Sheet1" sheetId="1" r:id="rId1"/>
    <sheet name="Model 2.1" sheetId="2" r:id="rId2"/>
    <sheet name="Model 2.2" sheetId="4" r:id="rId3"/>
    <sheet name="Model 3" sheetId="3" r:id="rId4"/>
  </sheets>
  <externalReferences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4" l="1"/>
  <c r="J26" i="3" l="1"/>
  <c r="J25" i="3"/>
  <c r="H4" i="4"/>
  <c r="H5" i="4"/>
  <c r="H6" i="4"/>
  <c r="H7" i="4"/>
  <c r="H8" i="4"/>
  <c r="H9" i="4"/>
  <c r="H10" i="4"/>
  <c r="H11" i="4"/>
  <c r="H12" i="4"/>
  <c r="H13" i="4"/>
  <c r="H14" i="4"/>
  <c r="H15" i="4"/>
  <c r="G34" i="4"/>
  <c r="G35" i="4"/>
  <c r="G36" i="4"/>
  <c r="G37" i="4"/>
  <c r="G38" i="4"/>
  <c r="G39" i="4"/>
  <c r="G40" i="4"/>
  <c r="G41" i="4"/>
  <c r="G42" i="4"/>
  <c r="G43" i="4"/>
  <c r="G44" i="4"/>
  <c r="G45" i="4"/>
  <c r="G33" i="4"/>
  <c r="B34" i="4"/>
  <c r="B35" i="4"/>
  <c r="D35" i="4" s="1"/>
  <c r="B36" i="4"/>
  <c r="B37" i="4"/>
  <c r="B38" i="4"/>
  <c r="B39" i="4"/>
  <c r="D39" i="4" s="1"/>
  <c r="B40" i="4"/>
  <c r="B41" i="4"/>
  <c r="D41" i="4" s="1"/>
  <c r="B42" i="4"/>
  <c r="B43" i="4"/>
  <c r="D43" i="4" s="1"/>
  <c r="B44" i="4"/>
  <c r="B45" i="4"/>
  <c r="B33" i="4"/>
  <c r="D34" i="4"/>
  <c r="D36" i="4"/>
  <c r="D37" i="4"/>
  <c r="D38" i="4"/>
  <c r="D40" i="4"/>
  <c r="D42" i="4"/>
  <c r="D44" i="4"/>
  <c r="D45" i="4"/>
  <c r="D33" i="4"/>
  <c r="I34" i="4"/>
  <c r="I35" i="4"/>
  <c r="I36" i="4"/>
  <c r="I37" i="4"/>
  <c r="I38" i="4"/>
  <c r="I39" i="4"/>
  <c r="I40" i="4"/>
  <c r="I41" i="4"/>
  <c r="I42" i="4"/>
  <c r="I43" i="4"/>
  <c r="I44" i="4"/>
  <c r="I45" i="4"/>
  <c r="I33" i="4"/>
  <c r="Q35" i="3"/>
  <c r="P35" i="3"/>
  <c r="N35" i="3"/>
  <c r="Q34" i="3"/>
  <c r="P34" i="3"/>
  <c r="N34" i="3"/>
  <c r="Q33" i="3"/>
  <c r="P33" i="3"/>
  <c r="N33" i="3"/>
  <c r="Q32" i="3"/>
  <c r="P32" i="3"/>
  <c r="N32" i="3"/>
  <c r="Q31" i="3"/>
  <c r="P31" i="3"/>
  <c r="N31" i="3"/>
  <c r="J31" i="3"/>
  <c r="I31" i="3"/>
  <c r="G31" i="3"/>
  <c r="Q30" i="3"/>
  <c r="P30" i="3"/>
  <c r="N30" i="3"/>
  <c r="J30" i="3"/>
  <c r="I30" i="3"/>
  <c r="Q29" i="3"/>
  <c r="P29" i="3"/>
  <c r="N29" i="3"/>
  <c r="J29" i="3"/>
  <c r="I29" i="3"/>
  <c r="Q28" i="3"/>
  <c r="P28" i="3"/>
  <c r="N28" i="3"/>
  <c r="J28" i="3"/>
  <c r="I28" i="3"/>
  <c r="Q27" i="3"/>
  <c r="P27" i="3"/>
  <c r="N27" i="3"/>
  <c r="J27" i="3"/>
  <c r="I27" i="3"/>
  <c r="Q26" i="3"/>
  <c r="P26" i="3"/>
  <c r="N26" i="3"/>
  <c r="I26" i="3"/>
  <c r="Q25" i="3"/>
  <c r="P25" i="3"/>
  <c r="N25" i="3"/>
  <c r="I25" i="3"/>
  <c r="Q24" i="3"/>
  <c r="P24" i="3"/>
  <c r="N24" i="3"/>
  <c r="J24" i="3"/>
  <c r="I24" i="3"/>
  <c r="Q23" i="3"/>
  <c r="P23" i="3"/>
  <c r="N23" i="3"/>
  <c r="J23" i="3"/>
  <c r="I23" i="3"/>
  <c r="J22" i="3"/>
  <c r="I22" i="3"/>
  <c r="J21" i="3"/>
  <c r="I21" i="3"/>
  <c r="J20" i="3"/>
  <c r="I20" i="3"/>
  <c r="J19" i="3"/>
  <c r="I19" i="3"/>
  <c r="J15" i="3"/>
  <c r="I15" i="3"/>
  <c r="H15" i="3"/>
  <c r="C5" i="3"/>
  <c r="C4" i="3"/>
  <c r="C3" i="3"/>
  <c r="F16" i="4"/>
  <c r="B16" i="4"/>
  <c r="J15" i="4"/>
  <c r="J16" i="4" s="1"/>
  <c r="G15" i="4"/>
  <c r="F15" i="4"/>
  <c r="C15" i="4"/>
  <c r="B15" i="4"/>
  <c r="K14" i="4"/>
  <c r="J14" i="4"/>
  <c r="K13" i="4"/>
  <c r="J13" i="4"/>
  <c r="K12" i="4"/>
  <c r="J12" i="4"/>
  <c r="K11" i="4"/>
  <c r="J11" i="4"/>
  <c r="K10" i="4"/>
  <c r="J10" i="4"/>
  <c r="K9" i="4"/>
  <c r="J9" i="4"/>
  <c r="K8" i="4"/>
  <c r="J8" i="4"/>
  <c r="K7" i="4"/>
  <c r="J7" i="4"/>
  <c r="K6" i="4"/>
  <c r="J6" i="4"/>
  <c r="K5" i="4"/>
  <c r="J5" i="4"/>
  <c r="K4" i="4"/>
  <c r="J4" i="4"/>
  <c r="K3" i="4"/>
  <c r="K15" i="4" s="1"/>
  <c r="K16" i="4" s="1"/>
  <c r="J3" i="4"/>
  <c r="P35" i="2"/>
  <c r="O35" i="2"/>
  <c r="N35" i="2"/>
  <c r="P34" i="2"/>
  <c r="O34" i="2"/>
  <c r="N34" i="2"/>
  <c r="P33" i="2"/>
  <c r="O33" i="2"/>
  <c r="N33" i="2"/>
  <c r="P32" i="2"/>
  <c r="O32" i="2"/>
  <c r="N32" i="2"/>
  <c r="P31" i="2"/>
  <c r="O31" i="2"/>
  <c r="N31" i="2"/>
  <c r="P30" i="2"/>
  <c r="O30" i="2"/>
  <c r="N30" i="2"/>
  <c r="P29" i="2"/>
  <c r="O29" i="2"/>
  <c r="N29" i="2"/>
  <c r="P28" i="2"/>
  <c r="O28" i="2"/>
  <c r="N28" i="2"/>
  <c r="P27" i="2"/>
  <c r="O27" i="2"/>
  <c r="N27" i="2"/>
  <c r="P26" i="2"/>
  <c r="O26" i="2"/>
  <c r="N26" i="2"/>
  <c r="P25" i="2"/>
  <c r="O25" i="2"/>
  <c r="N25" i="2"/>
  <c r="P24" i="2"/>
  <c r="O24" i="2"/>
  <c r="N24" i="2"/>
  <c r="P23" i="2"/>
  <c r="O23" i="2"/>
  <c r="N23" i="2"/>
</calcChain>
</file>

<file path=xl/sharedStrings.xml><?xml version="1.0" encoding="utf-8"?>
<sst xmlns="http://schemas.openxmlformats.org/spreadsheetml/2006/main" count="154" uniqueCount="47">
  <si>
    <t>Grid</t>
  </si>
  <si>
    <t>GT</t>
  </si>
  <si>
    <t>PV</t>
  </si>
  <si>
    <t>Energy (MWh)</t>
  </si>
  <si>
    <t>Emissions (tons CO2eq)</t>
  </si>
  <si>
    <t>monthly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</si>
  <si>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</si>
  <si>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</si>
  <si>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</si>
  <si>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</si>
  <si>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</si>
  <si>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</si>
  <si>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</si>
  <si>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</si>
  <si>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</si>
  <si>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</si>
  <si>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</si>
  <si>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</si>
  <si>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</si>
  <si>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PV fields</t>
  </si>
  <si>
    <t>PV roofs</t>
  </si>
  <si>
    <t>PV total</t>
  </si>
  <si>
    <t>Month</t>
  </si>
  <si>
    <t>Total</t>
  </si>
  <si>
    <t>PV fields (GWh)</t>
  </si>
  <si>
    <t>PV roofs (GWh)</t>
  </si>
  <si>
    <t>GT (GWh)</t>
  </si>
  <si>
    <t>Grid (GWh)</t>
  </si>
  <si>
    <t>annual</t>
  </si>
  <si>
    <t>rooftop PV</t>
  </si>
  <si>
    <t>gas turbines</t>
  </si>
  <si>
    <t>MWh</t>
  </si>
  <si>
    <t>Rooftop PV</t>
  </si>
  <si>
    <t>Eilat Gas turbines</t>
  </si>
  <si>
    <t>General Grid</t>
  </si>
  <si>
    <t>general grid</t>
  </si>
  <si>
    <t>PV Supply (MWh)</t>
  </si>
  <si>
    <t>emissions</t>
  </si>
  <si>
    <t>PV Supply</t>
  </si>
  <si>
    <t>Grid Supply (MWh)</t>
  </si>
  <si>
    <t>2019, Scaled</t>
  </si>
  <si>
    <t>PV Supply (GWh)</t>
  </si>
  <si>
    <t>Grid Supply (GWh)</t>
  </si>
  <si>
    <t>Arava AC Supply</t>
  </si>
  <si>
    <t>General Fossil Fuel Supply (MWh)</t>
  </si>
  <si>
    <t>Fossil Fuel Supply</t>
  </si>
  <si>
    <t>Eilat Gas Turbines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</si>
</sst>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7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Model II Annual Energy Composition (Popuylation Scaled)</a:t>
            </a:r>
          </a:p>
        </c:rich>
      </c:tx>
      <c:layout>
        <c:manualLayout>
          <c:xMode val="edge"/>
          <c:yMode val="edge"/>
          <c:x val="0.14929155730533683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118525809273841"/>
          <c:y val="0.18819444444444444"/>
          <c:w val="0.45652777777777775"/>
          <c:h val="0.7608796296296295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2ADF-4EE5-90BA-2CF53F2A8189}"/>
              </c:ext>
            </c:extLst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ADF-4EE5-90BA-2CF53F2A8189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2ADF-4EE5-90BA-2CF53F2A8189}"/>
              </c:ext>
            </c:extLst>
          </c:dPt>
          <c:dLbls>
            <c:dLbl>
              <c:idx val="0"/>
              <c:layout>
                <c:manualLayout>
                  <c:x val="4.4261811023622095E-2"/>
                  <c:y val="2.583552055992994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ADF-4EE5-90BA-2CF53F2A8189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'Model 2.1'!$B$3:$B$5</c:f>
              <c:strCache>
                <c:ptCount val="3"/>
                <c:pt idx="0">
                  <c:v>rooftop PV</c:v>
                </c:pt>
                <c:pt idx="1">
                  <c:v>gas turbines</c:v>
                </c:pt>
                <c:pt idx="2">
                  <c:v>general grid</c:v>
                </c:pt>
              </c:strCache>
            </c:strRef>
          </c:cat>
          <c:val>
            <c:numRef>
              <c:f>'Model 2.1'!$C$3:$C$5</c:f>
              <c:numCache>
                <c:formatCode>General</c:formatCode>
                <c:ptCount val="3"/>
                <c:pt idx="0">
                  <c:v>10338.883133313</c:v>
                </c:pt>
                <c:pt idx="1">
                  <c:v>669398.73630362004</c:v>
                </c:pt>
                <c:pt idx="2">
                  <c:v>93668.986161909997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DF-4EE5-90BA-2CF53F2A818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Model II: Monthly Energy Composition (2019 scaled)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'Model 2.1'!$O$1</c:f>
              <c:strCache>
                <c:ptCount val="1"/>
                <c:pt idx="0">
                  <c:v>Eilat Gas turbines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'Model 2.1'!$M$2:$M$13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'Model 2.1'!$O$2:$O$13</c:f>
              <c:numCache>
                <c:formatCode>General</c:formatCode>
                <c:ptCount val="12"/>
                <c:pt idx="0">
                  <c:v>50541.18163757</c:v>
                </c:pt>
                <c:pt idx="1">
                  <c:v>43738.405260243097</c:v>
                </c:pt>
                <c:pt idx="2">
                  <c:v>48552.030141451098</c:v>
                </c:pt>
                <c:pt idx="3">
                  <c:v>53281.177382677502</c:v>
                </c:pt>
                <c:pt idx="4">
                  <c:v>57959.3321278476</c:v>
                </c:pt>
                <c:pt idx="5">
                  <c:v>60893.215805584601</c:v>
                </c:pt>
                <c:pt idx="6">
                  <c:v>64819.044319390297</c:v>
                </c:pt>
                <c:pt idx="7">
                  <c:v>64987.611023092599</c:v>
                </c:pt>
                <c:pt idx="8">
                  <c:v>62379.604055128002</c:v>
                </c:pt>
                <c:pt idx="9">
                  <c:v>59355.554516579003</c:v>
                </c:pt>
                <c:pt idx="10">
                  <c:v>51557.262600197799</c:v>
                </c:pt>
                <c:pt idx="11">
                  <c:v>51334.317433787903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25-4C51-B223-E6E6DF19C804}"/>
            </c:ext>
          </c:extLst>
        </c:ser>
        <c:ser>
          <c:idx val="0"/>
          <c:order val="1"/>
          <c:tx>
            <c:strRef>
              <c:f>'Model 2.1'!$N$1</c:f>
              <c:strCache>
                <c:ptCount val="1"/>
                <c:pt idx="0">
                  <c:v>Rooftop PV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'Model 2.1'!$M$2:$M$13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'Model 2.1'!$N$2:$N$13</c:f>
              <c:numCache>
                <c:formatCode>General</c:formatCode>
                <c:ptCount val="12"/>
                <c:pt idx="0">
                  <c:v>712.02839680099999</c:v>
                </c:pt>
                <c:pt idx="1">
                  <c:v>758.59287642699996</c:v>
                </c:pt>
                <c:pt idx="2">
                  <c:v>932.72979601099996</c:v>
                </c:pt>
                <c:pt idx="3">
                  <c:v>957.73871685799998</c:v>
                </c:pt>
                <c:pt idx="4">
                  <c:v>978.70632443099998</c:v>
                </c:pt>
                <c:pt idx="5">
                  <c:v>958.47706785299999</c:v>
                </c:pt>
                <c:pt idx="6">
                  <c:v>969.82458449299997</c:v>
                </c:pt>
                <c:pt idx="7">
                  <c:v>1037.4455020610001</c:v>
                </c:pt>
                <c:pt idx="8">
                  <c:v>952.41456322500096</c:v>
                </c:pt>
                <c:pt idx="9">
                  <c:v>809.18768481100005</c:v>
                </c:pt>
                <c:pt idx="10">
                  <c:v>624.41043096600004</c:v>
                </c:pt>
                <c:pt idx="11">
                  <c:v>647.32718937599998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25-4C51-B223-E6E6DF19C804}"/>
            </c:ext>
          </c:extLst>
        </c:ser>
        <c:ser>
          <c:idx val="2"/>
          <c:order val="2"/>
          <c:tx>
            <c:strRef>
              <c:f>'Model 2.1'!$P$1</c:f>
              <c:strCache>
                <c:ptCount val="1"/>
                <c:pt idx="0">
                  <c:v>General Grid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'Model 2.1'!$M$2:$M$13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'Model 2.1'!$P$2:$P$13</c:f>
              <c:numCache>
                <c:formatCode>General</c:formatCode>
                <c:ptCount val="12"/>
                <c:pt idx="0">
                  <c:v>246.01485437371201</c:v>
                </c:pt>
                <c:pt idx="1">
                  <c:v>71.610375135953703</c:v>
                </c:pt>
                <c:pt idx="2">
                  <c:v>115.785569637357</c:v>
                </c:pt>
                <c:pt idx="3">
                  <c:v>2307.9758294769899</c:v>
                </c:pt>
                <c:pt idx="4">
                  <c:v>4807.5373427232298</c:v>
                </c:pt>
                <c:pt idx="5">
                  <c:v>11374.102922562501</c:v>
                </c:pt>
                <c:pt idx="6">
                  <c:v>18726.364655412199</c:v>
                </c:pt>
                <c:pt idx="7">
                  <c:v>28115.555102767201</c:v>
                </c:pt>
                <c:pt idx="8">
                  <c:v>17084.128254806201</c:v>
                </c:pt>
                <c:pt idx="9">
                  <c:v>6412.7733517443303</c:v>
                </c:pt>
                <c:pt idx="10">
                  <c:v>2622.3121516175102</c:v>
                </c:pt>
                <c:pt idx="11">
                  <c:v>1784.8257516528299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25-4C51-B223-E6E6DF19C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1662776"/>
        <c:axId val="881669336"/>
      </c:barChart>
      <c:catAx>
        <c:axId val="881662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669336"/>
        <c:crosses val="autoZero"/>
        <c:auto val="1"/>
        <c:lblAlgn val="ctr"/>
        <c:lblOffset val="100"/>
        <c:noMultiLvlLbl val="0"/>
      </c:catAx>
      <c:valAx>
        <c:axId val="881669336"/>
        <c:scaling>
          <c:orientation val="minMax"/>
          <c:max val="9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662776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A38-49DB-B08F-5CD085B54A2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9A38-49DB-B08F-5CD085B54A2C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'Model 2.2'!$B$17:$C$17</c:f>
              <c:strCache>
                <c:ptCount val="2"/>
                <c:pt idx="0">
                  <c:v>PV Supply</c:v>
                </c:pt>
                <c:pt idx="1">
                  <c:v>Fossil Fuel Supply</c:v>
                </c:pt>
              </c:strCache>
            </c:strRef>
          </c:cat>
          <c:val>
            <c:numRef>
              <c:f>'Model 2.2'!$B$15:$C$15</c:f>
              <c:numCache>
                <c:formatCode>General</c:formatCode>
                <c:ptCount val="2"/>
                <c:pt idx="0">
                  <c:v>219325.31648453948</c:v>
                </c:pt>
                <c:pt idx="1">
                  <c:v>495795.28138734074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38-49DB-B08F-5CD085B54A2C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58782221758703"/>
          <c:y val="0.46201278031735393"/>
          <c:w val="0.34763171159896405"/>
          <c:h val="0.26595888279922453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Model II: Annual Energy Composition</a:t>
            </a:r>
          </a:p>
          <a:p>
            <a:pPr>
              <a:defRPr/>
            </a:pPr>
            <a:r>
              <a:rPr lang="en-US" sz="1200" b="1" i="0" baseline="0">
                <a:effectLst/>
              </a:rPr>
              <a:t> (2019, scaled)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0E5-4645-A685-FE4CD23262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0E5-4645-A685-FE4CD2326295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'Model 2.2'!$B$17:$C$17</c:f>
              <c:strCache>
                <c:ptCount val="2"/>
                <c:pt idx="0">
                  <c:v>PV Supply</c:v>
                </c:pt>
                <c:pt idx="1">
                  <c:v>Fossil Fuel Supply</c:v>
                </c:pt>
              </c:strCache>
            </c:strRef>
          </c:cat>
          <c:val>
            <c:numRef>
              <c:f>'Model 2.2'!$F$15:$G$15</c:f>
              <c:numCache>
                <c:formatCode>General</c:formatCode>
                <c:ptCount val="2"/>
                <c:pt idx="0">
                  <c:v>229370.60146619301</c:v>
                </c:pt>
                <c:pt idx="1">
                  <c:v>544036.00413257547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F-4CDE-828A-C0F7C93EC06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341246966770662"/>
          <c:y val="0.43550914186574141"/>
          <c:w val="0.19430515525181991"/>
          <c:h val="0.28107478090662397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Model II: Energy</a:t>
            </a:r>
            <a:r>
              <a:rPr lang="en-US" sz="1200" baseline="0"/>
              <a:t> Composition by Month (2019 sclaed)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930950938824961E-2"/>
          <c:y val="0.16041666666666668"/>
          <c:w val="0.7202577128231179"/>
          <c:h val="0.7321839457567803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'Model 2.2'!$K$2</c:f>
              <c:strCache>
                <c:ptCount val="1"/>
                <c:pt idx="0">
                  <c:v>Fossil Fuel Supply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'Model 2.2'!$E$3:$E$14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'Model 2.2'!$G$3:$G$14</c:f>
              <c:numCache>
                <c:formatCode>General</c:formatCode>
                <c:ptCount val="12"/>
                <c:pt idx="0">
                  <c:v>36012.589984391103</c:v>
                </c:pt>
                <c:pt idx="1">
                  <c:v>29226.230841437598</c:v>
                </c:pt>
                <c:pt idx="2">
                  <c:v>32486.258294259402</c:v>
                </c:pt>
                <c:pt idx="3">
                  <c:v>37460.248448734601</c:v>
                </c:pt>
                <c:pt idx="4">
                  <c:v>43423.601779393903</c:v>
                </c:pt>
                <c:pt idx="5">
                  <c:v>51015.803794334199</c:v>
                </c:pt>
                <c:pt idx="6">
                  <c:v>60149.802369318299</c:v>
                </c:pt>
                <c:pt idx="7">
                  <c:v>67160.415903686502</c:v>
                </c:pt>
                <c:pt idx="8">
                  <c:v>56505.002761378099</c:v>
                </c:pt>
                <c:pt idx="9">
                  <c:v>48098.749976823397</c:v>
                </c:pt>
                <c:pt idx="10">
                  <c:v>41138.080485188999</c:v>
                </c:pt>
                <c:pt idx="11">
                  <c:v>41359.219493629404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A2-48EE-A917-DD91E8B52134}"/>
            </c:ext>
          </c:extLst>
        </c:ser>
        <c:ser>
          <c:idx val="0"/>
          <c:order val="1"/>
          <c:tx>
            <c:strRef>
              <c:f>'Model 2.2'!$B$17</c:f>
              <c:strCache>
                <c:ptCount val="1"/>
                <c:pt idx="0">
                  <c:v>PV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'Model 2.2'!$E$3:$E$14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'Model 2.2'!$F$3:$F$14</c:f>
              <c:numCache>
                <c:formatCode>General</c:formatCode>
                <c:ptCount val="12"/>
                <c:pt idx="0">
                  <c:v>15486.634904353499</c:v>
                </c:pt>
                <c:pt idx="1">
                  <c:v>15342.3776703684</c:v>
                </c:pt>
                <c:pt idx="2">
                  <c:v>17114.2872128401</c:v>
                </c:pt>
                <c:pt idx="3">
                  <c:v>19086.6434802777</c:v>
                </c:pt>
                <c:pt idx="4">
                  <c:v>20321.974015607699</c:v>
                </c:pt>
                <c:pt idx="5">
                  <c:v>22209.9920016654</c:v>
                </c:pt>
                <c:pt idx="6">
                  <c:v>24365.4311899764</c:v>
                </c:pt>
                <c:pt idx="7">
                  <c:v>26980.195724233501</c:v>
                </c:pt>
                <c:pt idx="8">
                  <c:v>23911.144111780399</c:v>
                </c:pt>
                <c:pt idx="9">
                  <c:v>18478.765576310601</c:v>
                </c:pt>
                <c:pt idx="10">
                  <c:v>13665.904697592099</c:v>
                </c:pt>
                <c:pt idx="11">
                  <c:v>12407.250881187199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A2-48EE-A917-DD91E8B52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56540584"/>
        <c:axId val="656538616"/>
      </c:barChart>
      <c:catAx>
        <c:axId val="65654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538616"/>
        <c:crosses val="autoZero"/>
        <c:auto val="1"/>
        <c:lblAlgn val="ctr"/>
        <c:lblOffset val="100"/>
        <c:noMultiLvlLbl val="0"/>
      </c:catAx>
      <c:valAx>
        <c:axId val="656538616"/>
        <c:scaling>
          <c:orientation val="minMax"/>
          <c:max val="9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(GWh)</a:t>
                </a:r>
              </a:p>
            </c:rich>
          </c:tx>
          <c:layout>
            <c:manualLayout>
              <c:xMode val="edge"/>
              <c:yMode val="edge"/>
              <c:x val="1.1612903225806452E-2"/>
              <c:y val="0.372318824730242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54058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418866376194288"/>
          <c:y val="0.49050853018372703"/>
          <c:w val="0.17092299876907444"/>
          <c:h val="0.184028871391076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Energy Source Composition for Eilat by Month (2019)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2"/>
          <c:order val="0"/>
          <c:tx>
            <c:strRef>
              <c:f>'Model 2.2'!$C$17</c:f>
              <c:strCache>
                <c:ptCount val="1"/>
                <c:pt idx="0">
                  <c:v>Fossil Fuel Supply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[1]Composition!$A$3:$A$14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'Model 2.2'!$G$3:$G$14</c:f>
              <c:numCache>
                <c:formatCode>General</c:formatCode>
                <c:ptCount val="12"/>
                <c:pt idx="0">
                  <c:v>36012.589984391103</c:v>
                </c:pt>
                <c:pt idx="1">
                  <c:v>29226.230841437598</c:v>
                </c:pt>
                <c:pt idx="2">
                  <c:v>32486.258294259402</c:v>
                </c:pt>
                <c:pt idx="3">
                  <c:v>37460.248448734601</c:v>
                </c:pt>
                <c:pt idx="4">
                  <c:v>43423.601779393903</c:v>
                </c:pt>
                <c:pt idx="5">
                  <c:v>51015.803794334199</c:v>
                </c:pt>
                <c:pt idx="6">
                  <c:v>60149.802369318299</c:v>
                </c:pt>
                <c:pt idx="7">
                  <c:v>67160.415903686502</c:v>
                </c:pt>
                <c:pt idx="8">
                  <c:v>56505.002761378099</c:v>
                </c:pt>
                <c:pt idx="9">
                  <c:v>48098.749976823397</c:v>
                </c:pt>
                <c:pt idx="10">
                  <c:v>41138.080485188999</c:v>
                </c:pt>
                <c:pt idx="11">
                  <c:v>41359.219493629404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0E-4341-97BB-2A38FBD15EB7}"/>
            </c:ext>
          </c:extLst>
        </c:ser>
        <c:ser>
          <c:idx val="1"/>
          <c:order val="1"/>
          <c:tx>
            <c:strRef>
              <c:f>'Model 2.2'!$B$17</c:f>
              <c:strCache>
                <c:ptCount val="1"/>
                <c:pt idx="0">
                  <c:v>PV Supply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[1]Composition!$A$3:$A$14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'Model 2.2'!$F$3:$F$14</c:f>
              <c:numCache>
                <c:formatCode>General</c:formatCode>
                <c:ptCount val="12"/>
                <c:pt idx="0">
                  <c:v>15486.634904353499</c:v>
                </c:pt>
                <c:pt idx="1">
                  <c:v>15342.3776703684</c:v>
                </c:pt>
                <c:pt idx="2">
                  <c:v>17114.2872128401</c:v>
                </c:pt>
                <c:pt idx="3">
                  <c:v>19086.6434802777</c:v>
                </c:pt>
                <c:pt idx="4">
                  <c:v>20321.974015607699</c:v>
                </c:pt>
                <c:pt idx="5">
                  <c:v>22209.9920016654</c:v>
                </c:pt>
                <c:pt idx="6">
                  <c:v>24365.4311899764</c:v>
                </c:pt>
                <c:pt idx="7">
                  <c:v>26980.195724233501</c:v>
                </c:pt>
                <c:pt idx="8">
                  <c:v>23911.144111780399</c:v>
                </c:pt>
                <c:pt idx="9">
                  <c:v>18478.765576310601</c:v>
                </c:pt>
                <c:pt idx="10">
                  <c:v>13665.904697592099</c:v>
                </c:pt>
                <c:pt idx="11">
                  <c:v>12407.250881187199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0E-4341-97BB-2A38FBD15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05837920"/>
        <c:axId val="351805824"/>
        <c:axId val="0"/>
      </c:bar3DChart>
      <c:catAx>
        <c:axId val="905837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805824"/>
        <c:crosses val="autoZero"/>
        <c:auto val="1"/>
        <c:lblAlgn val="ctr"/>
        <c:lblOffset val="100"/>
        <c:noMultiLvlLbl val="0"/>
      </c:catAx>
      <c:valAx>
        <c:axId val="35180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837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Annual Energy Composition</a:t>
            </a:r>
          </a:p>
          <a:p>
            <a:pPr>
              <a:defRPr/>
            </a:pPr>
            <a:r>
              <a:rPr lang="en-US"/>
              <a:t> (2019)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B0B-4717-A3BE-C306B558654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B0B-4717-A3BE-C306B558654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B8D5FE63-7EA9-4162-9137-1DDE171620E8}" type="PERCENTAG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[PERCENTAGE]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B0B-4717-A3BE-C306B558654E}"/>
                </c:ext>
              </c:extLst>
            </c:dLbl>
            <c:spPr>
              <a:solidFill>
                <a:srgbClr val="A5A5A5">
                  <a:alpha val="30000"/>
                </a:srgbClr>
              </a:solidFill>
              <a:ln>
                <a:solidFill>
                  <a:sysClr val="window" lastClr="FFFFFF">
                    <a:alpha val="50000"/>
                  </a:sys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'Model 2.2'!$B$17:$C$17</c:f>
              <c:strCache>
                <c:ptCount val="2"/>
                <c:pt idx="0">
                  <c:v>PV Supply</c:v>
                </c:pt>
                <c:pt idx="1">
                  <c:v>Fossil Fuel Supply</c:v>
                </c:pt>
              </c:strCache>
            </c:strRef>
          </c:cat>
          <c:val>
            <c:numRef>
              <c:f>'Model 2.2'!$F$15:$G$15</c:f>
              <c:numCache>
                <c:formatCode>General</c:formatCode>
                <c:ptCount val="2"/>
                <c:pt idx="0">
                  <c:v>229370.60146619301</c:v>
                </c:pt>
                <c:pt idx="1">
                  <c:v>544036.00413257547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0B-4717-A3BE-C306B558654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405104073366038"/>
          <c:y val="0.4813343781056495"/>
          <c:w val="0.27124607301846182"/>
          <c:h val="0.163836098157633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Model III: Annual Energy Composition </a:t>
            </a:r>
          </a:p>
          <a:p>
            <a:pPr>
              <a:defRPr/>
            </a:pPr>
            <a:r>
              <a:rPr lang="en-US" sz="1200" b="1" i="0" baseline="0">
                <a:effectLst/>
              </a:rPr>
              <a:t>(2019, Scaled)</a:t>
            </a:r>
          </a:p>
        </c:rich>
      </c:tx>
      <c:layout>
        <c:manualLayout>
          <c:xMode val="edge"/>
          <c:yMode val="edge"/>
          <c:x val="0.19745231846019248"/>
          <c:y val="3.21839080459770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072-44DD-BEF5-88E832A0275E}"/>
              </c:ext>
            </c:extLst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tx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072-44DD-BEF5-88E832A0275E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072-44DD-BEF5-88E832A0275E}"/>
              </c:ext>
            </c:extLst>
          </c:dPt>
          <c:dLbls>
            <c:numFmt formatCode="0.0%" sourceLinked="0"/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'Model 3'!$A$3:$A$5</c:f>
              <c:strCache>
                <c:ptCount val="3"/>
                <c:pt idx="0">
                  <c:v>PV Supply</c:v>
                </c:pt>
                <c:pt idx="1">
                  <c:v>Eilat Gas Turbines</c:v>
                </c:pt>
                <c:pt idx="2">
                  <c:v>General Grid</c:v>
                </c:pt>
              </c:strCache>
            </c:strRef>
          </c:cat>
          <c:val>
            <c:numRef>
              <c:f>'Model 3'!$B$3:$B$5</c:f>
              <c:numCache>
                <c:formatCode>General</c:formatCode>
                <c:ptCount val="3"/>
                <c:pt idx="0">
                  <c:v>229370.601466194</c:v>
                </c:pt>
                <c:pt idx="1">
                  <c:v>476987.89163213799</c:v>
                </c:pt>
                <c:pt idx="2">
                  <c:v>67048.112500465999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 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F023-4F2D-8CDA-D78713F4339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773378327709036"/>
          <c:y val="0.38047099285003166"/>
          <c:w val="0.19206849143857019"/>
          <c:h val="0.36368684948864149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u="none" strike="noStrike" baseline="0">
                <a:effectLst/>
              </a:rPr>
              <a:t>Model III: Energy Composition by Month (2019, scaled)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796438196903231E-2"/>
          <c:y val="0.1705287356321839"/>
          <c:w val="0.69054758759181956"/>
          <c:h val="0.722812562222825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'Model 3'!$A$4</c:f>
              <c:strCache>
                <c:ptCount val="1"/>
                <c:pt idx="0">
                  <c:v>Eilat Gas Turbines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'Model 3'!$G$3:$G$14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'Model 3'!$J$3:$J$14</c:f>
              <c:numCache>
                <c:formatCode>General</c:formatCode>
                <c:ptCount val="12"/>
                <c:pt idx="0">
                  <c:v>35766.643908443897</c:v>
                </c:pt>
                <c:pt idx="1">
                  <c:v>29164.599433271698</c:v>
                </c:pt>
                <c:pt idx="2">
                  <c:v>32392.3831021806</c:v>
                </c:pt>
                <c:pt idx="3">
                  <c:v>35637.8904505178</c:v>
                </c:pt>
                <c:pt idx="4">
                  <c:v>39868.480222492697</c:v>
                </c:pt>
                <c:pt idx="5">
                  <c:v>42468.077227584799</c:v>
                </c:pt>
                <c:pt idx="6">
                  <c:v>47046.548530023203</c:v>
                </c:pt>
                <c:pt idx="7">
                  <c:v>48487.976841921598</c:v>
                </c:pt>
                <c:pt idx="8">
                  <c:v>44161.374763255</c:v>
                </c:pt>
                <c:pt idx="9">
                  <c:v>42940.657622836901</c:v>
                </c:pt>
                <c:pt idx="10">
                  <c:v>39140.050481735401</c:v>
                </c:pt>
                <c:pt idx="11">
                  <c:v>39913.209047848002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FD-41E1-B370-41632224CE69}"/>
            </c:ext>
          </c:extLst>
        </c:ser>
        <c:ser>
          <c:idx val="2"/>
          <c:order val="1"/>
          <c:tx>
            <c:strRef>
              <c:f>'Model 3'!$A$3</c:f>
              <c:strCache>
                <c:ptCount val="1"/>
                <c:pt idx="0">
                  <c:v>PV Supply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'Model 3'!$G$3:$G$14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'Model 3'!$H$3:$H$14</c:f>
              <c:numCache>
                <c:formatCode>General</c:formatCode>
                <c:ptCount val="12"/>
                <c:pt idx="0">
                  <c:v>15486.634904353499</c:v>
                </c:pt>
                <c:pt idx="1">
                  <c:v>15342.3776703684</c:v>
                </c:pt>
                <c:pt idx="2">
                  <c:v>17114.2872128401</c:v>
                </c:pt>
                <c:pt idx="3">
                  <c:v>19086.6434802777</c:v>
                </c:pt>
                <c:pt idx="4">
                  <c:v>20321.974015607699</c:v>
                </c:pt>
                <c:pt idx="5">
                  <c:v>22209.9920016654</c:v>
                </c:pt>
                <c:pt idx="6">
                  <c:v>24365.4311899764</c:v>
                </c:pt>
                <c:pt idx="7">
                  <c:v>26980.195724233501</c:v>
                </c:pt>
                <c:pt idx="8">
                  <c:v>23911.144111780399</c:v>
                </c:pt>
                <c:pt idx="9">
                  <c:v>18478.765576310601</c:v>
                </c:pt>
                <c:pt idx="10">
                  <c:v>13665.904697592099</c:v>
                </c:pt>
                <c:pt idx="11">
                  <c:v>12407.250881187199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FD-41E1-B370-41632224CE69}"/>
            </c:ext>
          </c:extLst>
        </c:ser>
        <c:ser>
          <c:idx val="0"/>
          <c:order val="2"/>
          <c:tx>
            <c:strRef>
              <c:f>'Model 3'!$A$5</c:f>
              <c:strCache>
                <c:ptCount val="1"/>
                <c:pt idx="0">
                  <c:v>General Grid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'Model 3'!$G$3:$G$14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'Model 3'!$I$3:$I$14</c:f>
              <c:numCache>
                <c:formatCode>General</c:formatCode>
                <c:ptCount val="12"/>
                <c:pt idx="0">
                  <c:v>245.946075947233</c:v>
                </c:pt>
                <c:pt idx="1">
                  <c:v>61.631408165879002</c:v>
                </c:pt>
                <c:pt idx="2">
                  <c:v>93.875192078784394</c:v>
                </c:pt>
                <c:pt idx="3">
                  <c:v>1822.3579982170099</c:v>
                </c:pt>
                <c:pt idx="4">
                  <c:v>3555.1215569013598</c:v>
                </c:pt>
                <c:pt idx="5">
                  <c:v>8547.7265667496704</c:v>
                </c:pt>
                <c:pt idx="6">
                  <c:v>13103.253839295499</c:v>
                </c:pt>
                <c:pt idx="7">
                  <c:v>18672.439061765301</c:v>
                </c:pt>
                <c:pt idx="8">
                  <c:v>12343.6279981235</c:v>
                </c:pt>
                <c:pt idx="9">
                  <c:v>5158.0923539866199</c:v>
                </c:pt>
                <c:pt idx="10">
                  <c:v>1998.0300034536799</c:v>
                </c:pt>
                <c:pt idx="11">
                  <c:v>1446.01044578152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D-41E1-B370-41632224C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795749760"/>
        <c:axId val="795746480"/>
      </c:barChart>
      <c:catAx>
        <c:axId val="79574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746480"/>
        <c:crosses val="autoZero"/>
        <c:auto val="1"/>
        <c:lblAlgn val="ctr"/>
        <c:lblOffset val="100"/>
        <c:noMultiLvlLbl val="0"/>
      </c:catAx>
      <c:valAx>
        <c:axId val="795746480"/>
        <c:scaling>
          <c:orientation val="minMax"/>
          <c:max val="9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(GWh)</a:t>
                </a:r>
              </a:p>
            </c:rich>
          </c:tx>
          <c:layout>
            <c:manualLayout>
              <c:xMode val="edge"/>
              <c:yMode val="edge"/>
              <c:x val="1.3422818791946308E-2"/>
              <c:y val="0.38340628111141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74976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765946203033355"/>
          <c:y val="0.44359670558421577"/>
          <c:w val="0.20965597421127727"/>
          <c:h val="0.232760249796361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5</xdr:row>
      <xdr:rowOff>156210</xdr:rowOff>
    </xdr:from>
    <xdr:to>
      <xdr:col>8</xdr:col>
      <xdr:colOff>251460</xdr:colOff>
      <xdr:row>20</xdr:row>
      <xdr:rowOff>156210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2A5D60-6B4E-4E53-8588-73151E216E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198120</xdr:colOff>
      <xdr:row>20</xdr:row>
      <xdr:rowOff>179070</xdr:rowOff>
    </xdr:from>
    <xdr:to>
      <xdr:col>9</xdr:col>
      <xdr:colOff>144780</xdr:colOff>
      <xdr:row>35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52BD3B-6741-4BAC-BD14-08CE48F5AF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12700</xdr:rowOff>
    </xdr:from>
    <xdr:to>
      <xdr:col>3</xdr:col>
      <xdr:colOff>742950</xdr:colOff>
      <xdr:row>28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598AAB-DF0F-44B6-AF7B-EB2FE1E591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196850</xdr:colOff>
      <xdr:row>19</xdr:row>
      <xdr:rowOff>95250</xdr:rowOff>
    </xdr:from>
    <xdr:to>
      <xdr:col>8</xdr:col>
      <xdr:colOff>723900</xdr:colOff>
      <xdr:row>31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E835D21-5747-4EAC-80B9-F2C0D5B15A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1181100</xdr:colOff>
      <xdr:row>10</xdr:row>
      <xdr:rowOff>120650</xdr:rowOff>
    </xdr:from>
    <xdr:to>
      <xdr:col>17</xdr:col>
      <xdr:colOff>177800</xdr:colOff>
      <xdr:row>25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12E47B7-E353-4B18-8072-354CDBD6DA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6350</xdr:colOff>
      <xdr:row>22</xdr:row>
      <xdr:rowOff>82550</xdr:rowOff>
    </xdr:from>
    <xdr:to>
      <xdr:col>20</xdr:col>
      <xdr:colOff>177800</xdr:colOff>
      <xdr:row>43</xdr:row>
      <xdr:rowOff>170180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27DD5E-1908-41A0-B82F-B6EE4BB23A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42545</xdr:colOff>
      <xdr:row>26</xdr:row>
      <xdr:rowOff>162560</xdr:rowOff>
    </xdr:from>
    <xdr:to>
      <xdr:col>13</xdr:col>
      <xdr:colOff>33655</xdr:colOff>
      <xdr:row>41</xdr:row>
      <xdr:rowOff>14605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28CD3E7-0531-44DE-A02E-F043B70DDE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6</xdr:row>
      <xdr:rowOff>121920</xdr:rowOff>
    </xdr:from>
    <xdr:to>
      <xdr:col>4</xdr:col>
      <xdr:colOff>426720</xdr:colOff>
      <xdr:row>21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1FB151-4D87-4324-B3C4-360CAA6DFC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118110</xdr:colOff>
      <xdr:row>2</xdr:row>
      <xdr:rowOff>160020</xdr:rowOff>
    </xdr:from>
    <xdr:to>
      <xdr:col>16</xdr:col>
      <xdr:colOff>422910</xdr:colOff>
      <xdr:row>17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94B6E3-151A-4EF6-B31C-1FF2828EC3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wer%20and%20Energy%20Figu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lectric%20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dschwartz_wpi_edu/Documents/Junior%20Year/IQP/excel%20sheets/emissions/emissions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tilization 2014"/>
      <sheetName val="Predicted 2019"/>
      <sheetName val="Predicted 2012"/>
      <sheetName val="Composition"/>
      <sheetName val="Daily Power"/>
      <sheetName val="Overlay Demand and PV"/>
      <sheetName val="Overlay scaled"/>
    </sheetNames>
    <sheetDataSet>
      <sheetData sheetId="0"/>
      <sheetData sheetId="1"/>
      <sheetData sheetId="2"/>
      <sheetData sheetId="3">
        <row r="3">
          <cell r="A3" t="str">
            <v>Jan</v>
          </cell>
        </row>
        <row r="4">
          <cell r="A4" t="str">
            <v>Feb</v>
          </cell>
        </row>
        <row r="5">
          <cell r="A5" t="str">
            <v>Mar</v>
          </cell>
        </row>
        <row r="6">
          <cell r="A6" t="str">
            <v>Apr</v>
          </cell>
        </row>
        <row r="7">
          <cell r="A7" t="str">
            <v>May</v>
          </cell>
        </row>
        <row r="8">
          <cell r="A8" t="str">
            <v>Jun</v>
          </cell>
        </row>
        <row r="9">
          <cell r="A9" t="str">
            <v>Jul</v>
          </cell>
        </row>
        <row r="10">
          <cell r="A10" t="str">
            <v>Aug</v>
          </cell>
        </row>
        <row r="11">
          <cell r="A11" t="str">
            <v>Sep</v>
          </cell>
        </row>
        <row r="12">
          <cell r="A12" t="str">
            <v>Oct</v>
          </cell>
        </row>
        <row r="13">
          <cell r="A13" t="str">
            <v>Nov</v>
          </cell>
        </row>
        <row r="14">
          <cell r="A14" t="str">
            <v>Dec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ctric 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ctric 1"/>
      <sheetName val="Electric 2"/>
      <sheetName val="Total"/>
    </sheetNames>
    <sheetDataSet>
      <sheetData sheetId="0"/>
      <sheetData sheetId="1">
        <row r="20">
          <cell r="A20">
            <v>2014</v>
          </cell>
        </row>
        <row r="21">
          <cell r="A21">
            <v>2019</v>
          </cell>
        </row>
      </sheetData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FC0DE20-ED35-4E48-B7B7-1FE60BBC46BE}" name="Table3" displayName="Table3" ref="F32:I45" totalsRowShown="0">
  <autoFilter ref="F32:I45" xr:uid="{442265EC-9ACE-47A2-8CC8-8C00481C10AB}"/>
  <tableColumns count="4">
    <tableColumn id="1" xr3:uid="{49684DF2-FD4D-40EE-B2A5-36D4BC3CD5EC}" name="Month"/>
    <tableColumn id="2" xr3:uid="{AF9F2BD2-BD7B-4CA0-8C57-872082C26B05}" name="Arava AC Supply" dataDxfId="6">
      <calculatedColumnFormula>D33</calculatedColumnFormula>
    </tableColumn>
    <tableColumn id="3" xr3:uid="{084B3582-9AAB-46FC-AD66-44AF6F8CCBA5}" name="PV roofs" dataDxfId="5"/>
    <tableColumn id="4" xr3:uid="{E9BAA13B-6436-498F-B053-FCD7FFD28E44}" name="Grid Supply (GWh)" dataDxfId="4">
      <calculatedColumnFormula>G3/1000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CFF52B5-ADA3-4C18-A666-071925ECFB9F}" name="Table2" displayName="Table2" ref="M22:Q35" totalsRowShown="0">
  <autoFilter ref="M22:Q35" xr:uid="{90CC1BBD-EAE7-46D3-8A1D-C754CE992F03}"/>
  <tableColumns count="5">
    <tableColumn id="1" xr3:uid="{DFAA9497-025C-420A-873D-4B075A1C67CD}" name="Month"/>
    <tableColumn id="2" xr3:uid="{30EF9C6F-3B0C-45A1-AB1C-88EC8B88258A}" name="PV fields (GWh)" dataDxfId="3">
      <calculatedColumnFormula>I19/1000</calculatedColumnFormula>
    </tableColumn>
    <tableColumn id="3" xr3:uid="{0A70CBBF-5BF0-47BC-B7E9-127FAEE6F85D}" name="PV roofs (GWh)" dataDxfId="2"/>
    <tableColumn id="4" xr3:uid="{D9A769C5-0B3C-484A-89D0-3AE3A19D25D6}" name="GT (GWh)" dataDxfId="1">
      <calculatedColumnFormula>J3/1000</calculatedColumnFormula>
    </tableColumn>
    <tableColumn id="5" xr3:uid="{2A45CA8C-7403-406D-BED6-45D35BFECE07}" name="Grid (GWh)" dataDxfId="0">
      <calculatedColumnFormula>I3/1000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22193-107A-427D-861A-8BFA9FCA6E33}">
  <dimension ref="B1:P35"/>
  <sheetViews>
    <sheetView topLeftCell="B1" workbookViewId="0">
      <selection activeCell="S1" sqref="S1:U13"/>
    </sheetView>
  </sheetViews>
  <sheetFormatPr defaultRowHeight="15" x14ac:dyDescent="0.25"/>
  <sheetData>
    <row r="1" spans="2:16" x14ac:dyDescent="0.25">
      <c r="C1" t="s">
        <v>28</v>
      </c>
      <c r="M1" t="s">
        <v>22</v>
      </c>
      <c r="N1" t="s">
        <v>32</v>
      </c>
      <c r="O1" t="s">
        <v>33</v>
      </c>
      <c r="P1" t="s">
        <v>34</v>
      </c>
    </row>
    <row r="2" spans="2:16" x14ac:dyDescent="0.25">
      <c r="C2" t="s">
        <v>31</v>
      </c>
      <c r="M2" t="s">
        <v>6</v>
      </c>
      <c r="N2">
        <v>712.02839680099999</v>
      </c>
      <c r="O2">
        <v>50541.18163757</v>
      </c>
      <c r="P2">
        <v>246.01485437371201</v>
      </c>
    </row>
    <row r="3" spans="2:16" x14ac:dyDescent="0.25">
      <c r="B3" t="s">
        <v>29</v>
      </c>
      <c r="C3" s="2">
        <v>10338.883133313</v>
      </c>
      <c r="M3" t="s">
        <v>7</v>
      </c>
      <c r="N3">
        <v>758.59287642699996</v>
      </c>
      <c r="O3">
        <v>43738.405260243097</v>
      </c>
      <c r="P3">
        <v>71.610375135953703</v>
      </c>
    </row>
    <row r="4" spans="2:16" x14ac:dyDescent="0.25">
      <c r="B4" t="s">
        <v>30</v>
      </c>
      <c r="C4">
        <v>669398.73630362004</v>
      </c>
      <c r="M4" t="s">
        <v>8</v>
      </c>
      <c r="N4">
        <v>932.72979601099996</v>
      </c>
      <c r="O4">
        <v>48552.030141451098</v>
      </c>
      <c r="P4">
        <v>115.785569637357</v>
      </c>
    </row>
    <row r="5" spans="2:16" x14ac:dyDescent="0.25">
      <c r="B5" t="s">
        <v>35</v>
      </c>
      <c r="C5">
        <v>93668.986161909997</v>
      </c>
      <c r="M5" t="s">
        <v>9</v>
      </c>
      <c r="N5">
        <v>957.73871685799998</v>
      </c>
      <c r="O5">
        <v>53281.177382677502</v>
      </c>
      <c r="P5">
        <v>2307.9758294769899</v>
      </c>
    </row>
    <row r="6" spans="2:16" x14ac:dyDescent="0.25">
      <c r="M6" t="s">
        <v>10</v>
      </c>
      <c r="N6">
        <v>978.70632443099998</v>
      </c>
      <c r="O6">
        <v>57959.3321278476</v>
      </c>
      <c r="P6">
        <v>4807.5373427232298</v>
      </c>
    </row>
    <row r="7" spans="2:16" x14ac:dyDescent="0.25">
      <c r="M7" t="s">
        <v>11</v>
      </c>
      <c r="N7">
        <v>958.47706785299999</v>
      </c>
      <c r="O7">
        <v>60893.215805584601</v>
      </c>
      <c r="P7">
        <v>11374.102922562501</v>
      </c>
    </row>
    <row r="8" spans="2:16" x14ac:dyDescent="0.25">
      <c r="M8" t="s">
        <v>12</v>
      </c>
      <c r="N8">
        <v>969.82458449299997</v>
      </c>
      <c r="O8">
        <v>64819.044319390297</v>
      </c>
      <c r="P8">
        <v>18726.364655412199</v>
      </c>
    </row>
    <row r="9" spans="2:16" x14ac:dyDescent="0.25">
      <c r="M9" t="s">
        <v>13</v>
      </c>
      <c r="N9">
        <v>1037.4455020610001</v>
      </c>
      <c r="O9">
        <v>64987.611023092599</v>
      </c>
      <c r="P9">
        <v>28115.555102767201</v>
      </c>
    </row>
    <row r="10" spans="2:16" x14ac:dyDescent="0.25">
      <c r="M10" t="s">
        <v>14</v>
      </c>
      <c r="N10">
        <v>952.41456322500096</v>
      </c>
      <c r="O10">
        <v>62379.604055128002</v>
      </c>
      <c r="P10">
        <v>17084.128254806201</v>
      </c>
    </row>
    <row r="11" spans="2:16" x14ac:dyDescent="0.25">
      <c r="M11" t="s">
        <v>15</v>
      </c>
      <c r="N11">
        <v>809.18768481100005</v>
      </c>
      <c r="O11">
        <v>59355.554516579003</v>
      </c>
      <c r="P11">
        <v>6412.7733517443303</v>
      </c>
    </row>
    <row r="12" spans="2:16" x14ac:dyDescent="0.25">
      <c r="M12" t="s">
        <v>16</v>
      </c>
      <c r="N12">
        <v>624.41043096600004</v>
      </c>
      <c r="O12">
        <v>51557.262600197799</v>
      </c>
      <c r="P12">
        <v>2622.3121516175102</v>
      </c>
    </row>
    <row r="13" spans="2:16" x14ac:dyDescent="0.25">
      <c r="M13" t="s">
        <v>17</v>
      </c>
      <c r="N13">
        <v>647.32718937599998</v>
      </c>
      <c r="O13">
        <v>51334.317433787903</v>
      </c>
      <c r="P13">
        <v>1784.8257516528299</v>
      </c>
    </row>
    <row r="22" spans="13:16" x14ac:dyDescent="0.25">
      <c r="M22" t="s">
        <v>22</v>
      </c>
      <c r="N22" t="s">
        <v>32</v>
      </c>
      <c r="O22" t="s">
        <v>33</v>
      </c>
      <c r="P22" t="s">
        <v>34</v>
      </c>
    </row>
    <row r="23" spans="13:16" x14ac:dyDescent="0.25">
      <c r="M23" t="s">
        <v>6</v>
      </c>
      <c r="N23">
        <f t="shared" ref="N23:P34" si="0">N2/1000</f>
        <v>0.71202839680099994</v>
      </c>
      <c r="O23">
        <f t="shared" si="0"/>
        <v>50.541181637569998</v>
      </c>
      <c r="P23">
        <f t="shared" si="0"/>
        <v>0.24601485437371201</v>
      </c>
    </row>
    <row r="24" spans="13:16" x14ac:dyDescent="0.25">
      <c r="M24" t="s">
        <v>7</v>
      </c>
      <c r="N24">
        <f t="shared" si="0"/>
        <v>0.75859287642700002</v>
      </c>
      <c r="O24">
        <f t="shared" si="0"/>
        <v>43.738405260243098</v>
      </c>
      <c r="P24">
        <f t="shared" si="0"/>
        <v>7.1610375135953697E-2</v>
      </c>
    </row>
    <row r="25" spans="13:16" x14ac:dyDescent="0.25">
      <c r="M25" t="s">
        <v>8</v>
      </c>
      <c r="N25">
        <f t="shared" si="0"/>
        <v>0.93272979601099992</v>
      </c>
      <c r="O25">
        <f t="shared" si="0"/>
        <v>48.552030141451098</v>
      </c>
      <c r="P25">
        <f t="shared" si="0"/>
        <v>0.11578556963735701</v>
      </c>
    </row>
    <row r="26" spans="13:16" x14ac:dyDescent="0.25">
      <c r="M26" t="s">
        <v>9</v>
      </c>
      <c r="N26">
        <f t="shared" si="0"/>
        <v>0.95773871685799994</v>
      </c>
      <c r="O26">
        <f t="shared" si="0"/>
        <v>53.281177382677505</v>
      </c>
      <c r="P26">
        <f t="shared" si="0"/>
        <v>2.3079758294769901</v>
      </c>
    </row>
    <row r="27" spans="13:16" x14ac:dyDescent="0.25">
      <c r="M27" t="s">
        <v>10</v>
      </c>
      <c r="N27">
        <f t="shared" si="0"/>
        <v>0.97870632443100003</v>
      </c>
      <c r="O27">
        <f t="shared" si="0"/>
        <v>57.959332127847603</v>
      </c>
      <c r="P27">
        <f t="shared" si="0"/>
        <v>4.8075373427232302</v>
      </c>
    </row>
    <row r="28" spans="13:16" x14ac:dyDescent="0.25">
      <c r="M28" t="s">
        <v>11</v>
      </c>
      <c r="N28">
        <f t="shared" si="0"/>
        <v>0.95847706785300002</v>
      </c>
      <c r="O28">
        <f t="shared" si="0"/>
        <v>60.893215805584603</v>
      </c>
      <c r="P28">
        <f t="shared" si="0"/>
        <v>11.3741029225625</v>
      </c>
    </row>
    <row r="29" spans="13:16" x14ac:dyDescent="0.25">
      <c r="M29" t="s">
        <v>12</v>
      </c>
      <c r="N29">
        <f t="shared" si="0"/>
        <v>0.96982458449300002</v>
      </c>
      <c r="O29">
        <f t="shared" si="0"/>
        <v>64.819044319390301</v>
      </c>
      <c r="P29">
        <f t="shared" si="0"/>
        <v>18.726364655412198</v>
      </c>
    </row>
    <row r="30" spans="13:16" x14ac:dyDescent="0.25">
      <c r="M30" t="s">
        <v>13</v>
      </c>
      <c r="N30">
        <f t="shared" si="0"/>
        <v>1.0374455020610001</v>
      </c>
      <c r="O30">
        <f t="shared" si="0"/>
        <v>64.987611023092597</v>
      </c>
      <c r="P30">
        <f t="shared" si="0"/>
        <v>28.1155551027672</v>
      </c>
    </row>
    <row r="31" spans="13:16" x14ac:dyDescent="0.25">
      <c r="M31" t="s">
        <v>14</v>
      </c>
      <c r="N31">
        <f t="shared" si="0"/>
        <v>0.95241456322500095</v>
      </c>
      <c r="O31">
        <f t="shared" si="0"/>
        <v>62.379604055127999</v>
      </c>
      <c r="P31">
        <f t="shared" si="0"/>
        <v>17.084128254806203</v>
      </c>
    </row>
    <row r="32" spans="13:16" x14ac:dyDescent="0.25">
      <c r="M32" t="s">
        <v>15</v>
      </c>
      <c r="N32">
        <f t="shared" si="0"/>
        <v>0.80918768481100001</v>
      </c>
      <c r="O32">
        <f t="shared" si="0"/>
        <v>59.355554516579005</v>
      </c>
      <c r="P32">
        <f t="shared" si="0"/>
        <v>6.4127733517443302</v>
      </c>
    </row>
    <row r="33" spans="13:16" x14ac:dyDescent="0.25">
      <c r="M33" t="s">
        <v>16</v>
      </c>
      <c r="N33">
        <f t="shared" si="0"/>
        <v>0.62441043096600002</v>
      </c>
      <c r="O33">
        <f t="shared" si="0"/>
        <v>51.557262600197802</v>
      </c>
      <c r="P33">
        <f t="shared" si="0"/>
        <v>2.6223121516175101</v>
      </c>
    </row>
    <row r="34" spans="13:16" x14ac:dyDescent="0.25">
      <c r="M34" t="s">
        <v>17</v>
      </c>
      <c r="N34">
        <f t="shared" si="0"/>
        <v>0.64732718937599998</v>
      </c>
      <c r="O34">
        <f t="shared" si="0"/>
        <v>51.334317433787902</v>
      </c>
      <c r="P34">
        <f t="shared" si="0"/>
        <v>1.7848257516528299</v>
      </c>
    </row>
    <row r="35" spans="13:16" x14ac:dyDescent="0.25">
      <c r="M35" t="s">
        <v>23</v>
      </c>
      <c r="N35">
        <f>SUM(N23:N34)</f>
        <v>10.338883133313001</v>
      </c>
      <c r="O35">
        <f>SUM(O23:O34)</f>
        <v>669.39873630354941</v>
      </c>
      <c r="P35">
        <f>SUM(P23:P34)</f>
        <v>93.668986161910013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1D2A2-DA6E-4327-BC1F-B38E00D152C6}">
  <dimension ref="A1:K45"/>
  <sheetViews>
    <sheetView tabSelected="1" topLeftCell="A16" zoomScale="120" zoomScaleNormal="120" workbookViewId="0">
      <selection activeCell="I26" sqref="I26"/>
    </sheetView>
  </sheetViews>
  <sheetFormatPr defaultRowHeight="15" x14ac:dyDescent="0.25"/>
  <cols>
    <col min="2" max="2" width="12.7109375" bestFit="1" customWidth="1"/>
    <col min="3" max="3" width="9.5703125" bestFit="1" customWidth="1"/>
    <col min="4" max="4" width="12" bestFit="1" customWidth="1"/>
    <col min="7" max="7" width="17.28515625" customWidth="1"/>
    <col min="8" max="8" width="14.7109375" customWidth="1"/>
    <col min="9" max="9" width="18.140625" customWidth="1"/>
  </cols>
  <sheetData>
    <row r="1" spans="1:11" x14ac:dyDescent="0.25">
      <c r="A1" s="3">
        <v>2019</v>
      </c>
      <c r="B1" s="3"/>
      <c r="C1" s="3"/>
      <c r="E1" s="3" t="s">
        <v>40</v>
      </c>
      <c r="F1" s="3"/>
      <c r="G1" s="3"/>
      <c r="I1" s="3">
        <v>2014</v>
      </c>
      <c r="J1" s="3"/>
      <c r="K1" s="3"/>
    </row>
    <row r="2" spans="1:11" x14ac:dyDescent="0.25">
      <c r="A2" t="s">
        <v>22</v>
      </c>
      <c r="B2" t="s">
        <v>36</v>
      </c>
      <c r="C2" t="s">
        <v>39</v>
      </c>
      <c r="E2" t="s">
        <v>22</v>
      </c>
      <c r="F2" t="s">
        <v>36</v>
      </c>
      <c r="G2" t="s">
        <v>44</v>
      </c>
      <c r="I2" t="s">
        <v>22</v>
      </c>
      <c r="J2" t="s">
        <v>36</v>
      </c>
      <c r="K2" t="s">
        <v>45</v>
      </c>
    </row>
    <row r="3" spans="1:11" x14ac:dyDescent="0.25">
      <c r="A3" t="s">
        <v>6</v>
      </c>
      <c r="B3">
        <v>14664.974557837901</v>
      </c>
      <c r="C3">
        <v>32953.1298464621</v>
      </c>
      <c r="E3" t="s">
        <v>6</v>
      </c>
      <c r="F3">
        <v>15486.634904353499</v>
      </c>
      <c r="G3">
        <v>36012.589984391103</v>
      </c>
      <c r="H3">
        <f>F3/(F3+G3)</f>
        <v>0.30071588335183225</v>
      </c>
      <c r="I3" t="s">
        <v>6</v>
      </c>
      <c r="J3">
        <f>11626.2614190879 + 84.8</f>
        <v>11711.061419087899</v>
      </c>
      <c r="K3">
        <f>35991.8429852121-84.8</f>
        <v>35907.042985212094</v>
      </c>
    </row>
    <row r="4" spans="1:11" x14ac:dyDescent="0.25">
      <c r="A4" t="s">
        <v>7</v>
      </c>
      <c r="B4">
        <v>14470.786255131999</v>
      </c>
      <c r="C4">
        <v>26739.011714728102</v>
      </c>
      <c r="E4" t="s">
        <v>7</v>
      </c>
      <c r="F4">
        <v>15342.3776703684</v>
      </c>
      <c r="G4">
        <v>29226.230841437598</v>
      </c>
      <c r="H4">
        <f t="shared" ref="H4:H15" si="0">F4/(F4+G4)</f>
        <v>0.34424179220906753</v>
      </c>
      <c r="I4" t="s">
        <v>7</v>
      </c>
      <c r="J4">
        <f>11770.2000990777+84.8</f>
        <v>11855.000099077699</v>
      </c>
      <c r="K4">
        <f>29439.5978707824-84.8</f>
        <v>29354.7978707824</v>
      </c>
    </row>
    <row r="5" spans="1:11" x14ac:dyDescent="0.25">
      <c r="A5" t="s">
        <v>8</v>
      </c>
      <c r="B5">
        <v>16135.4541183897</v>
      </c>
      <c r="C5">
        <v>29727.0605033303</v>
      </c>
      <c r="E5" t="s">
        <v>8</v>
      </c>
      <c r="F5">
        <v>17114.2872128401</v>
      </c>
      <c r="G5">
        <v>32486.258294259402</v>
      </c>
      <c r="H5">
        <f t="shared" si="0"/>
        <v>0.3450423183428592</v>
      </c>
      <c r="I5" t="s">
        <v>8</v>
      </c>
      <c r="J5">
        <f>13420.6896511356+84.8</f>
        <v>13505.4896511356</v>
      </c>
      <c r="K5">
        <f>32441.8249705844-84.8</f>
        <v>32357.0249705844</v>
      </c>
    </row>
    <row r="6" spans="1:11" x14ac:dyDescent="0.25">
      <c r="A6" t="s">
        <v>9</v>
      </c>
      <c r="B6">
        <v>18067.296651049499</v>
      </c>
      <c r="C6">
        <v>34218.0689914705</v>
      </c>
      <c r="E6" t="s">
        <v>9</v>
      </c>
      <c r="F6">
        <v>19086.6434802777</v>
      </c>
      <c r="G6">
        <v>37460.248448734601</v>
      </c>
      <c r="H6">
        <f t="shared" si="0"/>
        <v>0.33753656176609398</v>
      </c>
      <c r="I6" t="s">
        <v>9</v>
      </c>
      <c r="J6">
        <f>14067.7642824079+84.8</f>
        <v>14152.564282407899</v>
      </c>
      <c r="K6">
        <f>38217.601360112-84.8</f>
        <v>38132.801360111996</v>
      </c>
    </row>
    <row r="7" spans="1:11" x14ac:dyDescent="0.25">
      <c r="A7" t="s">
        <v>10</v>
      </c>
      <c r="B7">
        <v>19354.858186167799</v>
      </c>
      <c r="C7">
        <v>39586.679090872203</v>
      </c>
      <c r="E7" t="s">
        <v>10</v>
      </c>
      <c r="F7">
        <v>20321.974015607699</v>
      </c>
      <c r="G7">
        <v>43423.601779393903</v>
      </c>
      <c r="H7">
        <f t="shared" si="0"/>
        <v>0.31879818735908538</v>
      </c>
      <c r="I7" t="s">
        <v>10</v>
      </c>
      <c r="J7">
        <f>14284.5252483548+84.8</f>
        <v>14369.325248354799</v>
      </c>
      <c r="K7">
        <f>44657.0120286852-84.8</f>
        <v>44572.2120286852</v>
      </c>
    </row>
    <row r="8" spans="1:11" x14ac:dyDescent="0.25">
      <c r="A8" t="s">
        <v>11</v>
      </c>
      <c r="B8">
        <v>21336.832022303399</v>
      </c>
      <c r="C8">
        <v>46370.470307676602</v>
      </c>
      <c r="E8" t="s">
        <v>11</v>
      </c>
      <c r="F8">
        <v>22209.9920016654</v>
      </c>
      <c r="G8">
        <v>51015.803794334199</v>
      </c>
      <c r="H8">
        <f t="shared" si="0"/>
        <v>0.30330830495226596</v>
      </c>
      <c r="I8" t="s">
        <v>11</v>
      </c>
      <c r="J8">
        <f>14071.7456548719+84.8</f>
        <v>14156.545654871899</v>
      </c>
      <c r="K8">
        <f>53635.5566751081-84.8</f>
        <v>53550.756675108096</v>
      </c>
    </row>
    <row r="9" spans="1:11" x14ac:dyDescent="0.25">
      <c r="A9" t="s">
        <v>12</v>
      </c>
      <c r="B9">
        <v>23641.7017365178</v>
      </c>
      <c r="C9">
        <v>54504.235878552303</v>
      </c>
      <c r="E9" t="s">
        <v>12</v>
      </c>
      <c r="F9">
        <v>24365.4311899764</v>
      </c>
      <c r="G9">
        <v>60149.802369318299</v>
      </c>
      <c r="H9">
        <f t="shared" si="0"/>
        <v>0.28829632438845426</v>
      </c>
      <c r="I9" t="s">
        <v>12</v>
      </c>
      <c r="J9">
        <f>14548.5569630715+84.8</f>
        <v>14633.356963071499</v>
      </c>
      <c r="K9">
        <f>63597.3806519985-84.8</f>
        <v>63512.580651998498</v>
      </c>
    </row>
    <row r="10" spans="1:11" x14ac:dyDescent="0.25">
      <c r="A10" t="s">
        <v>13</v>
      </c>
      <c r="B10">
        <v>26341.117195075902</v>
      </c>
      <c r="C10">
        <v>60704.804037084097</v>
      </c>
      <c r="E10" t="s">
        <v>13</v>
      </c>
      <c r="F10">
        <v>26980.195724233501</v>
      </c>
      <c r="G10">
        <v>67160.415903686502</v>
      </c>
      <c r="H10">
        <f t="shared" si="0"/>
        <v>0.28659465089168568</v>
      </c>
      <c r="I10" t="s">
        <v>13</v>
      </c>
      <c r="J10">
        <f>15942.8180382606+84.8</f>
        <v>16027.6180382606</v>
      </c>
      <c r="K10">
        <f>71103.1031938994-84.8</f>
        <v>71018.303193899395</v>
      </c>
    </row>
    <row r="11" spans="1:11" x14ac:dyDescent="0.25">
      <c r="A11" t="s">
        <v>14</v>
      </c>
      <c r="B11">
        <v>22915.160482577499</v>
      </c>
      <c r="C11">
        <v>51440.608674532501</v>
      </c>
      <c r="E11" t="s">
        <v>14</v>
      </c>
      <c r="F11">
        <v>23911.144111780399</v>
      </c>
      <c r="G11">
        <v>56505.002761378099</v>
      </c>
      <c r="H11">
        <f t="shared" si="0"/>
        <v>0.29734257411631249</v>
      </c>
      <c r="I11" t="s">
        <v>14</v>
      </c>
      <c r="J11">
        <f>15206.4251139673+84.8</f>
        <v>15291.225113967299</v>
      </c>
      <c r="K11">
        <f>59149.3440431427-84.8</f>
        <v>59064.544043142698</v>
      </c>
    </row>
    <row r="12" spans="1:11" x14ac:dyDescent="0.25">
      <c r="A12" t="s">
        <v>15</v>
      </c>
      <c r="B12">
        <v>17587.2161915621</v>
      </c>
      <c r="C12">
        <v>43972.838225507898</v>
      </c>
      <c r="E12" t="s">
        <v>15</v>
      </c>
      <c r="F12">
        <v>18478.765576310601</v>
      </c>
      <c r="G12">
        <v>48098.749976823397</v>
      </c>
      <c r="H12">
        <f t="shared" si="0"/>
        <v>0.27755264555588771</v>
      </c>
      <c r="I12" t="s">
        <v>15</v>
      </c>
      <c r="J12">
        <f>12934.8197578191+84.8</f>
        <v>13019.619757819099</v>
      </c>
      <c r="K12">
        <f>48625.234659251-84.8</f>
        <v>48540.434659250997</v>
      </c>
    </row>
    <row r="13" spans="1:11" x14ac:dyDescent="0.25">
      <c r="A13" t="s">
        <v>16</v>
      </c>
      <c r="B13">
        <v>13028.497007731199</v>
      </c>
      <c r="C13">
        <v>37645.312041688798</v>
      </c>
      <c r="E13" t="s">
        <v>16</v>
      </c>
      <c r="F13">
        <v>13665.904697592099</v>
      </c>
      <c r="G13">
        <v>41138.080485188999</v>
      </c>
      <c r="H13">
        <f t="shared" si="0"/>
        <v>0.24935968893528201</v>
      </c>
      <c r="I13" t="s">
        <v>16</v>
      </c>
      <c r="J13">
        <f>9855.33816906156+84.8</f>
        <v>9940.1381690615599</v>
      </c>
      <c r="K13">
        <f>40818.4708803584-84.8</f>
        <v>40733.670880358397</v>
      </c>
    </row>
    <row r="14" spans="1:11" x14ac:dyDescent="0.25">
      <c r="A14" t="s">
        <v>17</v>
      </c>
      <c r="B14">
        <v>11781.422080194699</v>
      </c>
      <c r="C14">
        <v>37933.0620754353</v>
      </c>
      <c r="E14" t="s">
        <v>17</v>
      </c>
      <c r="F14">
        <v>12407.250881187199</v>
      </c>
      <c r="G14">
        <v>41359.219493629404</v>
      </c>
      <c r="H14">
        <f t="shared" si="0"/>
        <v>0.23076186319640885</v>
      </c>
      <c r="I14" t="s">
        <v>17</v>
      </c>
      <c r="J14">
        <f>9355.17103001709+84.8</f>
        <v>9439.97103001709</v>
      </c>
      <c r="K14">
        <f>40359.313125613-84.8</f>
        <v>40274.513125612997</v>
      </c>
    </row>
    <row r="15" spans="1:11" x14ac:dyDescent="0.25">
      <c r="A15" t="s">
        <v>23</v>
      </c>
      <c r="B15">
        <f>SUM(B3:B14)</f>
        <v>219325.31648453948</v>
      </c>
      <c r="C15">
        <f>SUM(C3:C14)</f>
        <v>495795.28138734074</v>
      </c>
      <c r="E15" t="s">
        <v>23</v>
      </c>
      <c r="F15">
        <f>SUM(F3:F14)</f>
        <v>229370.60146619301</v>
      </c>
      <c r="G15">
        <f>SUM(G3:G14)</f>
        <v>544036.00413257547</v>
      </c>
      <c r="H15">
        <f t="shared" si="0"/>
        <v>0.29657181591902121</v>
      </c>
      <c r="I15" t="s">
        <v>23</v>
      </c>
      <c r="J15">
        <f>SUM(J3:J14)</f>
        <v>158101.91542713295</v>
      </c>
      <c r="K15">
        <f>SUM(K3:K14)</f>
        <v>557018.68244474719</v>
      </c>
    </row>
    <row r="16" spans="1:11" x14ac:dyDescent="0.25">
      <c r="A16" t="s">
        <v>37</v>
      </c>
      <c r="B16" s="1">
        <f>-0.645*B15</f>
        <v>-141464.82913252796</v>
      </c>
      <c r="C16" s="1">
        <v>319787.95649483701</v>
      </c>
      <c r="E16" t="s">
        <v>37</v>
      </c>
      <c r="F16">
        <f>-0.645*F15</f>
        <v>-147944.03794569449</v>
      </c>
      <c r="G16">
        <v>350903.22266551101</v>
      </c>
      <c r="I16" t="s">
        <v>37</v>
      </c>
      <c r="J16">
        <f>J15*(-0.688)</f>
        <v>-108774.11781386746</v>
      </c>
      <c r="K16">
        <f>K15*0.688</f>
        <v>383228.85352198605</v>
      </c>
    </row>
    <row r="17" spans="2:9" x14ac:dyDescent="0.25">
      <c r="B17" t="s">
        <v>38</v>
      </c>
      <c r="C17" t="s">
        <v>45</v>
      </c>
    </row>
    <row r="32" spans="2:9" x14ac:dyDescent="0.25">
      <c r="B32" t="s">
        <v>41</v>
      </c>
      <c r="C32" t="s">
        <v>20</v>
      </c>
      <c r="F32" t="s">
        <v>22</v>
      </c>
      <c r="G32" t="s">
        <v>43</v>
      </c>
      <c r="H32" t="s">
        <v>20</v>
      </c>
      <c r="I32" t="s">
        <v>42</v>
      </c>
    </row>
    <row r="33" spans="2:9" x14ac:dyDescent="0.25">
      <c r="B33">
        <f>F3/1000</f>
        <v>15.486634904353499</v>
      </c>
      <c r="C33">
        <v>0.71202839680099994</v>
      </c>
      <c r="D33">
        <f>B33-C33</f>
        <v>14.7746065075525</v>
      </c>
      <c r="F33" t="s">
        <v>6</v>
      </c>
      <c r="G33" s="1">
        <f>D33</f>
        <v>14.7746065075525</v>
      </c>
      <c r="H33" s="1">
        <v>0.71202839680099994</v>
      </c>
      <c r="I33" s="1">
        <f t="shared" ref="I33:I45" si="1">G3/1000</f>
        <v>36.012589984391106</v>
      </c>
    </row>
    <row r="34" spans="2:9" x14ac:dyDescent="0.25">
      <c r="B34">
        <f t="shared" ref="B34:B45" si="2">F4/1000</f>
        <v>15.3423776703684</v>
      </c>
      <c r="C34">
        <v>0.75859287642700002</v>
      </c>
      <c r="D34">
        <f t="shared" ref="D34:D45" si="3">B34-C34</f>
        <v>14.583784793941399</v>
      </c>
      <c r="F34" t="s">
        <v>7</v>
      </c>
      <c r="G34" s="1">
        <f t="shared" ref="G34:G45" si="4">D34</f>
        <v>14.583784793941399</v>
      </c>
      <c r="H34" s="1">
        <v>0.75859287642700002</v>
      </c>
      <c r="I34" s="1">
        <f t="shared" si="1"/>
        <v>29.226230841437598</v>
      </c>
    </row>
    <row r="35" spans="2:9" x14ac:dyDescent="0.25">
      <c r="B35">
        <f t="shared" si="2"/>
        <v>17.1142872128401</v>
      </c>
      <c r="C35">
        <v>0.93272979601099992</v>
      </c>
      <c r="D35">
        <f t="shared" si="3"/>
        <v>16.181557416829101</v>
      </c>
      <c r="F35" t="s">
        <v>8</v>
      </c>
      <c r="G35" s="1">
        <f t="shared" si="4"/>
        <v>16.181557416829101</v>
      </c>
      <c r="H35" s="1">
        <v>0.93272979601099992</v>
      </c>
      <c r="I35" s="1">
        <f t="shared" si="1"/>
        <v>32.4862582942594</v>
      </c>
    </row>
    <row r="36" spans="2:9" x14ac:dyDescent="0.25">
      <c r="B36">
        <f t="shared" si="2"/>
        <v>19.086643480277701</v>
      </c>
      <c r="C36">
        <v>0.95773871685799994</v>
      </c>
      <c r="D36">
        <f t="shared" si="3"/>
        <v>18.128904763419701</v>
      </c>
      <c r="F36" t="s">
        <v>9</v>
      </c>
      <c r="G36" s="1">
        <f t="shared" si="4"/>
        <v>18.128904763419701</v>
      </c>
      <c r="H36" s="1">
        <v>0.95773871685799994</v>
      </c>
      <c r="I36" s="1">
        <f t="shared" si="1"/>
        <v>37.460248448734603</v>
      </c>
    </row>
    <row r="37" spans="2:9" x14ac:dyDescent="0.25">
      <c r="B37">
        <f t="shared" si="2"/>
        <v>20.321974015607697</v>
      </c>
      <c r="C37">
        <v>0.97870632443100003</v>
      </c>
      <c r="D37">
        <f t="shared" si="3"/>
        <v>19.343267691176699</v>
      </c>
      <c r="F37" t="s">
        <v>10</v>
      </c>
      <c r="G37" s="1">
        <f t="shared" si="4"/>
        <v>19.343267691176699</v>
      </c>
      <c r="H37" s="1">
        <v>0.97870632443100003</v>
      </c>
      <c r="I37" s="1">
        <f t="shared" si="1"/>
        <v>43.423601779393906</v>
      </c>
    </row>
    <row r="38" spans="2:9" x14ac:dyDescent="0.25">
      <c r="B38">
        <f t="shared" si="2"/>
        <v>22.209992001665398</v>
      </c>
      <c r="C38">
        <v>0.95847706785300002</v>
      </c>
      <c r="D38">
        <f t="shared" si="3"/>
        <v>21.251514933812398</v>
      </c>
      <c r="F38" t="s">
        <v>11</v>
      </c>
      <c r="G38" s="1">
        <f t="shared" si="4"/>
        <v>21.251514933812398</v>
      </c>
      <c r="H38" s="1">
        <v>0.95847706785300002</v>
      </c>
      <c r="I38" s="1">
        <f t="shared" si="1"/>
        <v>51.015803794334197</v>
      </c>
    </row>
    <row r="39" spans="2:9" x14ac:dyDescent="0.25">
      <c r="B39">
        <f t="shared" si="2"/>
        <v>24.365431189976398</v>
      </c>
      <c r="C39">
        <v>0.96982458449300002</v>
      </c>
      <c r="D39">
        <f t="shared" si="3"/>
        <v>23.395606605483398</v>
      </c>
      <c r="F39" t="s">
        <v>12</v>
      </c>
      <c r="G39" s="1">
        <f t="shared" si="4"/>
        <v>23.395606605483398</v>
      </c>
      <c r="H39" s="1">
        <v>0.96982458449300002</v>
      </c>
      <c r="I39" s="1">
        <f t="shared" si="1"/>
        <v>60.149802369318301</v>
      </c>
    </row>
    <row r="40" spans="2:9" x14ac:dyDescent="0.25">
      <c r="B40">
        <f t="shared" si="2"/>
        <v>26.9801957242335</v>
      </c>
      <c r="C40">
        <v>1.0374455020610001</v>
      </c>
      <c r="D40">
        <f t="shared" si="3"/>
        <v>25.942750222172499</v>
      </c>
      <c r="F40" t="s">
        <v>13</v>
      </c>
      <c r="G40" s="1">
        <f t="shared" si="4"/>
        <v>25.942750222172499</v>
      </c>
      <c r="H40" s="1">
        <v>1.0374455020610001</v>
      </c>
      <c r="I40" s="1">
        <f t="shared" si="1"/>
        <v>67.160415903686498</v>
      </c>
    </row>
    <row r="41" spans="2:9" x14ac:dyDescent="0.25">
      <c r="B41">
        <f t="shared" si="2"/>
        <v>23.911144111780398</v>
      </c>
      <c r="C41">
        <v>0.95241456322500095</v>
      </c>
      <c r="D41">
        <f t="shared" si="3"/>
        <v>22.958729548555397</v>
      </c>
      <c r="F41" t="s">
        <v>14</v>
      </c>
      <c r="G41" s="1">
        <f t="shared" si="4"/>
        <v>22.958729548555397</v>
      </c>
      <c r="H41" s="1">
        <v>0.95241456322500095</v>
      </c>
      <c r="I41" s="1">
        <f t="shared" si="1"/>
        <v>56.505002761378101</v>
      </c>
    </row>
    <row r="42" spans="2:9" x14ac:dyDescent="0.25">
      <c r="B42">
        <f t="shared" si="2"/>
        <v>18.4787655763106</v>
      </c>
      <c r="C42">
        <v>0.80918768481100001</v>
      </c>
      <c r="D42">
        <f t="shared" si="3"/>
        <v>17.6695778914996</v>
      </c>
      <c r="F42" t="s">
        <v>15</v>
      </c>
      <c r="G42" s="1">
        <f t="shared" si="4"/>
        <v>17.6695778914996</v>
      </c>
      <c r="H42" s="1">
        <v>0.80918768481100001</v>
      </c>
      <c r="I42" s="1">
        <f t="shared" si="1"/>
        <v>48.098749976823399</v>
      </c>
    </row>
    <row r="43" spans="2:9" x14ac:dyDescent="0.25">
      <c r="B43">
        <f t="shared" si="2"/>
        <v>13.665904697592099</v>
      </c>
      <c r="C43">
        <v>0.62441043096600002</v>
      </c>
      <c r="D43">
        <f t="shared" si="3"/>
        <v>13.041494266626099</v>
      </c>
      <c r="F43" t="s">
        <v>16</v>
      </c>
      <c r="G43" s="1">
        <f t="shared" si="4"/>
        <v>13.041494266626099</v>
      </c>
      <c r="H43" s="1">
        <v>0.62441043096600002</v>
      </c>
      <c r="I43" s="1">
        <f t="shared" si="1"/>
        <v>41.138080485189001</v>
      </c>
    </row>
    <row r="44" spans="2:9" x14ac:dyDescent="0.25">
      <c r="B44">
        <f t="shared" si="2"/>
        <v>12.407250881187199</v>
      </c>
      <c r="C44">
        <v>0.64732718937599998</v>
      </c>
      <c r="D44">
        <f t="shared" si="3"/>
        <v>11.759923691811199</v>
      </c>
      <c r="F44" t="s">
        <v>17</v>
      </c>
      <c r="G44" s="1">
        <f t="shared" si="4"/>
        <v>11.759923691811199</v>
      </c>
      <c r="H44" s="1">
        <v>0.64732718937599998</v>
      </c>
      <c r="I44" s="1">
        <f t="shared" si="1"/>
        <v>41.359219493629404</v>
      </c>
    </row>
    <row r="45" spans="2:9" x14ac:dyDescent="0.25">
      <c r="B45">
        <f t="shared" si="2"/>
        <v>229.37060146619302</v>
      </c>
      <c r="C45">
        <v>10.338883133313001</v>
      </c>
      <c r="D45">
        <f t="shared" si="3"/>
        <v>219.03171833288002</v>
      </c>
      <c r="F45" t="s">
        <v>23</v>
      </c>
      <c r="G45" s="1">
        <f t="shared" si="4"/>
        <v>219.03171833288002</v>
      </c>
      <c r="H45" s="1">
        <v>10.338883133313001</v>
      </c>
      <c r="I45" s="1">
        <f t="shared" si="1"/>
        <v>544.0360041325755</v>
      </c>
    </row>
  </sheetData>
  <mergeCells count="3">
    <mergeCell ref="A1:C1"/>
    <mergeCell ref="E1:G1"/>
    <mergeCell ref="I1:K1"/>
  </mergeCells>
  <phoneticPr fontId="1" type="noConversion"/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5DF5C-2473-4CFE-A1F1-26D593D47CA7}">
  <dimension ref="A1:Q35"/>
  <sheetViews>
    <sheetView topLeftCell="A13" zoomScale="120" zoomScaleNormal="120" workbookViewId="0">
      <selection activeCell="D3" sqref="D3"/>
    </sheetView>
  </sheetViews>
  <sheetFormatPr defaultRowHeight="15" x14ac:dyDescent="0.25"/>
  <cols>
    <col min="1" max="1" width="21.85546875" customWidth="1"/>
    <col min="3" max="3" width="10.85546875" customWidth="1"/>
    <col min="4" max="4" width="11.7109375" bestFit="1" customWidth="1"/>
    <col min="14" max="14" width="10.140625" customWidth="1"/>
    <col min="15" max="15" width="10" customWidth="1"/>
  </cols>
  <sheetData>
    <row r="1" spans="1:10" x14ac:dyDescent="0.25">
      <c r="H1" t="s">
        <v>5</v>
      </c>
    </row>
    <row r="2" spans="1:10" x14ac:dyDescent="0.25">
      <c r="B2" t="s">
        <v>3</v>
      </c>
      <c r="C2" t="s">
        <v>4</v>
      </c>
      <c r="H2" t="s">
        <v>2</v>
      </c>
      <c r="I2" t="s">
        <v>0</v>
      </c>
      <c r="J2" t="s">
        <v>1</v>
      </c>
    </row>
    <row r="3" spans="1:10" x14ac:dyDescent="0.25">
      <c r="A3" t="s">
        <v>38</v>
      </c>
      <c r="B3">
        <v>229370.601466194</v>
      </c>
      <c r="C3">
        <f>-400*B3</f>
        <v>-91748240.586477593</v>
      </c>
      <c r="G3" t="s">
        <v>6</v>
      </c>
      <c r="H3">
        <v>15486.634904353499</v>
      </c>
      <c r="I3">
        <v>245.946075947233</v>
      </c>
      <c r="J3">
        <v>35766.643908443897</v>
      </c>
    </row>
    <row r="4" spans="1:10" x14ac:dyDescent="0.25">
      <c r="A4" t="s">
        <v>46</v>
      </c>
      <c r="B4">
        <v>476987.89163213799</v>
      </c>
      <c r="C4">
        <f>(2/5)*B4</f>
        <v>190795.15665285522</v>
      </c>
      <c r="G4" t="s">
        <v>7</v>
      </c>
      <c r="H4">
        <v>15342.3776703684</v>
      </c>
      <c r="I4">
        <v>61.631408165879002</v>
      </c>
      <c r="J4">
        <v>29164.599433271698</v>
      </c>
    </row>
    <row r="5" spans="1:10" x14ac:dyDescent="0.25">
      <c r="A5" t="s">
        <v>34</v>
      </c>
      <c r="B5">
        <v>67048.112500465999</v>
      </c>
      <c r="C5">
        <f>B5*0.645</f>
        <v>43246.032562800574</v>
      </c>
      <c r="G5" t="s">
        <v>8</v>
      </c>
      <c r="H5">
        <v>17114.2872128401</v>
      </c>
      <c r="I5">
        <v>93.875192078784394</v>
      </c>
      <c r="J5">
        <v>32392.3831021806</v>
      </c>
    </row>
    <row r="6" spans="1:10" x14ac:dyDescent="0.25">
      <c r="G6" t="s">
        <v>9</v>
      </c>
      <c r="H6">
        <v>19086.6434802777</v>
      </c>
      <c r="I6">
        <v>1822.3579982170099</v>
      </c>
      <c r="J6">
        <v>35637.8904505178</v>
      </c>
    </row>
    <row r="7" spans="1:10" x14ac:dyDescent="0.25">
      <c r="G7" t="s">
        <v>10</v>
      </c>
      <c r="H7">
        <v>20321.974015607699</v>
      </c>
      <c r="I7">
        <v>3555.1215569013598</v>
      </c>
      <c r="J7">
        <v>39868.480222492697</v>
      </c>
    </row>
    <row r="8" spans="1:10" x14ac:dyDescent="0.25">
      <c r="G8" t="s">
        <v>11</v>
      </c>
      <c r="H8">
        <v>22209.9920016654</v>
      </c>
      <c r="I8">
        <v>8547.7265667496704</v>
      </c>
      <c r="J8">
        <v>42468.077227584799</v>
      </c>
    </row>
    <row r="9" spans="1:10" x14ac:dyDescent="0.25">
      <c r="G9" t="s">
        <v>12</v>
      </c>
      <c r="H9">
        <v>24365.4311899764</v>
      </c>
      <c r="I9">
        <v>13103.253839295499</v>
      </c>
      <c r="J9">
        <v>47046.548530023203</v>
      </c>
    </row>
    <row r="10" spans="1:10" x14ac:dyDescent="0.25">
      <c r="G10" t="s">
        <v>13</v>
      </c>
      <c r="H10">
        <v>26980.195724233501</v>
      </c>
      <c r="I10">
        <v>18672.439061765301</v>
      </c>
      <c r="J10">
        <v>48487.976841921598</v>
      </c>
    </row>
    <row r="11" spans="1:10" x14ac:dyDescent="0.25">
      <c r="G11" t="s">
        <v>14</v>
      </c>
      <c r="H11">
        <v>23911.144111780399</v>
      </c>
      <c r="I11">
        <v>12343.6279981235</v>
      </c>
      <c r="J11">
        <v>44161.374763255</v>
      </c>
    </row>
    <row r="12" spans="1:10" x14ac:dyDescent="0.25">
      <c r="G12" t="s">
        <v>15</v>
      </c>
      <c r="H12">
        <v>18478.765576310601</v>
      </c>
      <c r="I12">
        <v>5158.0923539866199</v>
      </c>
      <c r="J12">
        <v>42940.657622836901</v>
      </c>
    </row>
    <row r="13" spans="1:10" x14ac:dyDescent="0.25">
      <c r="G13" t="s">
        <v>16</v>
      </c>
      <c r="H13">
        <v>13665.904697592099</v>
      </c>
      <c r="I13">
        <v>1998.0300034536799</v>
      </c>
      <c r="J13">
        <v>39140.050481735401</v>
      </c>
    </row>
    <row r="14" spans="1:10" x14ac:dyDescent="0.25">
      <c r="G14" t="s">
        <v>17</v>
      </c>
      <c r="H14">
        <v>12407.250881187199</v>
      </c>
      <c r="I14">
        <v>1446.01044578152</v>
      </c>
      <c r="J14">
        <v>39913.209047848002</v>
      </c>
    </row>
    <row r="15" spans="1:10" x14ac:dyDescent="0.25">
      <c r="G15" t="s">
        <v>18</v>
      </c>
      <c r="H15">
        <f>SUM(H3:H14)</f>
        <v>229370.60146619301</v>
      </c>
      <c r="I15">
        <f>SUM(I3:I14)</f>
        <v>67048.112500466057</v>
      </c>
      <c r="J15">
        <f>SUM(J3:J14)</f>
        <v>476987.89163211151</v>
      </c>
    </row>
    <row r="18" spans="7:17" x14ac:dyDescent="0.25">
      <c r="G18" t="s">
        <v>21</v>
      </c>
      <c r="H18" t="s">
        <v>20</v>
      </c>
      <c r="I18" t="s">
        <v>19</v>
      </c>
    </row>
    <row r="19" spans="7:17" x14ac:dyDescent="0.25">
      <c r="G19">
        <v>15486.634904353499</v>
      </c>
      <c r="H19">
        <v>0.71202839680099994</v>
      </c>
      <c r="I19">
        <f>G19-H19*1000</f>
        <v>14774.606507552498</v>
      </c>
      <c r="J19">
        <f t="shared" ref="J19:J31" si="0">H3/(H3+I3+J3)</f>
        <v>0.30071588335183208</v>
      </c>
    </row>
    <row r="20" spans="7:17" x14ac:dyDescent="0.25">
      <c r="G20">
        <v>15342.3776703684</v>
      </c>
      <c r="H20">
        <v>0.75859287642700002</v>
      </c>
      <c r="I20">
        <f t="shared" ref="I20:I31" si="1">G20-H20*1000</f>
        <v>14583.7847939414</v>
      </c>
      <c r="J20">
        <f t="shared" si="0"/>
        <v>0.3442417922090677</v>
      </c>
    </row>
    <row r="21" spans="7:17" x14ac:dyDescent="0.25">
      <c r="G21">
        <v>17114.2872128401</v>
      </c>
      <c r="H21">
        <v>0.93272979601099992</v>
      </c>
      <c r="I21">
        <f t="shared" si="1"/>
        <v>16181.557416829099</v>
      </c>
      <c r="J21">
        <f t="shared" si="0"/>
        <v>0.34504231834285931</v>
      </c>
    </row>
    <row r="22" spans="7:17" x14ac:dyDescent="0.25">
      <c r="G22">
        <v>19086.6434802777</v>
      </c>
      <c r="H22">
        <v>0.95773871685799994</v>
      </c>
      <c r="I22">
        <f t="shared" si="1"/>
        <v>18128.904763419701</v>
      </c>
      <c r="J22">
        <f t="shared" si="0"/>
        <v>0.33753656176609276</v>
      </c>
      <c r="M22" t="s">
        <v>22</v>
      </c>
      <c r="N22" t="s">
        <v>24</v>
      </c>
      <c r="O22" t="s">
        <v>25</v>
      </c>
      <c r="P22" t="s">
        <v>26</v>
      </c>
      <c r="Q22" t="s">
        <v>27</v>
      </c>
    </row>
    <row r="23" spans="7:17" x14ac:dyDescent="0.25">
      <c r="G23">
        <v>20321.974015607699</v>
      </c>
      <c r="H23">
        <v>0.97870632443100003</v>
      </c>
      <c r="I23">
        <f t="shared" si="1"/>
        <v>19343.267691176698</v>
      </c>
      <c r="J23">
        <f t="shared" si="0"/>
        <v>0.31879818735908461</v>
      </c>
      <c r="M23" t="s">
        <v>6</v>
      </c>
      <c r="N23" s="1">
        <f>I19/1000</f>
        <v>14.774606507552498</v>
      </c>
      <c r="O23" s="1">
        <v>0.71202839680099994</v>
      </c>
      <c r="P23" s="1">
        <f>J3/1000</f>
        <v>35.766643908443896</v>
      </c>
      <c r="Q23" s="1">
        <f>I3/1000</f>
        <v>0.245946075947233</v>
      </c>
    </row>
    <row r="24" spans="7:17" x14ac:dyDescent="0.25">
      <c r="G24">
        <v>22209.9920016654</v>
      </c>
      <c r="H24">
        <v>0.95847706785300002</v>
      </c>
      <c r="I24">
        <f t="shared" si="1"/>
        <v>21251.514933812399</v>
      </c>
      <c r="J24">
        <f t="shared" si="0"/>
        <v>0.3033083049522648</v>
      </c>
      <c r="M24" t="s">
        <v>7</v>
      </c>
      <c r="N24" s="1">
        <f t="shared" ref="N24:N35" si="2">I20/1000</f>
        <v>14.583784793941401</v>
      </c>
      <c r="O24" s="1">
        <v>0.75859287642700002</v>
      </c>
      <c r="P24" s="1">
        <f t="shared" ref="P24:P35" si="3">J4/1000</f>
        <v>29.164599433271697</v>
      </c>
      <c r="Q24" s="1">
        <f t="shared" ref="Q24:Q35" si="4">I4/1000</f>
        <v>6.1631408165879004E-2</v>
      </c>
    </row>
    <row r="25" spans="7:17" x14ac:dyDescent="0.25">
      <c r="G25">
        <v>24365.4311899764</v>
      </c>
      <c r="H25">
        <v>0.96982458449300002</v>
      </c>
      <c r="I25">
        <f t="shared" si="1"/>
        <v>23395.606605483401</v>
      </c>
      <c r="J25">
        <f>H9/(H9+I9+J9)</f>
        <v>0.28829632438845287</v>
      </c>
      <c r="M25" t="s">
        <v>8</v>
      </c>
      <c r="N25" s="1">
        <f t="shared" si="2"/>
        <v>16.181557416829097</v>
      </c>
      <c r="O25" s="1">
        <v>0.93272979601099992</v>
      </c>
      <c r="P25" s="1">
        <f t="shared" si="3"/>
        <v>32.392383102180602</v>
      </c>
      <c r="Q25" s="1">
        <f t="shared" si="4"/>
        <v>9.3875192078784392E-2</v>
      </c>
    </row>
    <row r="26" spans="7:17" x14ac:dyDescent="0.25">
      <c r="G26">
        <v>26980.195724233501</v>
      </c>
      <c r="H26">
        <v>1.0374455020610001</v>
      </c>
      <c r="I26">
        <f t="shared" si="1"/>
        <v>25942.750222172501</v>
      </c>
      <c r="J26">
        <f t="shared" si="0"/>
        <v>0.28659465089168451</v>
      </c>
      <c r="M26" t="s">
        <v>9</v>
      </c>
      <c r="N26" s="1">
        <f t="shared" si="2"/>
        <v>18.128904763419701</v>
      </c>
      <c r="O26" s="1">
        <v>0.95773871685799994</v>
      </c>
      <c r="P26" s="1">
        <f t="shared" si="3"/>
        <v>35.637890450517801</v>
      </c>
      <c r="Q26" s="1">
        <f t="shared" si="4"/>
        <v>1.8223579982170099</v>
      </c>
    </row>
    <row r="27" spans="7:17" x14ac:dyDescent="0.25">
      <c r="G27">
        <v>23911.144111780399</v>
      </c>
      <c r="H27">
        <v>0.95241456322500095</v>
      </c>
      <c r="I27">
        <f t="shared" si="1"/>
        <v>22958.729548555399</v>
      </c>
      <c r="J27">
        <f t="shared" si="0"/>
        <v>0.29734257411631099</v>
      </c>
      <c r="M27" t="s">
        <v>10</v>
      </c>
      <c r="N27" s="1">
        <f t="shared" si="2"/>
        <v>19.343267691176699</v>
      </c>
      <c r="O27" s="1">
        <v>0.97870632443100003</v>
      </c>
      <c r="P27" s="1">
        <f t="shared" si="3"/>
        <v>39.8684802224927</v>
      </c>
      <c r="Q27" s="1">
        <f t="shared" si="4"/>
        <v>3.5551215569013599</v>
      </c>
    </row>
    <row r="28" spans="7:17" x14ac:dyDescent="0.25">
      <c r="G28">
        <v>18478.765576310601</v>
      </c>
      <c r="H28">
        <v>0.80918768481100001</v>
      </c>
      <c r="I28">
        <f t="shared" si="1"/>
        <v>17669.577891499601</v>
      </c>
      <c r="J28">
        <f t="shared" si="0"/>
        <v>0.27755264555588721</v>
      </c>
      <c r="M28" t="s">
        <v>11</v>
      </c>
      <c r="N28" s="1">
        <f t="shared" si="2"/>
        <v>21.251514933812398</v>
      </c>
      <c r="O28" s="1">
        <v>0.95847706785300002</v>
      </c>
      <c r="P28" s="1">
        <f t="shared" si="3"/>
        <v>42.4680772275848</v>
      </c>
      <c r="Q28" s="1">
        <f t="shared" si="4"/>
        <v>8.5477265667496702</v>
      </c>
    </row>
    <row r="29" spans="7:17" x14ac:dyDescent="0.25">
      <c r="G29">
        <v>13665.904697592099</v>
      </c>
      <c r="H29">
        <v>0.62441043096600002</v>
      </c>
      <c r="I29">
        <f t="shared" si="1"/>
        <v>13041.494266626099</v>
      </c>
      <c r="J29">
        <f t="shared" si="0"/>
        <v>0.24935968893528165</v>
      </c>
      <c r="M29" t="s">
        <v>12</v>
      </c>
      <c r="N29" s="1">
        <f t="shared" si="2"/>
        <v>23.395606605483401</v>
      </c>
      <c r="O29" s="1">
        <v>0.96982458449300002</v>
      </c>
      <c r="P29" s="1">
        <f t="shared" si="3"/>
        <v>47.046548530023202</v>
      </c>
      <c r="Q29" s="1">
        <f t="shared" si="4"/>
        <v>13.103253839295499</v>
      </c>
    </row>
    <row r="30" spans="7:17" x14ac:dyDescent="0.25">
      <c r="G30">
        <v>12407.250881187199</v>
      </c>
      <c r="H30">
        <v>0.64732718937599998</v>
      </c>
      <c r="I30">
        <f t="shared" si="1"/>
        <v>11759.9236918112</v>
      </c>
      <c r="J30">
        <f t="shared" si="0"/>
        <v>0.23076186319640835</v>
      </c>
      <c r="M30" t="s">
        <v>13</v>
      </c>
      <c r="N30" s="1">
        <f t="shared" si="2"/>
        <v>25.942750222172499</v>
      </c>
      <c r="O30" s="1">
        <v>1.0374455020610001</v>
      </c>
      <c r="P30" s="1">
        <f t="shared" si="3"/>
        <v>48.487976841921601</v>
      </c>
      <c r="Q30" s="1">
        <f t="shared" si="4"/>
        <v>18.672439061765299</v>
      </c>
    </row>
    <row r="31" spans="7:17" x14ac:dyDescent="0.25">
      <c r="G31">
        <f>SUM(G19:G30)</f>
        <v>229370.60146619301</v>
      </c>
      <c r="H31">
        <v>10.338883133313001</v>
      </c>
      <c r="I31">
        <f t="shared" si="1"/>
        <v>219031.71833288</v>
      </c>
      <c r="J31">
        <f t="shared" si="0"/>
        <v>0.29657181591902043</v>
      </c>
      <c r="M31" t="s">
        <v>14</v>
      </c>
      <c r="N31" s="1">
        <f t="shared" si="2"/>
        <v>22.9587295485554</v>
      </c>
      <c r="O31" s="1">
        <v>0.95241456322500095</v>
      </c>
      <c r="P31" s="1">
        <f t="shared" si="3"/>
        <v>44.161374763254997</v>
      </c>
      <c r="Q31" s="1">
        <f t="shared" si="4"/>
        <v>12.3436279981235</v>
      </c>
    </row>
    <row r="32" spans="7:17" x14ac:dyDescent="0.25">
      <c r="M32" t="s">
        <v>15</v>
      </c>
      <c r="N32" s="1">
        <f t="shared" si="2"/>
        <v>17.6695778914996</v>
      </c>
      <c r="O32" s="1">
        <v>0.80918768481100001</v>
      </c>
      <c r="P32" s="1">
        <f t="shared" si="3"/>
        <v>42.940657622836902</v>
      </c>
      <c r="Q32" s="1">
        <f t="shared" si="4"/>
        <v>5.1580923539866195</v>
      </c>
    </row>
    <row r="33" spans="13:17" x14ac:dyDescent="0.25">
      <c r="M33" t="s">
        <v>16</v>
      </c>
      <c r="N33" s="1">
        <f t="shared" si="2"/>
        <v>13.041494266626099</v>
      </c>
      <c r="O33" s="1">
        <v>0.62441043096600002</v>
      </c>
      <c r="P33" s="1">
        <f t="shared" si="3"/>
        <v>39.1400504817354</v>
      </c>
      <c r="Q33" s="1">
        <f t="shared" si="4"/>
        <v>1.99803000345368</v>
      </c>
    </row>
    <row r="34" spans="13:17" x14ac:dyDescent="0.25">
      <c r="M34" t="s">
        <v>17</v>
      </c>
      <c r="N34" s="1">
        <f t="shared" si="2"/>
        <v>11.759923691811201</v>
      </c>
      <c r="O34" s="1">
        <v>0.64732718937599998</v>
      </c>
      <c r="P34" s="1">
        <f t="shared" si="3"/>
        <v>39.913209047847999</v>
      </c>
      <c r="Q34" s="1">
        <f t="shared" si="4"/>
        <v>1.4460104457815199</v>
      </c>
    </row>
    <row r="35" spans="13:17" x14ac:dyDescent="0.25">
      <c r="M35" t="s">
        <v>23</v>
      </c>
      <c r="N35" s="1">
        <f t="shared" si="2"/>
        <v>219.03171833287999</v>
      </c>
      <c r="O35" s="1">
        <v>10.338883133313001</v>
      </c>
      <c r="P35" s="1">
        <f t="shared" si="3"/>
        <v>476.98789163211148</v>
      </c>
      <c r="Q35" s="1">
        <f t="shared" si="4"/>
        <v>67.048112500466061</v>
      </c>
    </row>
  </sheetData>
  <phoneticPr fontId="1" type="noConversion"/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Model 2.1</vt:lpstr>
      <vt:lpstr>Model 2.2</vt:lpstr>
      <vt:lpstr>Model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Schwartz, David</cp:lastModifiedBy>
  <dcterms:created xsi:type="dcterms:W3CDTF">2015-06-05T18:17:20Z</dcterms:created>
  <dcterms:modified xsi:type="dcterms:W3CDTF">2021-03-15T15:45:38Z</dcterms:modified>
</cp:coreProperties>
</file>