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15" sheetId="1" r:id="rId4"/>
    <sheet state="visible" name="2016" sheetId="2" r:id="rId5"/>
    <sheet state="visible" name="2017" sheetId="3" r:id="rId6"/>
    <sheet state="visible" name="2018" sheetId="4" r:id="rId7"/>
    <sheet state="visible" name="2019" sheetId="5" r:id="rId8"/>
    <sheet state="visible" name="Cumulative Total" sheetId="6" r:id="rId9"/>
    <sheet state="visible" name="tables" sheetId="7" r:id="rId10"/>
  </sheets>
  <definedNames/>
  <calcPr/>
</workbook>
</file>

<file path=xl/sharedStrings.xml><?xml version="1.0" encoding="utf-8"?>
<sst xmlns="http://schemas.openxmlformats.org/spreadsheetml/2006/main" count="204" uniqueCount="59">
  <si>
    <t>Type</t>
  </si>
  <si>
    <t>Composition</t>
  </si>
  <si>
    <t>Amount (tons)</t>
  </si>
  <si>
    <t>Amount Collectors (tons)</t>
  </si>
  <si>
    <t>Total (tons)</t>
  </si>
  <si>
    <t>DOCf</t>
  </si>
  <si>
    <t>degradable fraction</t>
  </si>
  <si>
    <t>degradable organic carbon</t>
  </si>
  <si>
    <t>decay rate</t>
  </si>
  <si>
    <t>Amount Remaining 2019</t>
  </si>
  <si>
    <t>Amount remaining 2020</t>
  </si>
  <si>
    <t>Amount Decomposed</t>
  </si>
  <si>
    <t xml:space="preserve">Methane </t>
  </si>
  <si>
    <t>CO2</t>
  </si>
  <si>
    <t>CO2 eq</t>
  </si>
  <si>
    <t>Food waste</t>
  </si>
  <si>
    <t>Garden</t>
  </si>
  <si>
    <t>Paper and Cardboard</t>
  </si>
  <si>
    <t>Wood and straw</t>
  </si>
  <si>
    <t>Textiles</t>
  </si>
  <si>
    <t>Disposable nappies</t>
  </si>
  <si>
    <t>Industrial waste</t>
  </si>
  <si>
    <t>Sewage sludge</t>
  </si>
  <si>
    <t>Total Methane (tons)</t>
  </si>
  <si>
    <t>Recovery (?) (tons)</t>
  </si>
  <si>
    <t>Net Methane (tons)</t>
  </si>
  <si>
    <t>Total CO2</t>
  </si>
  <si>
    <t>Carbon Dioxide Equiv.</t>
  </si>
  <si>
    <t>Plastic</t>
  </si>
  <si>
    <t>Metal</t>
  </si>
  <si>
    <t>Glass</t>
  </si>
  <si>
    <t>Other</t>
  </si>
  <si>
    <t>Total Primary (tons)</t>
  </si>
  <si>
    <t>Amount Household(tons)</t>
  </si>
  <si>
    <t xml:space="preserve">Carbon Dioxide </t>
  </si>
  <si>
    <t>Total CO2 (ton)</t>
  </si>
  <si>
    <t>Amount Primary (tons)</t>
  </si>
  <si>
    <t>L0 = [MCF * DOC * DOCF * F * 16/12 (Gg CH4 / Gg waste)]</t>
  </si>
  <si>
    <t>CH4 emissions (Gg/yr) = [(MSWT * MSWF * L0) - R] *(1 - OX)</t>
  </si>
  <si>
    <t>DOC = (0.4A) + (0.17B) + (0.15C) + (0.3D) A= paper/textiles, B= garden, park, non-food organic, C= food, D= wood/straw</t>
  </si>
  <si>
    <t>to convert to carbon dioxide equivalents multiply by 25</t>
  </si>
  <si>
    <t>Household Composition</t>
  </si>
  <si>
    <t>Household total</t>
  </si>
  <si>
    <t>degradable content</t>
  </si>
  <si>
    <t>Methane (tons)</t>
  </si>
  <si>
    <t>Carbon Dioxide (tons)</t>
  </si>
  <si>
    <t>Cumulative Total (tons CO2 eq)</t>
  </si>
  <si>
    <t>Degradable Content Fraction (DOCi)</t>
  </si>
  <si>
    <t>Decay Rate k (1/yr)</t>
  </si>
  <si>
    <t>Year</t>
  </si>
  <si>
    <t>Methane Emissions</t>
  </si>
  <si>
    <t>Methane Recovered (tons)</t>
  </si>
  <si>
    <t>Methane Recovered CO2(eq)</t>
  </si>
  <si>
    <t>CO2 (tons)</t>
  </si>
  <si>
    <t>CO2 eq (tons)</t>
  </si>
  <si>
    <t>Total</t>
  </si>
  <si>
    <t xml:space="preserve"> Emissions CO2 eq (tons)</t>
  </si>
  <si>
    <t>total</t>
  </si>
  <si>
    <t>Diapers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</si>
</sst>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</font>
    <font>
      <color theme="1"/>
      <name val="Arial"/>
    </font>
    <font>
      <color rgb="FF000000"/>
      <name val="Roboto"/>
    </font>
    <font>
      <sz val="11.0"/>
      <color rgb="FF000000"/>
      <name val="Inconsolata"/>
    </font>
    <font>
      <b/>
      <color theme="1"/>
      <name val="Arial"/>
    </font>
    <font>
      <name val="Arial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</fills>
  <borders count="5">
    <border/>
    <border>
      <right style="thin">
        <color rgb="FF000000"/>
      </right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/>
    </border>
  </borders>
  <cellStyleXfs count="1">
    <xf borderId="0" fillId="0" fontId="0" numFmtId="0" applyAlignment="1" applyFont="1"/>
  </cellStyleXfs>
  <cellXfs count="6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2" fontId="2" numFmtId="0" xfId="0" applyAlignment="1" applyFill="1" applyFont="1">
      <alignment readingOrder="0"/>
    </xf>
    <xf borderId="1" fillId="0" fontId="1" numFmtId="0" xfId="0" applyAlignment="1" applyBorder="1" applyFont="1">
      <alignment readingOrder="0"/>
    </xf>
    <xf borderId="0" fillId="0" fontId="1" numFmtId="0" xfId="0" applyAlignment="1" applyFont="1">
      <alignment readingOrder="0" vertical="bottom"/>
    </xf>
    <xf borderId="0" fillId="0" fontId="1" numFmtId="0" xfId="0" applyAlignment="1" applyFont="1">
      <alignment horizontal="left" readingOrder="0" shrinkToFit="0" vertical="bottom" wrapText="0"/>
    </xf>
    <xf borderId="0" fillId="0" fontId="1" numFmtId="2" xfId="0" applyAlignment="1" applyFont="1" applyNumberFormat="1">
      <alignment readingOrder="0"/>
    </xf>
    <xf borderId="0" fillId="0" fontId="1" numFmtId="2" xfId="0" applyFont="1" applyNumberFormat="1"/>
    <xf borderId="0" fillId="0" fontId="1" numFmtId="2" xfId="0" applyAlignment="1" applyFont="1" applyNumberFormat="1">
      <alignment horizontal="right" readingOrder="0" shrinkToFit="0" vertical="bottom" wrapText="0"/>
    </xf>
    <xf borderId="0" fillId="2" fontId="3" numFmtId="2" xfId="0" applyFont="1" applyNumberFormat="1"/>
    <xf borderId="0" fillId="0" fontId="1" numFmtId="0" xfId="0" applyFont="1"/>
    <xf borderId="0" fillId="0" fontId="1" numFmtId="0" xfId="0" applyAlignment="1" applyFont="1">
      <alignment horizontal="right" vertical="bottom"/>
    </xf>
    <xf borderId="2" fillId="0" fontId="1" numFmtId="0" xfId="0" applyAlignment="1" applyBorder="1" applyFont="1">
      <alignment horizontal="left" readingOrder="0" shrinkToFit="0" vertical="bottom" wrapText="0"/>
    </xf>
    <xf borderId="2" fillId="0" fontId="1" numFmtId="0" xfId="0" applyAlignment="1" applyBorder="1" applyFont="1">
      <alignment readingOrder="0"/>
    </xf>
    <xf borderId="2" fillId="0" fontId="1" numFmtId="2" xfId="0" applyBorder="1" applyFont="1" applyNumberFormat="1"/>
    <xf borderId="2" fillId="0" fontId="1" numFmtId="2" xfId="0" applyAlignment="1" applyBorder="1" applyFont="1" applyNumberFormat="1">
      <alignment readingOrder="0"/>
    </xf>
    <xf borderId="2" fillId="0" fontId="1" numFmtId="2" xfId="0" applyAlignment="1" applyBorder="1" applyFont="1" applyNumberFormat="1">
      <alignment horizontal="right" readingOrder="0" shrinkToFit="0" vertical="bottom" wrapText="0"/>
    </xf>
    <xf borderId="2" fillId="2" fontId="3" numFmtId="2" xfId="0" applyBorder="1" applyFont="1" applyNumberFormat="1"/>
    <xf borderId="2" fillId="0" fontId="1" numFmtId="0" xfId="0" applyBorder="1" applyFont="1"/>
    <xf borderId="3" fillId="0" fontId="1" numFmtId="0" xfId="0" applyAlignment="1" applyBorder="1" applyFont="1">
      <alignment readingOrder="0"/>
    </xf>
    <xf borderId="0" fillId="3" fontId="4" numFmtId="0" xfId="0" applyAlignment="1" applyFill="1" applyFont="1">
      <alignment readingOrder="0"/>
    </xf>
    <xf borderId="0" fillId="3" fontId="4" numFmtId="0" xfId="0" applyFont="1"/>
    <xf borderId="0" fillId="3" fontId="4" numFmtId="4" xfId="0" applyAlignment="1" applyFont="1" applyNumberFormat="1">
      <alignment readingOrder="0"/>
    </xf>
    <xf borderId="0" fillId="3" fontId="4" numFmtId="4" xfId="0" applyFont="1" applyNumberFormat="1"/>
    <xf borderId="0" fillId="0" fontId="4" numFmtId="0" xfId="0" applyAlignment="1" applyFont="1">
      <alignment readingOrder="0"/>
    </xf>
    <xf borderId="1" fillId="0" fontId="1" numFmtId="0" xfId="0" applyBorder="1" applyFont="1"/>
    <xf borderId="0" fillId="0" fontId="4" numFmtId="0" xfId="0" applyFont="1"/>
    <xf borderId="2" fillId="3" fontId="1" numFmtId="2" xfId="0" applyAlignment="1" applyBorder="1" applyFont="1" applyNumberFormat="1">
      <alignment readingOrder="0"/>
    </xf>
    <xf borderId="3" fillId="0" fontId="1" numFmtId="0" xfId="0" applyBorder="1" applyFont="1"/>
    <xf borderId="0" fillId="3" fontId="4" numFmtId="0" xfId="0" applyAlignment="1" applyFont="1">
      <alignment vertical="bottom"/>
    </xf>
    <xf borderId="0" fillId="3" fontId="4" numFmtId="4" xfId="0" applyAlignment="1" applyFont="1" applyNumberFormat="1">
      <alignment vertical="bottom"/>
    </xf>
    <xf borderId="0" fillId="3" fontId="4" numFmtId="0" xfId="0" applyAlignment="1" applyFont="1">
      <alignment readingOrder="0" vertical="bottom"/>
    </xf>
    <xf borderId="4" fillId="3" fontId="4" numFmtId="0" xfId="0" applyAlignment="1" applyBorder="1" applyFont="1">
      <alignment shrinkToFit="0" vertical="bottom" wrapText="0"/>
    </xf>
    <xf borderId="0" fillId="0" fontId="1" numFmtId="0" xfId="0" applyAlignment="1" applyFont="1">
      <alignment vertical="bottom"/>
    </xf>
    <xf borderId="0" fillId="3" fontId="4" numFmtId="0" xfId="0" applyAlignment="1" applyFont="1">
      <alignment horizontal="right" vertical="bottom"/>
    </xf>
    <xf borderId="0" fillId="0" fontId="4" numFmtId="4" xfId="0" applyAlignment="1" applyFont="1" applyNumberFormat="1">
      <alignment readingOrder="0"/>
    </xf>
    <xf borderId="0" fillId="0" fontId="4" numFmtId="4" xfId="0" applyFont="1" applyNumberFormat="1"/>
    <xf borderId="0" fillId="3" fontId="4" numFmtId="0" xfId="0" applyAlignment="1" applyFont="1">
      <alignment vertical="bottom"/>
    </xf>
    <xf borderId="4" fillId="3" fontId="4" numFmtId="0" xfId="0" applyAlignment="1" applyBorder="1" applyFont="1">
      <alignment vertical="bottom"/>
    </xf>
    <xf borderId="0" fillId="0" fontId="1" numFmtId="3" xfId="0" applyAlignment="1" applyFont="1" applyNumberFormat="1">
      <alignment readingOrder="0"/>
    </xf>
    <xf borderId="0" fillId="2" fontId="2" numFmtId="0" xfId="0" applyAlignment="1" applyFont="1">
      <alignment vertical="bottom"/>
    </xf>
    <xf borderId="1" fillId="0" fontId="1" numFmtId="0" xfId="0" applyAlignment="1" applyBorder="1" applyFont="1">
      <alignment readingOrder="0" vertical="bottom"/>
    </xf>
    <xf borderId="0" fillId="0" fontId="1" numFmtId="0" xfId="0" applyAlignment="1" applyFont="1">
      <alignment vertical="bottom"/>
    </xf>
    <xf borderId="0" fillId="0" fontId="1" numFmtId="2" xfId="0" applyAlignment="1" applyFont="1" applyNumberFormat="1">
      <alignment horizontal="right" vertical="bottom"/>
    </xf>
    <xf borderId="0" fillId="0" fontId="1" numFmtId="2" xfId="0" applyAlignment="1" applyFont="1" applyNumberFormat="1">
      <alignment horizontal="right" readingOrder="0" vertical="bottom"/>
    </xf>
    <xf borderId="0" fillId="0" fontId="1" numFmtId="0" xfId="0" applyAlignment="1" applyFont="1">
      <alignment horizontal="right" readingOrder="0" vertical="bottom"/>
    </xf>
    <xf borderId="1" fillId="0" fontId="1" numFmtId="0" xfId="0" applyAlignment="1" applyBorder="1" applyFont="1">
      <alignment horizontal="right" vertical="bottom"/>
    </xf>
    <xf borderId="0" fillId="0" fontId="1" numFmtId="2" xfId="0" applyAlignment="1" applyFont="1" applyNumberFormat="1">
      <alignment vertical="bottom"/>
    </xf>
    <xf borderId="2" fillId="0" fontId="1" numFmtId="0" xfId="0" applyAlignment="1" applyBorder="1" applyFont="1">
      <alignment vertical="bottom"/>
    </xf>
    <xf borderId="2" fillId="0" fontId="1" numFmtId="0" xfId="0" applyAlignment="1" applyBorder="1" applyFont="1">
      <alignment horizontal="right" vertical="bottom"/>
    </xf>
    <xf borderId="2" fillId="0" fontId="1" numFmtId="2" xfId="0" applyAlignment="1" applyBorder="1" applyFont="1" applyNumberFormat="1">
      <alignment horizontal="right" vertical="bottom"/>
    </xf>
    <xf borderId="2" fillId="0" fontId="1" numFmtId="2" xfId="0" applyAlignment="1" applyBorder="1" applyFont="1" applyNumberFormat="1">
      <alignment horizontal="right" readingOrder="0" vertical="bottom"/>
    </xf>
    <xf borderId="2" fillId="3" fontId="1" numFmtId="2" xfId="0" applyAlignment="1" applyBorder="1" applyFont="1" applyNumberFormat="1">
      <alignment horizontal="right" vertical="bottom"/>
    </xf>
    <xf borderId="2" fillId="0" fontId="1" numFmtId="0" xfId="0" applyAlignment="1" applyBorder="1" applyFont="1">
      <alignment horizontal="right" readingOrder="0" vertical="bottom"/>
    </xf>
    <xf borderId="3" fillId="0" fontId="1" numFmtId="0" xfId="0" applyAlignment="1" applyBorder="1" applyFont="1">
      <alignment horizontal="right" vertical="bottom"/>
    </xf>
    <xf borderId="0" fillId="2" fontId="2" numFmtId="0" xfId="0" applyAlignment="1" applyFont="1">
      <alignment readingOrder="0" vertical="bottom"/>
    </xf>
    <xf borderId="0" fillId="0" fontId="1" numFmtId="3" xfId="0" applyFont="1" applyNumberFormat="1"/>
    <xf borderId="0" fillId="0" fontId="1" numFmtId="0" xfId="0" applyAlignment="1" applyFont="1">
      <alignment horizontal="center" readingOrder="0"/>
    </xf>
    <xf borderId="0" fillId="0" fontId="1" numFmtId="3" xfId="0" applyFont="1" applyNumberFormat="1"/>
    <xf borderId="0" fillId="0" fontId="5" numFmtId="0" xfId="0" applyAlignment="1" applyFont="1">
      <alignment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chemeClr val="dk1"/>
                </a:solidFill>
                <a:latin typeface="+mn-lt"/>
              </a:defRPr>
            </a:pPr>
            <a:r>
              <a:rPr b="0">
                <a:solidFill>
                  <a:schemeClr val="dk1"/>
                </a:solidFill>
                <a:latin typeface="+mn-lt"/>
              </a:rPr>
              <a:t>Composition Of Emissions by Waste Type </a:t>
            </a:r>
          </a:p>
        </c:rich>
      </c:tx>
      <c:overlay val="0"/>
    </c:title>
    <c:plotArea>
      <c:layout>
        <c:manualLayout>
          <c:xMode val="edge"/>
          <c:yMode val="edge"/>
          <c:x val="0.030909090909090924"/>
          <c:y val="0.16736694677871142"/>
          <c:w val="0.9049391553328565"/>
          <c:h val="0.7549019607843138"/>
        </c:manualLayout>
      </c:layout>
      <c:pieChart>
        <c:varyColors val="1"/>
        <c:ser>
          <c:idx val="0"/>
          <c:order val="0"/>
          <c:tx>
            <c:strRef>
              <c:f>tables!$G$18:$G$19</c:f>
            </c:strRef>
          </c:tx>
          <c:dPt>
            <c:idx val="0"/>
            <c:spPr>
              <a:solidFill>
                <a:srgbClr val="6FA8DC"/>
              </a:solidFill>
            </c:spPr>
          </c:dPt>
          <c:dPt>
            <c:idx val="1"/>
            <c:spPr>
              <a:solidFill>
                <a:srgbClr val="783F04"/>
              </a:solidFill>
            </c:spPr>
          </c:dPt>
          <c:dPt>
            <c:idx val="2"/>
            <c:spPr>
              <a:solidFill>
                <a:srgbClr val="6AA84F"/>
              </a:solidFill>
            </c:spPr>
          </c:dPt>
          <c:dPt>
            <c:idx val="3"/>
            <c:spPr>
              <a:solidFill>
                <a:schemeClr val="accent3"/>
              </a:solidFill>
            </c:spPr>
          </c:dPt>
          <c:dPt>
            <c:idx val="4"/>
            <c:spPr>
              <a:solidFill>
                <a:srgbClr val="0B5394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tables!$A$20:$A$24</c:f>
            </c:strRef>
          </c:cat>
          <c:val>
            <c:numRef>
              <c:f>tables!$G$20:$G$24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>
              <a:solidFill>
                <a:schemeClr val="dk1"/>
              </a:solidFill>
              <a:latin typeface="+mn-lt"/>
            </a:defRPr>
          </a:pPr>
        </a:p>
      </c:txPr>
    </c:legend>
    <c:plotVisOnly val="1"/>
  </c:chart>
</c:chartSpace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1085850</xdr:colOff>
      <xdr:row>26</xdr:row>
      <xdr:rowOff>38100</xdr:rowOff>
    </xdr:from>
    <xdr:ext cx="5486400" cy="339090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86"/>
    <col customWidth="1" min="2" max="2" width="13.14"/>
    <col customWidth="1" min="3" max="3" width="17.43"/>
    <col customWidth="1" min="4" max="4" width="21.71"/>
    <col customWidth="1" min="7" max="7" width="18.57"/>
    <col customWidth="1" min="13" max="13" width="18.43"/>
    <col customWidth="1" min="14" max="14" width="18.86"/>
    <col customWidth="1" min="15" max="15" width="19.0"/>
    <col customWidth="1" min="16" max="16" width="20.57"/>
    <col customWidth="1" min="17" max="17" width="22.29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4" t="s">
        <v>14</v>
      </c>
    </row>
    <row r="2">
      <c r="A2" s="5" t="s">
        <v>15</v>
      </c>
      <c r="B2" s="6">
        <v>0.28</v>
      </c>
      <c r="C2" s="7">
        <f>B2*A17</f>
        <v>15654.24</v>
      </c>
      <c r="D2" s="6"/>
      <c r="E2" s="6">
        <f t="shared" ref="E2:E13" si="1">C2+D2</f>
        <v>15654.24</v>
      </c>
      <c r="F2" s="6">
        <v>0.77</v>
      </c>
      <c r="G2" s="1">
        <f>0.15</f>
        <v>0.15</v>
      </c>
      <c r="H2" s="7">
        <f t="shared" ref="H2:H7" si="2">G2*C2*0.77</f>
        <v>1808.06472</v>
      </c>
      <c r="I2" s="8">
        <v>0.06</v>
      </c>
      <c r="J2" s="9">
        <f t="shared" ref="J2:J7" si="3">H2*EXP(-I2*(2019-2015.5))</f>
        <v>1465.588778</v>
      </c>
      <c r="K2" s="7">
        <f t="shared" ref="K2:K7" si="4">H2*EXP(-I2*(2020-2015.5))</f>
        <v>1380.239532</v>
      </c>
      <c r="L2" s="7">
        <f t="shared" ref="L2:L7" si="5">J2-K2</f>
        <v>85.34924604</v>
      </c>
      <c r="M2" s="10">
        <f t="shared" ref="M2:M7" si="6">(4/3)*L2*1/2</f>
        <v>56.89949736</v>
      </c>
      <c r="N2" s="3">
        <f t="shared" ref="N2:N7" si="7">L2*(1/2)*(44/12)</f>
        <v>156.4736177</v>
      </c>
      <c r="O2" s="11">
        <f t="shared" ref="O2:O7" si="8">(3/10)*25*M2+N2</f>
        <v>583.219848</v>
      </c>
    </row>
    <row r="3">
      <c r="A3" s="5" t="s">
        <v>16</v>
      </c>
      <c r="B3" s="6">
        <v>0.02</v>
      </c>
      <c r="C3" s="7">
        <f>B3*A17</f>
        <v>1118.16</v>
      </c>
      <c r="D3" s="6"/>
      <c r="E3" s="6">
        <f t="shared" si="1"/>
        <v>1118.16</v>
      </c>
      <c r="F3" s="6">
        <v>0.77</v>
      </c>
      <c r="G3" s="1">
        <v>0.17</v>
      </c>
      <c r="H3" s="7">
        <f t="shared" si="2"/>
        <v>146.367144</v>
      </c>
      <c r="I3" s="8">
        <v>0.05</v>
      </c>
      <c r="J3" s="9">
        <f t="shared" si="3"/>
        <v>122.8689266</v>
      </c>
      <c r="K3" s="7">
        <f t="shared" si="4"/>
        <v>116.8765384</v>
      </c>
      <c r="L3" s="7">
        <f t="shared" si="5"/>
        <v>5.992388263</v>
      </c>
      <c r="M3" s="10">
        <f t="shared" si="6"/>
        <v>3.994925509</v>
      </c>
      <c r="N3" s="3">
        <f t="shared" si="7"/>
        <v>10.98604515</v>
      </c>
      <c r="O3" s="11">
        <f t="shared" si="8"/>
        <v>40.94798647</v>
      </c>
    </row>
    <row r="4">
      <c r="A4" s="5" t="s">
        <v>17</v>
      </c>
      <c r="B4" s="6">
        <v>0.37</v>
      </c>
      <c r="C4" s="7">
        <f>B4*A17</f>
        <v>20685.96</v>
      </c>
      <c r="D4" s="6">
        <f>341+2338</f>
        <v>2679</v>
      </c>
      <c r="E4" s="6">
        <f t="shared" si="1"/>
        <v>23364.96</v>
      </c>
      <c r="F4" s="6">
        <v>0.77</v>
      </c>
      <c r="G4" s="6">
        <v>0.4</v>
      </c>
      <c r="H4" s="7">
        <f t="shared" si="2"/>
        <v>6371.27568</v>
      </c>
      <c r="I4" s="8">
        <v>0.04</v>
      </c>
      <c r="J4" s="9">
        <f t="shared" si="3"/>
        <v>5538.920982</v>
      </c>
      <c r="K4" s="7">
        <f t="shared" si="4"/>
        <v>5321.736784</v>
      </c>
      <c r="L4" s="7">
        <f t="shared" si="5"/>
        <v>217.1841982</v>
      </c>
      <c r="M4" s="10">
        <f t="shared" si="6"/>
        <v>144.7894655</v>
      </c>
      <c r="N4" s="3">
        <f t="shared" si="7"/>
        <v>398.1710301</v>
      </c>
      <c r="O4" s="11">
        <f t="shared" si="8"/>
        <v>1484.092021</v>
      </c>
    </row>
    <row r="5">
      <c r="A5" s="5" t="s">
        <v>18</v>
      </c>
      <c r="B5" s="7"/>
      <c r="C5" s="7">
        <f>B5*A17</f>
        <v>0</v>
      </c>
      <c r="D5" s="6"/>
      <c r="E5" s="6">
        <f t="shared" si="1"/>
        <v>0</v>
      </c>
      <c r="F5" s="6">
        <v>0.77</v>
      </c>
      <c r="G5" s="6">
        <v>0.3</v>
      </c>
      <c r="H5" s="7">
        <f t="shared" si="2"/>
        <v>0</v>
      </c>
      <c r="I5" s="8">
        <v>0.02</v>
      </c>
      <c r="J5" s="9">
        <f t="shared" si="3"/>
        <v>0</v>
      </c>
      <c r="K5" s="7">
        <f t="shared" si="4"/>
        <v>0</v>
      </c>
      <c r="L5" s="7">
        <f t="shared" si="5"/>
        <v>0</v>
      </c>
      <c r="M5" s="10">
        <f t="shared" si="6"/>
        <v>0</v>
      </c>
      <c r="N5" s="3">
        <f t="shared" si="7"/>
        <v>0</v>
      </c>
      <c r="O5" s="11">
        <f t="shared" si="8"/>
        <v>0</v>
      </c>
    </row>
    <row r="6">
      <c r="A6" s="5" t="s">
        <v>19</v>
      </c>
      <c r="B6" s="6">
        <v>0.03</v>
      </c>
      <c r="C6" s="7">
        <f>B6*A17</f>
        <v>1677.24</v>
      </c>
      <c r="D6" s="6">
        <v>28.0</v>
      </c>
      <c r="E6" s="6">
        <f t="shared" si="1"/>
        <v>1705.24</v>
      </c>
      <c r="F6" s="6">
        <v>0.77</v>
      </c>
      <c r="G6" s="6">
        <v>0.4</v>
      </c>
      <c r="H6" s="7">
        <f t="shared" si="2"/>
        <v>516.58992</v>
      </c>
      <c r="I6" s="8">
        <v>0.04</v>
      </c>
      <c r="J6" s="9">
        <f t="shared" si="3"/>
        <v>449.1017013</v>
      </c>
      <c r="K6" s="7">
        <f t="shared" si="4"/>
        <v>431.4921717</v>
      </c>
      <c r="L6" s="7">
        <f t="shared" si="5"/>
        <v>17.60952958</v>
      </c>
      <c r="M6" s="10">
        <f t="shared" si="6"/>
        <v>11.73968639</v>
      </c>
      <c r="N6" s="3">
        <f t="shared" si="7"/>
        <v>32.28413757</v>
      </c>
      <c r="O6" s="11">
        <f t="shared" si="8"/>
        <v>120.3317855</v>
      </c>
    </row>
    <row r="7">
      <c r="A7" s="12" t="s">
        <v>20</v>
      </c>
      <c r="B7" s="13">
        <v>0.02</v>
      </c>
      <c r="C7" s="14">
        <f>B7*A17</f>
        <v>1118.16</v>
      </c>
      <c r="D7" s="15"/>
      <c r="E7" s="15">
        <f t="shared" si="1"/>
        <v>1118.16</v>
      </c>
      <c r="F7" s="15">
        <v>0.77</v>
      </c>
      <c r="G7" s="15">
        <v>0.24</v>
      </c>
      <c r="H7" s="14">
        <f t="shared" si="2"/>
        <v>206.635968</v>
      </c>
      <c r="I7" s="16">
        <v>0.05</v>
      </c>
      <c r="J7" s="17">
        <f t="shared" si="3"/>
        <v>173.4620141</v>
      </c>
      <c r="K7" s="14">
        <f t="shared" si="4"/>
        <v>165.0021718</v>
      </c>
      <c r="L7" s="14">
        <f t="shared" si="5"/>
        <v>8.459842254</v>
      </c>
      <c r="M7" s="18">
        <f t="shared" si="6"/>
        <v>5.639894836</v>
      </c>
      <c r="N7" s="19">
        <f t="shared" si="7"/>
        <v>15.5097108</v>
      </c>
      <c r="O7" s="11">
        <f t="shared" si="8"/>
        <v>57.80892207</v>
      </c>
    </row>
    <row r="8">
      <c r="A8" s="5" t="s">
        <v>21</v>
      </c>
      <c r="B8" s="6">
        <v>0.06</v>
      </c>
      <c r="C8" s="7">
        <f>B8*A17</f>
        <v>3354.48</v>
      </c>
      <c r="D8" s="6"/>
      <c r="E8" s="6">
        <f t="shared" si="1"/>
        <v>3354.48</v>
      </c>
      <c r="F8" s="6"/>
      <c r="G8" s="7"/>
      <c r="H8" s="7"/>
      <c r="I8" s="8"/>
    </row>
    <row r="9">
      <c r="A9" s="5" t="s">
        <v>22</v>
      </c>
      <c r="B9" s="6"/>
      <c r="C9" s="7">
        <f>B9*A17</f>
        <v>0</v>
      </c>
      <c r="D9" s="6"/>
      <c r="E9" s="6">
        <f t="shared" si="1"/>
        <v>0</v>
      </c>
      <c r="F9" s="6"/>
      <c r="G9" s="7"/>
      <c r="H9" s="7"/>
      <c r="I9" s="8"/>
      <c r="M9" s="20" t="s">
        <v>23</v>
      </c>
      <c r="N9" s="20" t="s">
        <v>24</v>
      </c>
      <c r="O9" s="20" t="s">
        <v>25</v>
      </c>
      <c r="P9" s="20" t="s">
        <v>26</v>
      </c>
      <c r="Q9" s="20" t="s">
        <v>27</v>
      </c>
    </row>
    <row r="10">
      <c r="A10" s="1" t="s">
        <v>28</v>
      </c>
      <c r="B10" s="1">
        <v>0.18</v>
      </c>
      <c r="C10" s="7">
        <f>B10*A17</f>
        <v>10063.44</v>
      </c>
      <c r="D10" s="6">
        <v>80.5</v>
      </c>
      <c r="E10" s="6">
        <f t="shared" si="1"/>
        <v>10143.94</v>
      </c>
      <c r="F10" s="6"/>
      <c r="M10" s="21">
        <f>sum(M2:M7)</f>
        <v>223.0634696</v>
      </c>
      <c r="N10" s="22">
        <f>(0.7)*M10</f>
        <v>156.1444287</v>
      </c>
      <c r="O10" s="23">
        <f>M10-N10</f>
        <v>66.91904087</v>
      </c>
      <c r="P10" s="21">
        <f>sum(N2:N7)</f>
        <v>613.4245413</v>
      </c>
      <c r="Q10" s="21">
        <f>(O10*25)+P10</f>
        <v>2286.400563</v>
      </c>
    </row>
    <row r="11">
      <c r="A11" s="1" t="s">
        <v>29</v>
      </c>
      <c r="B11" s="1">
        <v>0.02</v>
      </c>
      <c r="C11" s="7">
        <f>B11*A17</f>
        <v>1118.16</v>
      </c>
      <c r="D11" s="6">
        <v>63.5</v>
      </c>
      <c r="E11" s="6">
        <f t="shared" si="1"/>
        <v>1181.66</v>
      </c>
      <c r="F11" s="6"/>
    </row>
    <row r="12">
      <c r="A12" s="1" t="s">
        <v>30</v>
      </c>
      <c r="B12" s="1">
        <v>0.01</v>
      </c>
      <c r="C12" s="7">
        <f>B12*A17</f>
        <v>559.08</v>
      </c>
      <c r="D12" s="6">
        <v>1218.0</v>
      </c>
      <c r="E12" s="6">
        <f t="shared" si="1"/>
        <v>1777.08</v>
      </c>
      <c r="F12" s="6"/>
    </row>
    <row r="13">
      <c r="A13" s="1" t="s">
        <v>31</v>
      </c>
      <c r="B13" s="1">
        <v>0.01</v>
      </c>
      <c r="C13" s="7">
        <f>B13*A17</f>
        <v>559.08</v>
      </c>
      <c r="D13" s="6">
        <f>191+355</f>
        <v>546</v>
      </c>
      <c r="E13" s="6">
        <f t="shared" si="1"/>
        <v>1105.08</v>
      </c>
      <c r="F13" s="6"/>
    </row>
    <row r="16">
      <c r="A16" s="1" t="s">
        <v>32</v>
      </c>
    </row>
    <row r="17">
      <c r="A17" s="1">
        <v>55908.0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0.29"/>
    <col customWidth="1" min="17" max="17" width="24.57"/>
  </cols>
  <sheetData>
    <row r="1">
      <c r="A1" s="1" t="s">
        <v>0</v>
      </c>
      <c r="B1" s="1" t="s">
        <v>1</v>
      </c>
      <c r="C1" s="1" t="s">
        <v>33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34</v>
      </c>
      <c r="O1" s="4" t="s">
        <v>14</v>
      </c>
      <c r="P1" s="1"/>
      <c r="S1" s="24"/>
    </row>
    <row r="2">
      <c r="A2" s="5" t="s">
        <v>15</v>
      </c>
      <c r="B2" s="6">
        <v>0.28</v>
      </c>
      <c r="C2" s="7">
        <f>B2*A17</f>
        <v>16774.52</v>
      </c>
      <c r="D2" s="6"/>
      <c r="E2" s="6">
        <f t="shared" ref="E2:E13" si="1">C2+D2</f>
        <v>16774.52</v>
      </c>
      <c r="F2" s="6">
        <v>0.77</v>
      </c>
      <c r="G2" s="1">
        <f>0.15</f>
        <v>0.15</v>
      </c>
      <c r="H2" s="7">
        <f t="shared" ref="H2:H7" si="2">G2*C2*0.77</f>
        <v>1937.45706</v>
      </c>
      <c r="I2" s="8">
        <v>0.06</v>
      </c>
      <c r="J2" s="9">
        <f t="shared" ref="J2:J7" si="3">H2*EXP(-I2*(2019-2016.5))</f>
        <v>1667.584746</v>
      </c>
      <c r="K2" s="7">
        <f t="shared" ref="K2:K7" si="4">H2*EXP(-I2*(2020-2016.5))</f>
        <v>1570.47217</v>
      </c>
      <c r="L2" s="7">
        <f t="shared" ref="L2:L7" si="5">J2-K2</f>
        <v>97.11257544</v>
      </c>
      <c r="M2" s="10">
        <f t="shared" ref="M2:M7" si="6">(4/3)*L2*1/2</f>
        <v>64.74171696</v>
      </c>
      <c r="N2" s="25">
        <f t="shared" ref="N2:N7" si="7">L2*(1/2)*(44/12)</f>
        <v>178.0397216</v>
      </c>
      <c r="O2" s="11">
        <f t="shared" ref="O2:O7" si="8">(3/10)*25*M2+N2</f>
        <v>663.6025989</v>
      </c>
      <c r="S2" s="26"/>
    </row>
    <row r="3">
      <c r="A3" s="5" t="s">
        <v>16</v>
      </c>
      <c r="B3" s="6">
        <v>0.02</v>
      </c>
      <c r="C3" s="7">
        <f>B3*A17</f>
        <v>1198.18</v>
      </c>
      <c r="D3" s="6"/>
      <c r="E3" s="6">
        <f t="shared" si="1"/>
        <v>1198.18</v>
      </c>
      <c r="F3" s="6">
        <v>0.77</v>
      </c>
      <c r="G3" s="1">
        <v>0.17</v>
      </c>
      <c r="H3" s="7">
        <f t="shared" si="2"/>
        <v>156.841762</v>
      </c>
      <c r="I3" s="8">
        <v>0.05</v>
      </c>
      <c r="J3" s="9">
        <f t="shared" si="3"/>
        <v>138.4123692</v>
      </c>
      <c r="K3" s="7">
        <f t="shared" si="4"/>
        <v>131.6619183</v>
      </c>
      <c r="L3" s="7">
        <f t="shared" si="5"/>
        <v>6.7504509</v>
      </c>
      <c r="M3" s="10">
        <f t="shared" si="6"/>
        <v>4.5003006</v>
      </c>
      <c r="N3" s="25">
        <f t="shared" si="7"/>
        <v>12.37582665</v>
      </c>
      <c r="O3" s="11">
        <f t="shared" si="8"/>
        <v>46.12808115</v>
      </c>
    </row>
    <row r="4">
      <c r="A4" s="5" t="s">
        <v>17</v>
      </c>
      <c r="B4" s="6">
        <v>0.37</v>
      </c>
      <c r="C4" s="7">
        <f>B4*A17</f>
        <v>22166.33</v>
      </c>
      <c r="D4" s="6">
        <f>308+2547</f>
        <v>2855</v>
      </c>
      <c r="E4" s="6">
        <f t="shared" si="1"/>
        <v>25021.33</v>
      </c>
      <c r="F4" s="6">
        <v>0.77</v>
      </c>
      <c r="G4" s="6">
        <v>0.4</v>
      </c>
      <c r="H4" s="7">
        <f t="shared" si="2"/>
        <v>6827.22964</v>
      </c>
      <c r="I4" s="8">
        <v>0.04</v>
      </c>
      <c r="J4" s="9">
        <f t="shared" si="3"/>
        <v>6177.53284</v>
      </c>
      <c r="K4" s="7">
        <f t="shared" si="4"/>
        <v>5935.308312</v>
      </c>
      <c r="L4" s="7">
        <f t="shared" si="5"/>
        <v>242.2245273</v>
      </c>
      <c r="M4" s="10">
        <f t="shared" si="6"/>
        <v>161.4830182</v>
      </c>
      <c r="N4" s="25">
        <f t="shared" si="7"/>
        <v>444.0783001</v>
      </c>
      <c r="O4" s="11">
        <f t="shared" si="8"/>
        <v>1655.200937</v>
      </c>
    </row>
    <row r="5">
      <c r="A5" s="5" t="s">
        <v>18</v>
      </c>
      <c r="B5" s="7"/>
      <c r="C5" s="7">
        <f>B5*A17</f>
        <v>0</v>
      </c>
      <c r="D5" s="6"/>
      <c r="E5" s="6">
        <f t="shared" si="1"/>
        <v>0</v>
      </c>
      <c r="F5" s="6">
        <v>0.77</v>
      </c>
      <c r="G5" s="6">
        <v>0.3</v>
      </c>
      <c r="H5" s="7">
        <f t="shared" si="2"/>
        <v>0</v>
      </c>
      <c r="I5" s="8">
        <v>0.02</v>
      </c>
      <c r="J5" s="9">
        <f t="shared" si="3"/>
        <v>0</v>
      </c>
      <c r="K5" s="7">
        <f t="shared" si="4"/>
        <v>0</v>
      </c>
      <c r="L5" s="7">
        <f t="shared" si="5"/>
        <v>0</v>
      </c>
      <c r="M5" s="10">
        <f t="shared" si="6"/>
        <v>0</v>
      </c>
      <c r="N5" s="25">
        <f t="shared" si="7"/>
        <v>0</v>
      </c>
      <c r="O5" s="11">
        <f t="shared" si="8"/>
        <v>0</v>
      </c>
    </row>
    <row r="6">
      <c r="A6" s="5" t="s">
        <v>19</v>
      </c>
      <c r="B6" s="6">
        <v>0.03</v>
      </c>
      <c r="C6" s="7">
        <f>B6*A17</f>
        <v>1797.27</v>
      </c>
      <c r="D6" s="6"/>
      <c r="E6" s="6">
        <f t="shared" si="1"/>
        <v>1797.27</v>
      </c>
      <c r="F6" s="6">
        <v>0.77</v>
      </c>
      <c r="G6" s="6">
        <v>0.4</v>
      </c>
      <c r="H6" s="7">
        <f t="shared" si="2"/>
        <v>553.55916</v>
      </c>
      <c r="I6" s="8">
        <v>0.04</v>
      </c>
      <c r="J6" s="9">
        <f t="shared" si="3"/>
        <v>500.8810411</v>
      </c>
      <c r="K6" s="7">
        <f t="shared" si="4"/>
        <v>481.2412145</v>
      </c>
      <c r="L6" s="7">
        <f t="shared" si="5"/>
        <v>19.63982654</v>
      </c>
      <c r="M6" s="10">
        <f t="shared" si="6"/>
        <v>13.09321769</v>
      </c>
      <c r="N6" s="25">
        <f t="shared" si="7"/>
        <v>36.00634865</v>
      </c>
      <c r="O6" s="11">
        <f t="shared" si="8"/>
        <v>134.2054813</v>
      </c>
    </row>
    <row r="7">
      <c r="A7" s="12" t="s">
        <v>20</v>
      </c>
      <c r="B7" s="13">
        <v>0.02</v>
      </c>
      <c r="C7" s="14">
        <f>B7*A17</f>
        <v>1198.18</v>
      </c>
      <c r="D7" s="15"/>
      <c r="E7" s="15">
        <f t="shared" si="1"/>
        <v>1198.18</v>
      </c>
      <c r="F7" s="15">
        <v>0.77</v>
      </c>
      <c r="G7" s="27">
        <v>0.24</v>
      </c>
      <c r="H7" s="14">
        <f t="shared" si="2"/>
        <v>221.423664</v>
      </c>
      <c r="I7" s="16">
        <v>0.05</v>
      </c>
      <c r="J7" s="17">
        <f t="shared" si="3"/>
        <v>195.4056976</v>
      </c>
      <c r="K7" s="14">
        <f t="shared" si="4"/>
        <v>185.8756493</v>
      </c>
      <c r="L7" s="14">
        <f t="shared" si="5"/>
        <v>9.53004833</v>
      </c>
      <c r="M7" s="18">
        <f t="shared" si="6"/>
        <v>6.353365553</v>
      </c>
      <c r="N7" s="28">
        <f t="shared" si="7"/>
        <v>17.47175527</v>
      </c>
      <c r="O7" s="11">
        <f t="shared" si="8"/>
        <v>65.12199692</v>
      </c>
    </row>
    <row r="8">
      <c r="A8" s="5" t="s">
        <v>21</v>
      </c>
      <c r="B8" s="6">
        <v>0.06</v>
      </c>
      <c r="C8" s="7">
        <f>B8*A17</f>
        <v>3594.54</v>
      </c>
      <c r="D8" s="6"/>
      <c r="E8" s="6">
        <f t="shared" si="1"/>
        <v>3594.54</v>
      </c>
      <c r="F8" s="6"/>
      <c r="G8" s="7"/>
      <c r="H8" s="7"/>
      <c r="I8" s="8">
        <v>0.05</v>
      </c>
    </row>
    <row r="9">
      <c r="A9" s="5" t="s">
        <v>22</v>
      </c>
      <c r="B9" s="6"/>
      <c r="C9" s="7">
        <f>B9*A17</f>
        <v>0</v>
      </c>
      <c r="D9" s="6"/>
      <c r="E9" s="6">
        <f t="shared" si="1"/>
        <v>0</v>
      </c>
      <c r="F9" s="6"/>
      <c r="G9" s="7"/>
      <c r="H9" s="7"/>
      <c r="I9" s="8">
        <v>0.06</v>
      </c>
      <c r="M9" s="29" t="s">
        <v>23</v>
      </c>
      <c r="N9" s="30" t="s">
        <v>24</v>
      </c>
      <c r="O9" s="30" t="s">
        <v>25</v>
      </c>
      <c r="P9" s="31" t="s">
        <v>35</v>
      </c>
      <c r="Q9" s="32" t="s">
        <v>27</v>
      </c>
      <c r="R9" s="33"/>
    </row>
    <row r="10">
      <c r="A10" s="1" t="s">
        <v>28</v>
      </c>
      <c r="B10" s="1">
        <v>0.18</v>
      </c>
      <c r="C10" s="7">
        <f>B10*A17</f>
        <v>10783.62</v>
      </c>
      <c r="D10" s="6">
        <f>34+81.5</f>
        <v>115.5</v>
      </c>
      <c r="E10" s="6">
        <f t="shared" si="1"/>
        <v>10899.12</v>
      </c>
      <c r="F10" s="6"/>
      <c r="I10" s="1">
        <v>0.0</v>
      </c>
      <c r="M10" s="34">
        <f>sum(M2:M7)</f>
        <v>250.171619</v>
      </c>
      <c r="N10" s="34">
        <f>(0.7)*M10</f>
        <v>175.1201333</v>
      </c>
      <c r="O10" s="34">
        <f>M10-N10</f>
        <v>75.0514857</v>
      </c>
      <c r="P10" s="34">
        <f>sum(N2:N7)</f>
        <v>687.9719523</v>
      </c>
      <c r="Q10" s="34">
        <f>(O10*25)+P10</f>
        <v>2564.259095</v>
      </c>
    </row>
    <row r="11">
      <c r="A11" s="1" t="s">
        <v>29</v>
      </c>
      <c r="B11" s="1">
        <v>0.02</v>
      </c>
      <c r="C11" s="7">
        <f>B11*A17</f>
        <v>1198.18</v>
      </c>
      <c r="D11" s="6">
        <v>63.0</v>
      </c>
      <c r="E11" s="6">
        <f t="shared" si="1"/>
        <v>1261.18</v>
      </c>
      <c r="F11" s="6"/>
      <c r="I11" s="1">
        <v>0.0</v>
      </c>
    </row>
    <row r="12">
      <c r="A12" s="1" t="s">
        <v>30</v>
      </c>
      <c r="B12" s="1">
        <v>0.01</v>
      </c>
      <c r="C12" s="7">
        <f>B12*A17</f>
        <v>599.09</v>
      </c>
      <c r="D12" s="6">
        <f>17.8+21.4</f>
        <v>39.2</v>
      </c>
      <c r="E12" s="6">
        <f t="shared" si="1"/>
        <v>638.29</v>
      </c>
      <c r="F12" s="6"/>
      <c r="I12" s="1">
        <v>0.0</v>
      </c>
      <c r="M12" s="26"/>
      <c r="N12" s="35"/>
      <c r="O12" s="36"/>
      <c r="P12" s="26"/>
      <c r="Q12" s="26"/>
    </row>
    <row r="13">
      <c r="A13" s="1" t="s">
        <v>31</v>
      </c>
      <c r="B13" s="1">
        <v>0.01</v>
      </c>
      <c r="C13" s="7">
        <f>B13*A17</f>
        <v>599.09</v>
      </c>
      <c r="D13" s="6">
        <f>288+361</f>
        <v>649</v>
      </c>
      <c r="E13" s="6">
        <f t="shared" si="1"/>
        <v>1248.09</v>
      </c>
      <c r="F13" s="6"/>
      <c r="I13" s="1">
        <v>0.0</v>
      </c>
    </row>
    <row r="16">
      <c r="A16" s="1" t="s">
        <v>32</v>
      </c>
    </row>
    <row r="17">
      <c r="A17" s="1">
        <v>59909.0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9.0"/>
    <col customWidth="1" min="2" max="2" width="17.0"/>
    <col customWidth="1" min="3" max="3" width="27.86"/>
    <col customWidth="1" min="4" max="5" width="21.29"/>
    <col customWidth="1" min="7" max="7" width="19.29"/>
    <col customWidth="1" min="8" max="8" width="23.86"/>
    <col customWidth="1" min="9" max="11" width="19.0"/>
    <col customWidth="1" min="12" max="12" width="18.86"/>
    <col customWidth="1" min="18" max="18" width="18.71"/>
  </cols>
  <sheetData>
    <row r="1">
      <c r="A1" s="1" t="s">
        <v>0</v>
      </c>
      <c r="B1" s="1" t="s">
        <v>1</v>
      </c>
      <c r="C1" s="1" t="s">
        <v>36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34</v>
      </c>
      <c r="O1" s="4" t="s">
        <v>14</v>
      </c>
      <c r="P1" s="1"/>
      <c r="Q1" s="1"/>
      <c r="S1" s="24"/>
    </row>
    <row r="2">
      <c r="A2" s="5" t="s">
        <v>15</v>
      </c>
      <c r="B2" s="6">
        <v>0.28</v>
      </c>
      <c r="C2" s="7">
        <f>B2*A17</f>
        <v>17178.56</v>
      </c>
      <c r="D2" s="6"/>
      <c r="E2" s="6">
        <f t="shared" ref="E2:E13" si="1">C2+D3</f>
        <v>17178.56</v>
      </c>
      <c r="F2" s="6">
        <v>0.77</v>
      </c>
      <c r="G2" s="1">
        <f>0.15</f>
        <v>0.15</v>
      </c>
      <c r="H2" s="7">
        <f t="shared" ref="H2:H7" si="2">G2*C2*0.77</f>
        <v>1984.12368</v>
      </c>
      <c r="I2" s="8">
        <v>0.06</v>
      </c>
      <c r="J2" s="9">
        <f t="shared" ref="J2:J7" si="3">H2*EXP(-I2*(2019-2017.5))</f>
        <v>1813.352507</v>
      </c>
      <c r="K2" s="7">
        <f t="shared" ref="K2:K7" si="4">H2*EXP(-I2*(2020-2017.5))</f>
        <v>1707.751078</v>
      </c>
      <c r="L2" s="7">
        <f t="shared" ref="L2:L7" si="5">J2-K2</f>
        <v>105.601429</v>
      </c>
      <c r="M2" s="10">
        <f t="shared" ref="M2:M7" si="6">(4/3)*L2*1/2</f>
        <v>70.40095266</v>
      </c>
      <c r="N2" s="25">
        <f t="shared" ref="N2:N7" si="7">L2*(1/2)*(44/12)</f>
        <v>193.6026198</v>
      </c>
      <c r="O2" s="11">
        <f t="shared" ref="O2:O7" si="8">(3/10)*25*M2+N2</f>
        <v>721.6097648</v>
      </c>
      <c r="S2" s="26"/>
    </row>
    <row r="3">
      <c r="A3" s="5" t="s">
        <v>16</v>
      </c>
      <c r="B3" s="6">
        <v>0.02</v>
      </c>
      <c r="C3" s="7">
        <f>B3*A17</f>
        <v>1227.04</v>
      </c>
      <c r="D3" s="6"/>
      <c r="E3" s="6">
        <f t="shared" si="1"/>
        <v>4289.04</v>
      </c>
      <c r="F3" s="6">
        <v>0.77</v>
      </c>
      <c r="G3" s="1">
        <v>0.17</v>
      </c>
      <c r="H3" s="7">
        <f t="shared" si="2"/>
        <v>160.619536</v>
      </c>
      <c r="I3" s="8">
        <v>0.05</v>
      </c>
      <c r="J3" s="9">
        <f t="shared" si="3"/>
        <v>149.0137283</v>
      </c>
      <c r="K3" s="7">
        <f t="shared" si="4"/>
        <v>141.746243</v>
      </c>
      <c r="L3" s="7">
        <f t="shared" si="5"/>
        <v>7.267485287</v>
      </c>
      <c r="M3" s="10">
        <f t="shared" si="6"/>
        <v>4.844990191</v>
      </c>
      <c r="N3" s="25">
        <f t="shared" si="7"/>
        <v>13.32372303</v>
      </c>
      <c r="O3" s="11">
        <f t="shared" si="8"/>
        <v>49.66114946</v>
      </c>
    </row>
    <row r="4">
      <c r="A4" s="5" t="s">
        <v>17</v>
      </c>
      <c r="B4" s="6">
        <v>0.37</v>
      </c>
      <c r="C4" s="7">
        <f>B4*A17</f>
        <v>22700.24</v>
      </c>
      <c r="D4" s="6">
        <f>323+2739</f>
        <v>3062</v>
      </c>
      <c r="E4" s="6">
        <f t="shared" si="1"/>
        <v>22700.24</v>
      </c>
      <c r="F4" s="6">
        <v>0.77</v>
      </c>
      <c r="G4" s="6">
        <v>0.4</v>
      </c>
      <c r="H4" s="7">
        <f t="shared" si="2"/>
        <v>6991.67392</v>
      </c>
      <c r="I4" s="8">
        <v>0.04</v>
      </c>
      <c r="J4" s="9">
        <f t="shared" si="3"/>
        <v>6584.510528</v>
      </c>
      <c r="K4" s="7">
        <f t="shared" si="4"/>
        <v>6326.328178</v>
      </c>
      <c r="L4" s="7">
        <f t="shared" si="5"/>
        <v>258.1823507</v>
      </c>
      <c r="M4" s="10">
        <f t="shared" si="6"/>
        <v>172.1215671</v>
      </c>
      <c r="N4" s="25">
        <f t="shared" si="7"/>
        <v>473.3343097</v>
      </c>
      <c r="O4" s="11">
        <f t="shared" si="8"/>
        <v>1764.246063</v>
      </c>
    </row>
    <row r="5">
      <c r="A5" s="5" t="s">
        <v>18</v>
      </c>
      <c r="B5" s="7"/>
      <c r="C5" s="7">
        <f>B5*A17</f>
        <v>0</v>
      </c>
      <c r="D5" s="6"/>
      <c r="E5" s="6">
        <f t="shared" si="1"/>
        <v>27.5</v>
      </c>
      <c r="F5" s="6">
        <v>0.77</v>
      </c>
      <c r="G5" s="6">
        <v>0.3</v>
      </c>
      <c r="H5" s="7">
        <f t="shared" si="2"/>
        <v>0</v>
      </c>
      <c r="I5" s="8">
        <v>0.02</v>
      </c>
      <c r="J5" s="9">
        <f t="shared" si="3"/>
        <v>0</v>
      </c>
      <c r="K5" s="7">
        <f t="shared" si="4"/>
        <v>0</v>
      </c>
      <c r="L5" s="7">
        <f t="shared" si="5"/>
        <v>0</v>
      </c>
      <c r="M5" s="10">
        <f t="shared" si="6"/>
        <v>0</v>
      </c>
      <c r="N5" s="25">
        <f t="shared" si="7"/>
        <v>0</v>
      </c>
      <c r="O5" s="11">
        <f t="shared" si="8"/>
        <v>0</v>
      </c>
    </row>
    <row r="6">
      <c r="A6" s="5" t="s">
        <v>19</v>
      </c>
      <c r="B6" s="6">
        <v>0.03</v>
      </c>
      <c r="C6" s="7">
        <f>B6*A17</f>
        <v>1840.56</v>
      </c>
      <c r="D6" s="6">
        <v>27.5</v>
      </c>
      <c r="E6" s="6">
        <f t="shared" si="1"/>
        <v>1840.56</v>
      </c>
      <c r="F6" s="6">
        <v>0.77</v>
      </c>
      <c r="G6" s="6">
        <v>0.4</v>
      </c>
      <c r="H6" s="7">
        <f t="shared" si="2"/>
        <v>566.89248</v>
      </c>
      <c r="I6" s="8">
        <v>0.04</v>
      </c>
      <c r="J6" s="9">
        <f t="shared" si="3"/>
        <v>533.879232</v>
      </c>
      <c r="K6" s="7">
        <f t="shared" si="4"/>
        <v>512.9455279</v>
      </c>
      <c r="L6" s="7">
        <f t="shared" si="5"/>
        <v>20.93370411</v>
      </c>
      <c r="M6" s="10">
        <f t="shared" si="6"/>
        <v>13.95580274</v>
      </c>
      <c r="N6" s="25">
        <f t="shared" si="7"/>
        <v>38.37845754</v>
      </c>
      <c r="O6" s="11">
        <f t="shared" si="8"/>
        <v>143.0469781</v>
      </c>
    </row>
    <row r="7">
      <c r="A7" s="12" t="s">
        <v>20</v>
      </c>
      <c r="B7" s="13">
        <v>0.02</v>
      </c>
      <c r="C7" s="14">
        <f>B7*A17</f>
        <v>1227.04</v>
      </c>
      <c r="D7" s="15"/>
      <c r="E7" s="15">
        <f t="shared" si="1"/>
        <v>1227.04</v>
      </c>
      <c r="F7" s="15">
        <v>0.77</v>
      </c>
      <c r="G7" s="27">
        <v>0.24</v>
      </c>
      <c r="H7" s="14">
        <f t="shared" si="2"/>
        <v>226.756992</v>
      </c>
      <c r="I7" s="16">
        <v>0.05</v>
      </c>
      <c r="J7" s="17">
        <f t="shared" si="3"/>
        <v>210.3723223</v>
      </c>
      <c r="K7" s="14">
        <f t="shared" si="4"/>
        <v>200.1123431</v>
      </c>
      <c r="L7" s="14">
        <f t="shared" si="5"/>
        <v>10.25997923</v>
      </c>
      <c r="M7" s="18">
        <f t="shared" si="6"/>
        <v>6.839986152</v>
      </c>
      <c r="N7" s="28">
        <f t="shared" si="7"/>
        <v>18.80996192</v>
      </c>
      <c r="O7" s="11">
        <f t="shared" si="8"/>
        <v>70.10985806</v>
      </c>
    </row>
    <row r="8">
      <c r="A8" s="5" t="s">
        <v>21</v>
      </c>
      <c r="B8" s="6">
        <v>0.06</v>
      </c>
      <c r="C8" s="7">
        <f>B8*A17</f>
        <v>3681.12</v>
      </c>
      <c r="D8" s="6"/>
      <c r="E8" s="6">
        <f t="shared" si="1"/>
        <v>3681.12</v>
      </c>
      <c r="F8" s="6">
        <v>0.77</v>
      </c>
      <c r="G8" s="7"/>
      <c r="H8" s="7"/>
      <c r="I8" s="8">
        <v>0.05</v>
      </c>
    </row>
    <row r="9">
      <c r="A9" s="5" t="s">
        <v>22</v>
      </c>
      <c r="B9" s="6"/>
      <c r="C9" s="7">
        <f>B9*A17</f>
        <v>0</v>
      </c>
      <c r="D9" s="6"/>
      <c r="E9" s="6">
        <f t="shared" si="1"/>
        <v>113</v>
      </c>
      <c r="F9" s="6"/>
      <c r="G9" s="7"/>
      <c r="H9" s="7"/>
      <c r="I9" s="8">
        <v>0.06</v>
      </c>
      <c r="M9" s="29" t="s">
        <v>23</v>
      </c>
      <c r="N9" s="30" t="s">
        <v>24</v>
      </c>
      <c r="O9" s="30" t="s">
        <v>25</v>
      </c>
      <c r="P9" s="37" t="s">
        <v>35</v>
      </c>
      <c r="Q9" s="38" t="s">
        <v>27</v>
      </c>
    </row>
    <row r="10">
      <c r="A10" s="1" t="s">
        <v>28</v>
      </c>
      <c r="B10" s="1">
        <v>0.18</v>
      </c>
      <c r="C10" s="7">
        <f>B10*A17</f>
        <v>11043.36</v>
      </c>
      <c r="D10" s="6">
        <v>113.0</v>
      </c>
      <c r="E10" s="6">
        <f t="shared" si="1"/>
        <v>11103.36</v>
      </c>
      <c r="F10" s="6"/>
      <c r="I10" s="1">
        <v>0.0</v>
      </c>
      <c r="M10" s="34">
        <f>sum(M2:M7)</f>
        <v>268.1632989</v>
      </c>
      <c r="N10" s="34">
        <f>(0.7)*M10</f>
        <v>187.7143092</v>
      </c>
      <c r="O10" s="34">
        <f>M10-N10</f>
        <v>80.44898967</v>
      </c>
      <c r="P10" s="34">
        <f>sum(N2:N7)</f>
        <v>737.449072</v>
      </c>
      <c r="Q10" s="34">
        <f>(O10*25)+P10</f>
        <v>2748.673814</v>
      </c>
    </row>
    <row r="11">
      <c r="A11" s="1" t="s">
        <v>29</v>
      </c>
      <c r="B11" s="1">
        <v>0.02</v>
      </c>
      <c r="C11" s="7">
        <f>B11*A17</f>
        <v>1227.04</v>
      </c>
      <c r="D11" s="6">
        <v>60.0</v>
      </c>
      <c r="E11" s="6">
        <f t="shared" si="1"/>
        <v>2477.04</v>
      </c>
      <c r="F11" s="6"/>
      <c r="I11" s="1">
        <v>0.0</v>
      </c>
    </row>
    <row r="12">
      <c r="A12" s="1" t="s">
        <v>30</v>
      </c>
      <c r="B12" s="1">
        <v>0.01</v>
      </c>
      <c r="C12" s="7">
        <f>B12*A17</f>
        <v>613.52</v>
      </c>
      <c r="D12" s="6">
        <v>1250.0</v>
      </c>
      <c r="E12" s="6">
        <f t="shared" si="1"/>
        <v>1505.02</v>
      </c>
      <c r="F12" s="6"/>
      <c r="I12" s="1">
        <v>0.0</v>
      </c>
    </row>
    <row r="13">
      <c r="A13" s="1" t="s">
        <v>31</v>
      </c>
      <c r="B13" s="1">
        <v>0.01</v>
      </c>
      <c r="C13" s="7">
        <f>B13*A17</f>
        <v>613.52</v>
      </c>
      <c r="D13" s="6">
        <f>368.5+196+327</f>
        <v>891.5</v>
      </c>
      <c r="E13" s="6">
        <f t="shared" si="1"/>
        <v>613.52</v>
      </c>
      <c r="F13" s="6"/>
      <c r="I13" s="1">
        <v>0.0</v>
      </c>
    </row>
    <row r="16">
      <c r="A16" s="1" t="s">
        <v>32</v>
      </c>
    </row>
    <row r="17">
      <c r="A17" s="39">
        <v>61352.0</v>
      </c>
    </row>
    <row r="20">
      <c r="B20" s="1" t="s">
        <v>37</v>
      </c>
    </row>
    <row r="21">
      <c r="B21" s="1" t="s">
        <v>38</v>
      </c>
    </row>
    <row r="22">
      <c r="B22" s="1" t="s">
        <v>39</v>
      </c>
    </row>
    <row r="26">
      <c r="B26" s="1" t="s">
        <v>40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8.86"/>
    <col customWidth="1" min="8" max="9" width="28.29"/>
    <col customWidth="1" min="10" max="11" width="18.43"/>
    <col customWidth="1" min="17" max="17" width="19.43"/>
  </cols>
  <sheetData>
    <row r="1">
      <c r="A1" s="1" t="s">
        <v>0</v>
      </c>
      <c r="B1" s="1" t="s">
        <v>41</v>
      </c>
      <c r="C1" s="1" t="s">
        <v>36</v>
      </c>
      <c r="D1" s="1" t="s">
        <v>3</v>
      </c>
      <c r="E1" s="1" t="s">
        <v>4</v>
      </c>
      <c r="F1" s="1" t="s">
        <v>6</v>
      </c>
      <c r="G1" s="1" t="s">
        <v>5</v>
      </c>
      <c r="H1" s="1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34</v>
      </c>
      <c r="O1" s="4" t="s">
        <v>14</v>
      </c>
      <c r="P1" s="1"/>
      <c r="S1" s="24"/>
    </row>
    <row r="2">
      <c r="A2" s="5" t="s">
        <v>15</v>
      </c>
      <c r="B2" s="6">
        <v>0.28</v>
      </c>
      <c r="C2" s="7">
        <f>B2*A17</f>
        <v>17772.72</v>
      </c>
      <c r="E2" s="7">
        <f t="shared" ref="E2:E13" si="1">C2+D2</f>
        <v>17772.72</v>
      </c>
      <c r="F2" s="1">
        <f>0.15</f>
        <v>0.15</v>
      </c>
      <c r="G2" s="1">
        <v>0.77</v>
      </c>
      <c r="H2" s="7">
        <f t="shared" ref="H2:H7" si="2">F2*C2*G2</f>
        <v>2052.74916</v>
      </c>
      <c r="I2" s="8">
        <v>0.06</v>
      </c>
      <c r="J2" s="9">
        <f t="shared" ref="J2:J7" si="3">H2*EXP(-I2*(2019-2018.5))</f>
        <v>1992.081254</v>
      </c>
      <c r="K2" s="7">
        <f t="shared" ref="K2:K7" si="4">H2*EXP(-I2*(2020-2018.5))</f>
        <v>1876.071473</v>
      </c>
      <c r="L2" s="7">
        <f t="shared" ref="L2:L7" si="5">J2-K2</f>
        <v>116.009781</v>
      </c>
      <c r="M2" s="10">
        <f t="shared" ref="M2:M7" si="6">(4/3)*L2*1/2</f>
        <v>77.33985397</v>
      </c>
      <c r="N2" s="25">
        <f t="shared" ref="N2:N7" si="7">L2*(1/2)*(44/12)</f>
        <v>212.6845984</v>
      </c>
      <c r="O2" s="11">
        <f t="shared" ref="O2:O7" si="8">(3/10)*25*M2+N2</f>
        <v>792.7335032</v>
      </c>
      <c r="S2" s="26"/>
    </row>
    <row r="3">
      <c r="A3" s="5" t="s">
        <v>16</v>
      </c>
      <c r="B3" s="6">
        <v>0.02</v>
      </c>
      <c r="C3" s="7">
        <f>B3*A17</f>
        <v>1269.48</v>
      </c>
      <c r="E3" s="7">
        <f t="shared" si="1"/>
        <v>1269.48</v>
      </c>
      <c r="F3" s="1">
        <v>0.17</v>
      </c>
      <c r="G3" s="1">
        <v>0.77</v>
      </c>
      <c r="H3" s="7">
        <f t="shared" si="2"/>
        <v>166.174932</v>
      </c>
      <c r="I3" s="8">
        <v>0.05</v>
      </c>
      <c r="J3" s="9">
        <f t="shared" si="3"/>
        <v>162.0720583</v>
      </c>
      <c r="K3" s="7">
        <f t="shared" si="4"/>
        <v>154.1677108</v>
      </c>
      <c r="L3" s="7">
        <f t="shared" si="5"/>
        <v>7.904347556</v>
      </c>
      <c r="M3" s="10">
        <f t="shared" si="6"/>
        <v>5.269565037</v>
      </c>
      <c r="N3" s="25">
        <f t="shared" si="7"/>
        <v>14.49130385</v>
      </c>
      <c r="O3" s="11">
        <f t="shared" si="8"/>
        <v>54.01304163</v>
      </c>
    </row>
    <row r="4">
      <c r="A4" s="5" t="s">
        <v>17</v>
      </c>
      <c r="B4" s="6">
        <v>0.37</v>
      </c>
      <c r="C4" s="7">
        <f>B4*69046</f>
        <v>25547.02</v>
      </c>
      <c r="D4" s="10">
        <f>319+2962</f>
        <v>3281</v>
      </c>
      <c r="E4" s="7">
        <f t="shared" si="1"/>
        <v>28828.02</v>
      </c>
      <c r="F4" s="6">
        <v>0.4</v>
      </c>
      <c r="G4" s="1">
        <v>0.77</v>
      </c>
      <c r="H4" s="7">
        <f t="shared" si="2"/>
        <v>7868.48216</v>
      </c>
      <c r="I4" s="8">
        <v>0.04</v>
      </c>
      <c r="J4" s="9">
        <f t="shared" si="3"/>
        <v>7712.675774</v>
      </c>
      <c r="K4" s="7">
        <f t="shared" si="4"/>
        <v>7410.257431</v>
      </c>
      <c r="L4" s="7">
        <f t="shared" si="5"/>
        <v>302.4183427</v>
      </c>
      <c r="M4" s="10">
        <f t="shared" si="6"/>
        <v>201.6122285</v>
      </c>
      <c r="N4" s="25">
        <f t="shared" si="7"/>
        <v>554.4336284</v>
      </c>
      <c r="O4" s="11">
        <f t="shared" si="8"/>
        <v>2066.525342</v>
      </c>
    </row>
    <row r="5">
      <c r="A5" s="5" t="s">
        <v>18</v>
      </c>
      <c r="B5" s="7"/>
      <c r="C5" s="7">
        <f>B5*A17</f>
        <v>0</v>
      </c>
      <c r="E5" s="7">
        <f t="shared" si="1"/>
        <v>0</v>
      </c>
      <c r="F5" s="6">
        <v>0.3</v>
      </c>
      <c r="G5" s="1">
        <v>0.77</v>
      </c>
      <c r="H5" s="7">
        <f t="shared" si="2"/>
        <v>0</v>
      </c>
      <c r="I5" s="8">
        <v>0.02</v>
      </c>
      <c r="J5" s="9">
        <f t="shared" si="3"/>
        <v>0</v>
      </c>
      <c r="K5" s="7">
        <f t="shared" si="4"/>
        <v>0</v>
      </c>
      <c r="L5" s="7">
        <f t="shared" si="5"/>
        <v>0</v>
      </c>
      <c r="M5" s="10">
        <f t="shared" si="6"/>
        <v>0</v>
      </c>
      <c r="N5" s="25">
        <f t="shared" si="7"/>
        <v>0</v>
      </c>
      <c r="O5" s="11">
        <f t="shared" si="8"/>
        <v>0</v>
      </c>
    </row>
    <row r="6">
      <c r="A6" s="5" t="s">
        <v>19</v>
      </c>
      <c r="B6" s="6">
        <v>0.03</v>
      </c>
      <c r="C6" s="7">
        <f>B6*A17</f>
        <v>1904.22</v>
      </c>
      <c r="D6" s="1">
        <v>26.0</v>
      </c>
      <c r="E6" s="6">
        <f t="shared" si="1"/>
        <v>1930.22</v>
      </c>
      <c r="F6" s="6">
        <v>0.4</v>
      </c>
      <c r="G6" s="1">
        <v>0.77</v>
      </c>
      <c r="H6" s="7">
        <f t="shared" si="2"/>
        <v>586.49976</v>
      </c>
      <c r="I6" s="8">
        <v>0.04</v>
      </c>
      <c r="J6" s="9">
        <f t="shared" si="3"/>
        <v>574.8862866</v>
      </c>
      <c r="K6" s="7">
        <f t="shared" si="4"/>
        <v>552.3446729</v>
      </c>
      <c r="L6" s="7">
        <f t="shared" si="5"/>
        <v>22.54161372</v>
      </c>
      <c r="M6" s="10">
        <f t="shared" si="6"/>
        <v>15.02774248</v>
      </c>
      <c r="N6" s="25">
        <f t="shared" si="7"/>
        <v>41.32629183</v>
      </c>
      <c r="O6" s="11">
        <f t="shared" si="8"/>
        <v>154.0343604</v>
      </c>
    </row>
    <row r="7">
      <c r="A7" s="12" t="s">
        <v>20</v>
      </c>
      <c r="B7" s="13">
        <v>0.02</v>
      </c>
      <c r="C7" s="14">
        <f>B7*A17</f>
        <v>1269.48</v>
      </c>
      <c r="D7" s="18"/>
      <c r="E7" s="14">
        <f t="shared" si="1"/>
        <v>1269.48</v>
      </c>
      <c r="F7" s="27">
        <v>0.24</v>
      </c>
      <c r="G7" s="13">
        <v>0.77</v>
      </c>
      <c r="H7" s="14">
        <f t="shared" si="2"/>
        <v>234.599904</v>
      </c>
      <c r="I7" s="16">
        <v>0.05</v>
      </c>
      <c r="J7" s="17">
        <f t="shared" si="3"/>
        <v>228.8076117</v>
      </c>
      <c r="K7" s="14">
        <f t="shared" si="4"/>
        <v>217.6485328</v>
      </c>
      <c r="L7" s="14">
        <f t="shared" si="5"/>
        <v>11.1590789</v>
      </c>
      <c r="M7" s="18">
        <f t="shared" si="6"/>
        <v>7.439385935</v>
      </c>
      <c r="N7" s="28">
        <f t="shared" si="7"/>
        <v>20.45831132</v>
      </c>
      <c r="O7" s="11">
        <f t="shared" si="8"/>
        <v>76.25370584</v>
      </c>
    </row>
    <row r="8">
      <c r="A8" s="5" t="s">
        <v>21</v>
      </c>
      <c r="B8" s="6">
        <v>0.06</v>
      </c>
      <c r="C8" s="7">
        <f>B8*A17</f>
        <v>3808.44</v>
      </c>
      <c r="E8" s="7">
        <f t="shared" si="1"/>
        <v>3808.44</v>
      </c>
      <c r="G8" s="7"/>
      <c r="H8" s="7"/>
      <c r="I8" s="8">
        <v>0.05</v>
      </c>
    </row>
    <row r="9">
      <c r="A9" s="5" t="s">
        <v>22</v>
      </c>
      <c r="B9" s="6"/>
      <c r="C9" s="7">
        <f>B9*A17</f>
        <v>0</v>
      </c>
      <c r="E9" s="7">
        <f t="shared" si="1"/>
        <v>0</v>
      </c>
      <c r="H9" s="7"/>
      <c r="I9" s="8">
        <v>0.06</v>
      </c>
      <c r="M9" s="29" t="s">
        <v>23</v>
      </c>
      <c r="N9" s="30" t="s">
        <v>24</v>
      </c>
      <c r="O9" s="30" t="s">
        <v>25</v>
      </c>
      <c r="P9" s="31" t="s">
        <v>35</v>
      </c>
      <c r="Q9" s="32" t="s">
        <v>27</v>
      </c>
    </row>
    <row r="10">
      <c r="A10" s="1" t="s">
        <v>28</v>
      </c>
      <c r="B10" s="1">
        <v>0.18</v>
      </c>
      <c r="C10" s="7">
        <f>B10*A17</f>
        <v>11425.32</v>
      </c>
      <c r="D10" s="1">
        <v>122.0</v>
      </c>
      <c r="E10" s="6">
        <f t="shared" si="1"/>
        <v>11547.32</v>
      </c>
      <c r="I10" s="1">
        <v>0.0</v>
      </c>
      <c r="M10" s="34">
        <f>sum(M2:M7)</f>
        <v>306.6887759</v>
      </c>
      <c r="N10" s="34">
        <f>(0.7)*M10</f>
        <v>214.6821431</v>
      </c>
      <c r="O10" s="34">
        <f>M10-N10</f>
        <v>92.00663278</v>
      </c>
      <c r="P10" s="34">
        <f>sum(N2:N7)</f>
        <v>843.3941338</v>
      </c>
      <c r="Q10" s="34">
        <f>(O10*25)+P10</f>
        <v>3143.559953</v>
      </c>
    </row>
    <row r="11">
      <c r="A11" s="1" t="s">
        <v>29</v>
      </c>
      <c r="B11" s="1">
        <v>0.02</v>
      </c>
      <c r="C11" s="7">
        <f>B11*A17</f>
        <v>1269.48</v>
      </c>
      <c r="D11" s="1">
        <v>68.0</v>
      </c>
      <c r="E11" s="7">
        <f t="shared" si="1"/>
        <v>1337.48</v>
      </c>
      <c r="I11" s="1">
        <v>0.0</v>
      </c>
    </row>
    <row r="12">
      <c r="A12" s="1" t="s">
        <v>30</v>
      </c>
      <c r="B12" s="1">
        <v>0.01</v>
      </c>
      <c r="C12" s="7">
        <f>B12*A17</f>
        <v>634.74</v>
      </c>
      <c r="D12" s="1">
        <v>1265.0</v>
      </c>
      <c r="E12" s="6">
        <f t="shared" si="1"/>
        <v>1899.74</v>
      </c>
      <c r="I12" s="1">
        <v>0.0</v>
      </c>
    </row>
    <row r="13">
      <c r="A13" s="1" t="s">
        <v>31</v>
      </c>
      <c r="B13" s="1">
        <v>0.01</v>
      </c>
      <c r="C13" s="7">
        <f>B13*A17</f>
        <v>634.74</v>
      </c>
      <c r="D13" s="1">
        <v>388.0</v>
      </c>
      <c r="E13" s="6">
        <f t="shared" si="1"/>
        <v>1022.74</v>
      </c>
      <c r="I13" s="1">
        <v>0.0</v>
      </c>
    </row>
    <row r="16">
      <c r="A16" s="1" t="s">
        <v>42</v>
      </c>
    </row>
    <row r="17">
      <c r="A17" s="1">
        <v>63474.0</v>
      </c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9.43"/>
    <col customWidth="1" min="14" max="14" width="15.29"/>
    <col customWidth="1" min="17" max="17" width="21.57"/>
    <col customWidth="1" min="18" max="18" width="24.71"/>
    <col customWidth="1" min="19" max="19" width="20.0"/>
    <col customWidth="1" min="20" max="20" width="27.29"/>
  </cols>
  <sheetData>
    <row r="1">
      <c r="A1" s="4" t="s">
        <v>0</v>
      </c>
      <c r="B1" s="33" t="s">
        <v>1</v>
      </c>
      <c r="C1" s="4" t="s">
        <v>36</v>
      </c>
      <c r="D1" s="4" t="s">
        <v>3</v>
      </c>
      <c r="E1" s="4" t="s">
        <v>4</v>
      </c>
      <c r="F1" s="4" t="s">
        <v>43</v>
      </c>
      <c r="G1" s="4" t="s">
        <v>5</v>
      </c>
      <c r="H1" s="33" t="s">
        <v>7</v>
      </c>
      <c r="I1" s="40" t="s">
        <v>8</v>
      </c>
      <c r="J1" s="1" t="s">
        <v>9</v>
      </c>
      <c r="K1" s="4" t="s">
        <v>10</v>
      </c>
      <c r="L1" s="33" t="s">
        <v>11</v>
      </c>
      <c r="M1" s="4" t="s">
        <v>44</v>
      </c>
      <c r="N1" s="1" t="s">
        <v>45</v>
      </c>
      <c r="O1" s="41" t="s">
        <v>14</v>
      </c>
      <c r="P1" s="33"/>
      <c r="Q1" s="33"/>
      <c r="S1" s="24"/>
      <c r="T1" s="24"/>
    </row>
    <row r="2">
      <c r="A2" s="42" t="s">
        <v>15</v>
      </c>
      <c r="B2" s="43">
        <v>0.28</v>
      </c>
      <c r="C2" s="43">
        <f>B2*A17</f>
        <v>16645.72</v>
      </c>
      <c r="D2" s="43"/>
      <c r="E2" s="44">
        <f t="shared" ref="E2:E13" si="1">C2+D2</f>
        <v>16645.72</v>
      </c>
      <c r="F2" s="11">
        <f>0.15</f>
        <v>0.15</v>
      </c>
      <c r="G2" s="45">
        <v>0.77</v>
      </c>
      <c r="H2" s="43">
        <f t="shared" ref="H2:H7" si="2">F2*C2*G2</f>
        <v>1922.58066</v>
      </c>
      <c r="I2" s="43">
        <v>0.06</v>
      </c>
      <c r="J2" s="9">
        <f t="shared" ref="J2:J7" si="3">H2*EXP(-I2*(2019.5-2019.5))</f>
        <v>1922.58066</v>
      </c>
      <c r="K2" s="43">
        <f t="shared" ref="K2:K7" si="4">H2*EXP(-I2*(2020-2019.5))</f>
        <v>1865.759814</v>
      </c>
      <c r="L2" s="43">
        <f t="shared" ref="L2:L7" si="5">J2-K2</f>
        <v>56.82084562</v>
      </c>
      <c r="M2" s="11">
        <f t="shared" ref="M2:M7" si="6">(4/3)*L2*1/2</f>
        <v>37.88056374</v>
      </c>
      <c r="N2" s="10">
        <f t="shared" ref="N2:N7" si="7">L2*(1/2)*(44/12)</f>
        <v>104.1715503</v>
      </c>
      <c r="O2" s="46">
        <f t="shared" ref="O2:O7" si="8">(3/10)*25*M2+N2</f>
        <v>388.2757784</v>
      </c>
      <c r="P2" s="33"/>
      <c r="Q2" s="11"/>
      <c r="S2" s="26"/>
      <c r="T2" s="26"/>
    </row>
    <row r="3">
      <c r="A3" s="42" t="s">
        <v>16</v>
      </c>
      <c r="B3" s="43">
        <v>0.02</v>
      </c>
      <c r="C3" s="43">
        <f>B3*A17</f>
        <v>1188.98</v>
      </c>
      <c r="D3" s="43"/>
      <c r="E3" s="44">
        <f t="shared" si="1"/>
        <v>1188.98</v>
      </c>
      <c r="F3" s="11">
        <v>0.17</v>
      </c>
      <c r="G3" s="45">
        <v>0.77</v>
      </c>
      <c r="H3" s="43">
        <f t="shared" si="2"/>
        <v>155.637482</v>
      </c>
      <c r="I3" s="43">
        <v>0.05</v>
      </c>
      <c r="J3" s="9">
        <f t="shared" si="3"/>
        <v>155.637482</v>
      </c>
      <c r="K3" s="43">
        <f t="shared" si="4"/>
        <v>151.7947789</v>
      </c>
      <c r="L3" s="43">
        <f t="shared" si="5"/>
        <v>3.842703122</v>
      </c>
      <c r="M3" s="11">
        <f t="shared" si="6"/>
        <v>2.561802082</v>
      </c>
      <c r="N3" s="10">
        <f t="shared" si="7"/>
        <v>7.044955724</v>
      </c>
      <c r="O3" s="46">
        <f t="shared" si="8"/>
        <v>26.25847134</v>
      </c>
      <c r="P3" s="33"/>
      <c r="Q3" s="11"/>
    </row>
    <row r="4">
      <c r="A4" s="4" t="s">
        <v>17</v>
      </c>
      <c r="B4" s="43">
        <v>0.37</v>
      </c>
      <c r="C4" s="43">
        <f>B4*A17</f>
        <v>21996.13</v>
      </c>
      <c r="D4" s="43">
        <f>300+4262</f>
        <v>4562</v>
      </c>
      <c r="E4" s="44">
        <f t="shared" si="1"/>
        <v>26558.13</v>
      </c>
      <c r="F4" s="43">
        <v>0.4</v>
      </c>
      <c r="G4" s="45">
        <v>0.77</v>
      </c>
      <c r="H4" s="43">
        <f t="shared" si="2"/>
        <v>6774.80804</v>
      </c>
      <c r="I4" s="43">
        <v>0.04</v>
      </c>
      <c r="J4" s="9">
        <f t="shared" si="3"/>
        <v>6774.80804</v>
      </c>
      <c r="K4" s="43">
        <f t="shared" si="4"/>
        <v>6640.657853</v>
      </c>
      <c r="L4" s="43">
        <f t="shared" si="5"/>
        <v>134.1501873</v>
      </c>
      <c r="M4" s="11">
        <f t="shared" si="6"/>
        <v>89.43345819</v>
      </c>
      <c r="N4" s="10">
        <f t="shared" si="7"/>
        <v>245.94201</v>
      </c>
      <c r="O4" s="46">
        <f t="shared" si="8"/>
        <v>916.6929464</v>
      </c>
      <c r="P4" s="33"/>
      <c r="Q4" s="11"/>
    </row>
    <row r="5">
      <c r="A5" s="42" t="s">
        <v>18</v>
      </c>
      <c r="B5" s="47"/>
      <c r="C5" s="43">
        <f>B5*A17</f>
        <v>0</v>
      </c>
      <c r="D5" s="43"/>
      <c r="E5" s="44">
        <f t="shared" si="1"/>
        <v>0</v>
      </c>
      <c r="F5" s="43">
        <v>0.3</v>
      </c>
      <c r="G5" s="45">
        <v>0.77</v>
      </c>
      <c r="H5" s="43">
        <f t="shared" si="2"/>
        <v>0</v>
      </c>
      <c r="I5" s="43">
        <v>0.02</v>
      </c>
      <c r="J5" s="9">
        <f t="shared" si="3"/>
        <v>0</v>
      </c>
      <c r="K5" s="43">
        <f t="shared" si="4"/>
        <v>0</v>
      </c>
      <c r="L5" s="43">
        <f t="shared" si="5"/>
        <v>0</v>
      </c>
      <c r="M5" s="11">
        <f t="shared" si="6"/>
        <v>0</v>
      </c>
      <c r="N5" s="10">
        <f t="shared" si="7"/>
        <v>0</v>
      </c>
      <c r="O5" s="46">
        <f t="shared" si="8"/>
        <v>0</v>
      </c>
      <c r="P5" s="33"/>
      <c r="Q5" s="11"/>
    </row>
    <row r="6">
      <c r="A6" s="42" t="s">
        <v>19</v>
      </c>
      <c r="B6" s="43">
        <v>0.03</v>
      </c>
      <c r="C6" s="43">
        <f>B6*A17</f>
        <v>1783.47</v>
      </c>
      <c r="D6" s="44">
        <v>27.0</v>
      </c>
      <c r="E6" s="44">
        <f t="shared" si="1"/>
        <v>1810.47</v>
      </c>
      <c r="F6" s="43">
        <v>0.4</v>
      </c>
      <c r="G6" s="45">
        <v>0.77</v>
      </c>
      <c r="H6" s="43">
        <f t="shared" si="2"/>
        <v>549.30876</v>
      </c>
      <c r="I6" s="43">
        <v>0.04</v>
      </c>
      <c r="J6" s="9">
        <f t="shared" si="3"/>
        <v>549.30876</v>
      </c>
      <c r="K6" s="43">
        <f t="shared" si="4"/>
        <v>538.4317178</v>
      </c>
      <c r="L6" s="43">
        <f t="shared" si="5"/>
        <v>10.87704221</v>
      </c>
      <c r="M6" s="11">
        <f t="shared" si="6"/>
        <v>7.251361475</v>
      </c>
      <c r="N6" s="10">
        <f t="shared" si="7"/>
        <v>19.94124406</v>
      </c>
      <c r="O6" s="46">
        <f t="shared" si="8"/>
        <v>74.32645512</v>
      </c>
      <c r="P6" s="33"/>
      <c r="Q6" s="11"/>
    </row>
    <row r="7">
      <c r="A7" s="48" t="s">
        <v>20</v>
      </c>
      <c r="B7" s="49">
        <v>0.02</v>
      </c>
      <c r="C7" s="50">
        <f>B7*A17</f>
        <v>1188.98</v>
      </c>
      <c r="D7" s="50"/>
      <c r="E7" s="51">
        <f t="shared" si="1"/>
        <v>1188.98</v>
      </c>
      <c r="F7" s="52">
        <v>0.24</v>
      </c>
      <c r="G7" s="53">
        <v>0.77</v>
      </c>
      <c r="H7" s="50">
        <f t="shared" si="2"/>
        <v>219.723504</v>
      </c>
      <c r="I7" s="50">
        <v>0.05</v>
      </c>
      <c r="J7" s="17">
        <f t="shared" si="3"/>
        <v>219.723504</v>
      </c>
      <c r="K7" s="50">
        <f t="shared" si="4"/>
        <v>214.2985114</v>
      </c>
      <c r="L7" s="50">
        <f t="shared" si="5"/>
        <v>5.424992643</v>
      </c>
      <c r="M7" s="49">
        <f t="shared" si="6"/>
        <v>3.616661762</v>
      </c>
      <c r="N7" s="18">
        <f t="shared" si="7"/>
        <v>9.945819846</v>
      </c>
      <c r="O7" s="54">
        <f t="shared" si="8"/>
        <v>37.07078306</v>
      </c>
      <c r="P7" s="33"/>
      <c r="Q7" s="11"/>
    </row>
    <row r="8">
      <c r="A8" s="42" t="s">
        <v>21</v>
      </c>
      <c r="B8" s="43">
        <v>0.06</v>
      </c>
      <c r="C8" s="43">
        <f>B8*A17</f>
        <v>3566.94</v>
      </c>
      <c r="D8" s="43"/>
      <c r="E8" s="44">
        <f t="shared" si="1"/>
        <v>3566.94</v>
      </c>
      <c r="G8" s="47"/>
      <c r="H8" s="47"/>
      <c r="I8" s="43">
        <v>0.05</v>
      </c>
      <c r="J8" s="33"/>
      <c r="K8" s="33"/>
      <c r="L8" s="33"/>
      <c r="M8" s="33"/>
      <c r="O8" s="33"/>
      <c r="P8" s="33"/>
      <c r="Q8" s="33"/>
    </row>
    <row r="9">
      <c r="A9" s="42" t="s">
        <v>22</v>
      </c>
      <c r="B9" s="47"/>
      <c r="C9" s="43">
        <f>B9*A17</f>
        <v>0</v>
      </c>
      <c r="D9" s="43"/>
      <c r="E9" s="44">
        <f t="shared" si="1"/>
        <v>0</v>
      </c>
      <c r="H9" s="47"/>
      <c r="I9" s="43">
        <v>0.06</v>
      </c>
      <c r="J9" s="33"/>
      <c r="K9" s="33"/>
      <c r="L9" s="33"/>
      <c r="M9" s="29" t="s">
        <v>23</v>
      </c>
      <c r="N9" s="30" t="s">
        <v>24</v>
      </c>
      <c r="O9" s="30" t="s">
        <v>25</v>
      </c>
      <c r="P9" s="31" t="s">
        <v>35</v>
      </c>
      <c r="Q9" s="32" t="s">
        <v>27</v>
      </c>
    </row>
    <row r="10">
      <c r="A10" s="33" t="s">
        <v>28</v>
      </c>
      <c r="B10" s="11">
        <v>0.18</v>
      </c>
      <c r="C10" s="43">
        <f>B10*A17</f>
        <v>10700.82</v>
      </c>
      <c r="D10" s="43">
        <f>39+83</f>
        <v>122</v>
      </c>
      <c r="E10" s="44">
        <f t="shared" si="1"/>
        <v>10822.82</v>
      </c>
      <c r="H10" s="33"/>
      <c r="I10" s="11">
        <v>0.0</v>
      </c>
      <c r="J10" s="33"/>
      <c r="K10" s="33"/>
      <c r="L10" s="33"/>
      <c r="M10" s="34">
        <f>sum(M2:M7)</f>
        <v>140.7438473</v>
      </c>
      <c r="N10" s="34">
        <f>(0.7)*M10</f>
        <v>98.52069308</v>
      </c>
      <c r="O10" s="34">
        <f>M10-N10</f>
        <v>42.22315418</v>
      </c>
      <c r="P10" s="34">
        <f>sum(N2:N7)</f>
        <v>387.0455799</v>
      </c>
      <c r="Q10" s="34">
        <f>(O10*25)+P10</f>
        <v>1442.624434</v>
      </c>
    </row>
    <row r="11">
      <c r="A11" s="33" t="s">
        <v>29</v>
      </c>
      <c r="B11" s="11">
        <v>0.02</v>
      </c>
      <c r="C11" s="43">
        <f>B11*A17</f>
        <v>1188.98</v>
      </c>
      <c r="D11" s="43">
        <f>72</f>
        <v>72</v>
      </c>
      <c r="E11" s="44">
        <f t="shared" si="1"/>
        <v>1260.98</v>
      </c>
      <c r="H11" s="33"/>
      <c r="I11" s="11">
        <v>0.0</v>
      </c>
      <c r="J11" s="33"/>
      <c r="K11" s="33"/>
      <c r="L11" s="33"/>
    </row>
    <row r="12">
      <c r="A12" s="33" t="s">
        <v>30</v>
      </c>
      <c r="B12" s="11">
        <v>0.01</v>
      </c>
      <c r="C12" s="43">
        <f>B12*A17</f>
        <v>594.49</v>
      </c>
      <c r="D12" s="44">
        <v>1260.0</v>
      </c>
      <c r="E12" s="44">
        <f t="shared" si="1"/>
        <v>1854.49</v>
      </c>
      <c r="G12" s="10">
        <f t="shared" ref="G12:G17" si="9">G2*F2</f>
        <v>0.1155</v>
      </c>
      <c r="H12" s="33"/>
      <c r="I12" s="11">
        <v>0.0</v>
      </c>
      <c r="J12" s="33"/>
      <c r="K12" s="33"/>
      <c r="L12" s="33"/>
      <c r="M12" s="33"/>
      <c r="O12" s="33"/>
      <c r="P12" s="33"/>
      <c r="Q12" s="33"/>
    </row>
    <row r="13">
      <c r="A13" s="33" t="s">
        <v>31</v>
      </c>
      <c r="B13" s="11">
        <v>0.01</v>
      </c>
      <c r="C13" s="43">
        <f>B13*A17</f>
        <v>594.49</v>
      </c>
      <c r="D13" s="43">
        <f>400+391+226</f>
        <v>1017</v>
      </c>
      <c r="E13" s="44">
        <f t="shared" si="1"/>
        <v>1611.49</v>
      </c>
      <c r="G13" s="10">
        <f t="shared" si="9"/>
        <v>0.1309</v>
      </c>
      <c r="H13" s="33"/>
      <c r="I13" s="11">
        <v>0.0</v>
      </c>
      <c r="J13" s="33"/>
      <c r="K13" s="33"/>
      <c r="L13" s="33"/>
      <c r="M13" s="33"/>
      <c r="O13" s="33"/>
      <c r="P13" s="33"/>
      <c r="Q13" s="33"/>
    </row>
    <row r="14">
      <c r="G14" s="10">
        <f t="shared" si="9"/>
        <v>0.308</v>
      </c>
    </row>
    <row r="15">
      <c r="G15" s="10">
        <f t="shared" si="9"/>
        <v>0.231</v>
      </c>
      <c r="I15" s="10"/>
    </row>
    <row r="16">
      <c r="A16" s="1" t="s">
        <v>32</v>
      </c>
      <c r="G16" s="10">
        <f t="shared" si="9"/>
        <v>0.308</v>
      </c>
    </row>
    <row r="17">
      <c r="A17" s="1">
        <v>59449.0</v>
      </c>
      <c r="G17" s="10">
        <f t="shared" si="9"/>
        <v>0.1848</v>
      </c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46.57"/>
  </cols>
  <sheetData>
    <row r="1">
      <c r="A1" s="24" t="s">
        <v>46</v>
      </c>
    </row>
    <row r="2">
      <c r="A2" s="10">
        <f>SUM('2015'!Q10+'2016'!Q10+'2017'!Q10+'2018'!Q10+'2019'!Q10)</f>
        <v>12185.51786</v>
      </c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0.14"/>
    <col customWidth="1" min="4" max="4" width="18.43"/>
    <col customWidth="1" min="5" max="5" width="19.0"/>
  </cols>
  <sheetData>
    <row r="1">
      <c r="A1" s="4" t="s">
        <v>0</v>
      </c>
      <c r="B1" s="33" t="s">
        <v>1</v>
      </c>
      <c r="C1" s="1" t="s">
        <v>47</v>
      </c>
      <c r="D1" s="55" t="s">
        <v>48</v>
      </c>
      <c r="G1" s="4" t="s">
        <v>0</v>
      </c>
      <c r="H1" s="1">
        <v>2015.0</v>
      </c>
      <c r="I1" s="1">
        <v>2016.0</v>
      </c>
      <c r="J1" s="1">
        <v>2017.0</v>
      </c>
      <c r="K1" s="1">
        <v>2018.0</v>
      </c>
      <c r="L1" s="1">
        <v>2019.0</v>
      </c>
    </row>
    <row r="2">
      <c r="A2" s="42" t="s">
        <v>15</v>
      </c>
      <c r="B2" s="43">
        <v>0.28</v>
      </c>
      <c r="C2" s="10">
        <v>0.11549999999999999</v>
      </c>
      <c r="D2" s="43">
        <v>0.06</v>
      </c>
      <c r="G2" s="42" t="s">
        <v>15</v>
      </c>
    </row>
    <row r="3">
      <c r="A3" s="42" t="s">
        <v>16</v>
      </c>
      <c r="B3" s="43">
        <v>0.02</v>
      </c>
      <c r="C3" s="10">
        <v>0.13090000000000002</v>
      </c>
      <c r="D3" s="43">
        <v>0.05</v>
      </c>
      <c r="G3" s="42" t="s">
        <v>16</v>
      </c>
    </row>
    <row r="4">
      <c r="A4" s="4" t="s">
        <v>17</v>
      </c>
      <c r="B4" s="43">
        <v>0.37</v>
      </c>
      <c r="C4" s="10">
        <v>0.30800000000000005</v>
      </c>
      <c r="D4" s="43">
        <v>0.04</v>
      </c>
      <c r="G4" s="4" t="s">
        <v>17</v>
      </c>
    </row>
    <row r="5">
      <c r="A5" s="42" t="s">
        <v>19</v>
      </c>
      <c r="B5" s="43">
        <v>0.03</v>
      </c>
      <c r="C5" s="10">
        <v>0.30800000000000005</v>
      </c>
      <c r="D5" s="43">
        <v>0.04</v>
      </c>
      <c r="G5" s="42" t="s">
        <v>19</v>
      </c>
    </row>
    <row r="6">
      <c r="A6" s="42" t="s">
        <v>20</v>
      </c>
      <c r="B6" s="11">
        <v>0.02</v>
      </c>
      <c r="C6" s="10">
        <v>0.1848</v>
      </c>
      <c r="D6" s="43">
        <v>0.05</v>
      </c>
      <c r="G6" s="42" t="s">
        <v>20</v>
      </c>
    </row>
    <row r="10">
      <c r="A10" s="1" t="s">
        <v>49</v>
      </c>
      <c r="B10" s="1" t="s">
        <v>50</v>
      </c>
      <c r="C10" s="1" t="s">
        <v>51</v>
      </c>
      <c r="D10" s="1" t="s">
        <v>25</v>
      </c>
      <c r="E10" s="1" t="s">
        <v>52</v>
      </c>
      <c r="G10" s="1" t="s">
        <v>49</v>
      </c>
      <c r="H10" s="1" t="s">
        <v>25</v>
      </c>
      <c r="I10" s="1" t="s">
        <v>53</v>
      </c>
      <c r="J10" s="1" t="s">
        <v>54</v>
      </c>
    </row>
    <row r="11">
      <c r="A11" s="1">
        <v>2015.0</v>
      </c>
      <c r="B11" s="56">
        <f>'2015'!M10</f>
        <v>223.0634696</v>
      </c>
      <c r="C11" s="56">
        <f>'2015'!N10</f>
        <v>156.1444287</v>
      </c>
      <c r="D11" s="56">
        <f>'2015'!O10</f>
        <v>66.91904087</v>
      </c>
      <c r="E11" s="10">
        <f t="shared" ref="E11:E16" si="1">C11*25</f>
        <v>3903.610718</v>
      </c>
      <c r="G11" s="1">
        <v>2015.0</v>
      </c>
      <c r="H11" s="56">
        <f>'2015'!O10</f>
        <v>66.91904087</v>
      </c>
      <c r="I11" s="56">
        <f>'2015'!P10</f>
        <v>613.4245413</v>
      </c>
      <c r="J11" s="56">
        <f>'2015'!Q10</f>
        <v>2286.400563</v>
      </c>
    </row>
    <row r="12">
      <c r="A12" s="1">
        <v>2016.0</v>
      </c>
      <c r="B12" s="56">
        <f>'2016'!M10</f>
        <v>250.171619</v>
      </c>
      <c r="C12" s="56">
        <f>'2016'!N10</f>
        <v>175.1201333</v>
      </c>
      <c r="D12" s="56">
        <f>'2016'!O10</f>
        <v>75.0514857</v>
      </c>
      <c r="E12" s="10">
        <f t="shared" si="1"/>
        <v>4378.003333</v>
      </c>
      <c r="G12" s="1">
        <v>2016.0</v>
      </c>
      <c r="H12" s="56">
        <f>'2016'!O10</f>
        <v>75.0514857</v>
      </c>
      <c r="I12" s="56">
        <f>'2016'!P10</f>
        <v>687.9719523</v>
      </c>
      <c r="J12" s="56">
        <f>'2016'!Q10</f>
        <v>2564.259095</v>
      </c>
    </row>
    <row r="13">
      <c r="A13" s="1">
        <v>2017.0</v>
      </c>
      <c r="B13" s="56">
        <f>'2017'!M10</f>
        <v>268.1632989</v>
      </c>
      <c r="C13" s="56">
        <f>'2017'!N10</f>
        <v>187.7143092</v>
      </c>
      <c r="D13" s="56">
        <f>'2017'!O10</f>
        <v>80.44898967</v>
      </c>
      <c r="E13" s="10">
        <f t="shared" si="1"/>
        <v>4692.857731</v>
      </c>
      <c r="G13" s="1">
        <v>2017.0</v>
      </c>
      <c r="H13" s="56">
        <f>'2017'!O10</f>
        <v>80.44898967</v>
      </c>
      <c r="I13" s="56">
        <f>'2017'!P10</f>
        <v>737.449072</v>
      </c>
      <c r="J13" s="56">
        <f>'2017'!Q10</f>
        <v>2748.673814</v>
      </c>
    </row>
    <row r="14">
      <c r="A14" s="1">
        <v>2018.0</v>
      </c>
      <c r="B14" s="56">
        <f>'2018'!M10</f>
        <v>306.6887759</v>
      </c>
      <c r="C14" s="56">
        <f>'2018'!N10</f>
        <v>214.6821431</v>
      </c>
      <c r="D14" s="56">
        <f>'2018'!O10</f>
        <v>92.00663278</v>
      </c>
      <c r="E14" s="10">
        <f t="shared" si="1"/>
        <v>5367.053579</v>
      </c>
      <c r="G14" s="1">
        <v>2018.0</v>
      </c>
      <c r="H14" s="56">
        <f>'2018'!O10</f>
        <v>92.00663278</v>
      </c>
      <c r="I14" s="56">
        <f>'2018'!P10</f>
        <v>843.3941338</v>
      </c>
      <c r="J14" s="56">
        <f>'2018'!Q10</f>
        <v>3143.559953</v>
      </c>
    </row>
    <row r="15">
      <c r="A15" s="1">
        <v>2019.0</v>
      </c>
      <c r="B15" s="56">
        <f>'2019'!M10</f>
        <v>140.7438473</v>
      </c>
      <c r="C15" s="56">
        <f>'2019'!N10</f>
        <v>98.52069308</v>
      </c>
      <c r="D15" s="56">
        <f>'2019'!O10</f>
        <v>42.22315418</v>
      </c>
      <c r="E15" s="10">
        <f t="shared" si="1"/>
        <v>2463.017327</v>
      </c>
      <c r="G15" s="1">
        <v>2019.0</v>
      </c>
      <c r="H15" s="56">
        <f>'2019'!O10</f>
        <v>42.22315418</v>
      </c>
      <c r="I15" s="56">
        <f>'2019'!P10</f>
        <v>387.0455799</v>
      </c>
      <c r="J15" s="56">
        <f>'2019'!Q10</f>
        <v>1442.624434</v>
      </c>
    </row>
    <row r="16">
      <c r="A16" s="1" t="s">
        <v>55</v>
      </c>
      <c r="B16" s="56">
        <f t="shared" ref="B16:D16" si="2">sum(B11:B15)</f>
        <v>1188.831011</v>
      </c>
      <c r="C16" s="56">
        <f t="shared" si="2"/>
        <v>832.1817075</v>
      </c>
      <c r="D16" s="56">
        <f t="shared" si="2"/>
        <v>356.6493032</v>
      </c>
      <c r="E16" s="10">
        <f t="shared" si="1"/>
        <v>20804.54269</v>
      </c>
      <c r="G16" s="1" t="s">
        <v>55</v>
      </c>
      <c r="H16" s="56">
        <f t="shared" ref="H16:J16" si="3">sum(H11:H15)</f>
        <v>356.6493032</v>
      </c>
      <c r="I16" s="56">
        <f t="shared" si="3"/>
        <v>3269.285279</v>
      </c>
      <c r="J16" s="56">
        <f t="shared" si="3"/>
        <v>12185.51786</v>
      </c>
    </row>
    <row r="18">
      <c r="B18" s="57" t="s">
        <v>56</v>
      </c>
    </row>
    <row r="19">
      <c r="A19" s="4" t="s">
        <v>0</v>
      </c>
      <c r="B19" s="1">
        <v>2015.0</v>
      </c>
      <c r="C19" s="1">
        <v>2016.0</v>
      </c>
      <c r="D19" s="1">
        <v>2017.0</v>
      </c>
      <c r="E19" s="1">
        <v>2018.0</v>
      </c>
      <c r="F19" s="1">
        <v>2019.0</v>
      </c>
      <c r="G19" s="1" t="s">
        <v>57</v>
      </c>
    </row>
    <row r="20">
      <c r="A20" s="42" t="s">
        <v>15</v>
      </c>
      <c r="B20" s="58">
        <f>'2015'!O2</f>
        <v>583.219848</v>
      </c>
      <c r="C20" s="58">
        <f>'2016'!O2</f>
        <v>663.6025989</v>
      </c>
      <c r="D20" s="58">
        <f>'2017'!O2</f>
        <v>721.6097648</v>
      </c>
      <c r="E20" s="58">
        <f>'2018'!O2</f>
        <v>792.7335032</v>
      </c>
      <c r="F20" s="58">
        <f>'2019'!O2</f>
        <v>388.2757784</v>
      </c>
      <c r="G20" s="58">
        <f t="shared" ref="G20:G24" si="4">sum(B20:F20)</f>
        <v>3149.441493</v>
      </c>
    </row>
    <row r="21">
      <c r="A21" s="42" t="s">
        <v>16</v>
      </c>
      <c r="B21" s="58">
        <f>'2015'!O3</f>
        <v>40.94798647</v>
      </c>
      <c r="C21" s="58">
        <f>'2016'!O3</f>
        <v>46.12808115</v>
      </c>
      <c r="D21" s="58">
        <f>'2017'!O3</f>
        <v>49.66114946</v>
      </c>
      <c r="E21" s="58">
        <f>'2018'!O3</f>
        <v>54.01304163</v>
      </c>
      <c r="F21" s="58">
        <f>'2019'!O3</f>
        <v>26.25847134</v>
      </c>
      <c r="G21" s="58">
        <f t="shared" si="4"/>
        <v>217.00873</v>
      </c>
    </row>
    <row r="22">
      <c r="A22" s="4" t="s">
        <v>17</v>
      </c>
      <c r="B22" s="58">
        <f>'2015'!O4</f>
        <v>1484.092021</v>
      </c>
      <c r="C22" s="58">
        <f>'2016'!O4</f>
        <v>1655.200937</v>
      </c>
      <c r="D22" s="58">
        <f>'2017'!O4</f>
        <v>1764.246063</v>
      </c>
      <c r="E22" s="58">
        <f>'2018'!O4</f>
        <v>2066.525342</v>
      </c>
      <c r="F22" s="58">
        <f>'2019'!O4</f>
        <v>916.6929464</v>
      </c>
      <c r="G22" s="58">
        <f t="shared" si="4"/>
        <v>7886.757309</v>
      </c>
    </row>
    <row r="23">
      <c r="A23" s="42" t="s">
        <v>19</v>
      </c>
      <c r="B23" s="58">
        <f>'2015'!O6</f>
        <v>120.3317855</v>
      </c>
      <c r="C23" s="58">
        <f>'2016'!O6</f>
        <v>134.2054813</v>
      </c>
      <c r="D23" s="58">
        <f>'2017'!O6</f>
        <v>143.0469781</v>
      </c>
      <c r="E23" s="58">
        <f>'2018'!O6</f>
        <v>154.0343604</v>
      </c>
      <c r="F23" s="58">
        <f>'2019'!O6</f>
        <v>74.32645512</v>
      </c>
      <c r="G23" s="58">
        <f t="shared" si="4"/>
        <v>625.9450605</v>
      </c>
    </row>
    <row r="24">
      <c r="A24" s="59" t="s">
        <v>58</v>
      </c>
      <c r="B24" s="58">
        <f>'2015'!O7</f>
        <v>57.80892207</v>
      </c>
      <c r="C24" s="58">
        <f>'2016'!O7</f>
        <v>65.12199692</v>
      </c>
      <c r="D24" s="58">
        <f>'2017'!O7</f>
        <v>70.10985806</v>
      </c>
      <c r="E24" s="58">
        <f>'2018'!O7</f>
        <v>76.25370584</v>
      </c>
      <c r="F24" s="58">
        <f>'2019'!O7</f>
        <v>37.07078306</v>
      </c>
      <c r="G24" s="58">
        <f t="shared" si="4"/>
        <v>306.3652659</v>
      </c>
    </row>
  </sheetData>
  <mergeCells count="1">
    <mergeCell ref="B18:F18"/>
  </mergeCells>
  <drawing r:id="rId1"/>
</worksheet>
</file>