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lev\Documents\WPI\MQP\"/>
    </mc:Choice>
  </mc:AlternateContent>
  <xr:revisionPtr revIDLastSave="0" documentId="13_ncr:1_{F85A7905-6091-45F0-B958-B5800E6884FC}" xr6:coauthVersionLast="36" xr6:coauthVersionMax="36" xr10:uidLastSave="{00000000-0000-0000-0000-000000000000}"/>
  <bookViews>
    <workbookView xWindow="0" yWindow="0" windowWidth="5380" windowHeight="1730" xr2:uid="{87A14F57-BC39-4B10-99EE-4EF2E6B6EBC5}"/>
  </bookViews>
  <sheets>
    <sheet name="FINAL DESIGN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0" l="1"/>
  <c r="E80" i="10" s="1"/>
  <c r="C84" i="10"/>
  <c r="D72" i="10"/>
  <c r="C83" i="10" s="1"/>
  <c r="D92" i="10"/>
  <c r="D91" i="10"/>
  <c r="D71" i="10"/>
  <c r="D83" i="10"/>
  <c r="D84" i="10"/>
  <c r="D85" i="10"/>
  <c r="D86" i="10"/>
  <c r="D87" i="10"/>
  <c r="E107" i="10"/>
  <c r="E117" i="10"/>
  <c r="E31" i="10"/>
  <c r="E30" i="10"/>
  <c r="C85" i="10" s="1"/>
  <c r="E29" i="10"/>
  <c r="D50" i="10" s="1"/>
  <c r="E27" i="10"/>
  <c r="E28" i="10" s="1"/>
  <c r="D52" i="10" s="1"/>
  <c r="E85" i="10" l="1"/>
  <c r="D53" i="10"/>
  <c r="E83" i="10"/>
  <c r="E84" i="10"/>
  <c r="C86" i="10" l="1"/>
  <c r="E86" i="10" l="1"/>
  <c r="E128" i="10" l="1"/>
  <c r="E36" i="10" l="1"/>
  <c r="D54" i="10" l="1"/>
  <c r="D58" i="10" s="1"/>
  <c r="C92" i="10"/>
  <c r="D73" i="10"/>
  <c r="D76" i="10" l="1"/>
  <c r="E139" i="10" s="1"/>
  <c r="E140" i="10" s="1"/>
  <c r="D75" i="10"/>
  <c r="E142" i="10" s="1"/>
  <c r="E145" i="10" s="1"/>
  <c r="E129" i="10"/>
  <c r="E130" i="10" s="1"/>
  <c r="E133" i="10" s="1"/>
  <c r="E92" i="10"/>
  <c r="E119" i="10"/>
  <c r="E146" i="10" l="1"/>
  <c r="E137" i="10"/>
  <c r="E148" i="10" s="1"/>
  <c r="E34" i="10"/>
  <c r="E35" i="10" s="1"/>
  <c r="D51" i="10" s="1"/>
  <c r="E13" i="10"/>
  <c r="D55" i="10" l="1"/>
  <c r="D56" i="10" l="1"/>
  <c r="C87" i="10"/>
  <c r="D57" i="10"/>
  <c r="C91" i="10"/>
  <c r="E91" i="10" s="1"/>
  <c r="E87" i="10" l="1"/>
  <c r="E88" i="10" s="1"/>
  <c r="D96" i="10" s="1"/>
  <c r="E103" i="10" s="1"/>
  <c r="E102" i="10"/>
  <c r="E94" i="10"/>
  <c r="D97" i="10" s="1"/>
  <c r="E104" i="10" s="1"/>
  <c r="E118" i="10" l="1"/>
  <c r="E105" i="10"/>
  <c r="D98" i="10"/>
  <c r="D99" i="10"/>
  <c r="E121" i="10" l="1"/>
  <c r="E122" i="10"/>
  <c r="E106" i="10"/>
  <c r="E108" i="10" l="1"/>
  <c r="E113" i="10" s="1"/>
  <c r="E111" i="10"/>
  <c r="E11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 Leveillee</author>
  </authors>
  <commentList>
    <comment ref="B58" authorId="0" shapeId="0" xr:uid="{8FD660ED-DC91-45EB-8FC8-89FA2C76D2D9}">
      <text>
        <r>
          <rPr>
            <b/>
            <sz val="9"/>
            <color indexed="81"/>
            <rFont val="Tahoma"/>
            <family val="2"/>
          </rPr>
          <t>Ben Leveillee:</t>
        </r>
        <r>
          <rPr>
            <sz val="9"/>
            <color indexed="81"/>
            <rFont val="Tahoma"/>
            <family val="2"/>
          </rPr>
          <t xml:space="preserve">
Moment arm for LL surcharge given by Table 3.11.6.4-1</t>
        </r>
      </text>
    </comment>
  </commentList>
</comments>
</file>

<file path=xl/sharedStrings.xml><?xml version="1.0" encoding="utf-8"?>
<sst xmlns="http://schemas.openxmlformats.org/spreadsheetml/2006/main" count="249" uniqueCount="152">
  <si>
    <t>ksf</t>
  </si>
  <si>
    <t>Soil Properties</t>
  </si>
  <si>
    <t>Friction angle</t>
  </si>
  <si>
    <t>y</t>
  </si>
  <si>
    <t>degrees</t>
  </si>
  <si>
    <t>B</t>
  </si>
  <si>
    <t>Loads</t>
  </si>
  <si>
    <t>ksi</t>
  </si>
  <si>
    <t>V</t>
  </si>
  <si>
    <t>kcf</t>
  </si>
  <si>
    <t>Material Properties</t>
  </si>
  <si>
    <t>Wc</t>
  </si>
  <si>
    <t>Reinforcement strength</t>
  </si>
  <si>
    <t>Conc. density</t>
  </si>
  <si>
    <t>f'c</t>
  </si>
  <si>
    <t>fy</t>
  </si>
  <si>
    <t>ft</t>
  </si>
  <si>
    <t>klf</t>
  </si>
  <si>
    <t>Footing length</t>
  </si>
  <si>
    <t>Stem depth</t>
  </si>
  <si>
    <t>Stem length</t>
  </si>
  <si>
    <t>Superstructure DL</t>
  </si>
  <si>
    <t>DL</t>
  </si>
  <si>
    <t>k</t>
  </si>
  <si>
    <t>Stem DL</t>
  </si>
  <si>
    <r>
      <t>DL</t>
    </r>
    <r>
      <rPr>
        <vertAlign val="subscript"/>
        <sz val="11"/>
        <color theme="1"/>
        <rFont val="Calibri"/>
        <family val="2"/>
        <scheme val="minor"/>
      </rPr>
      <t>stem</t>
    </r>
  </si>
  <si>
    <t>Footing DL</t>
  </si>
  <si>
    <r>
      <t>DL</t>
    </r>
    <r>
      <rPr>
        <vertAlign val="subscript"/>
        <sz val="11"/>
        <color theme="1"/>
        <rFont val="Calibri"/>
        <family val="2"/>
        <scheme val="minor"/>
      </rPr>
      <t>ftg</t>
    </r>
  </si>
  <si>
    <t>Earth DL</t>
  </si>
  <si>
    <r>
      <t>DL</t>
    </r>
    <r>
      <rPr>
        <vertAlign val="subscript"/>
        <sz val="11"/>
        <color theme="1"/>
        <rFont val="Calibri"/>
        <family val="2"/>
        <scheme val="minor"/>
      </rPr>
      <t>earth</t>
    </r>
  </si>
  <si>
    <t>Footing toe</t>
  </si>
  <si>
    <t>Footing heel</t>
  </si>
  <si>
    <t>Total LL</t>
  </si>
  <si>
    <t>LL</t>
  </si>
  <si>
    <t>Effective LL on abutment</t>
  </si>
  <si>
    <t>Earthquake Load</t>
  </si>
  <si>
    <t>in</t>
  </si>
  <si>
    <t>Active lateral earth pressure coefficient</t>
  </si>
  <si>
    <t>Load Factors</t>
  </si>
  <si>
    <t>Strength I</t>
  </si>
  <si>
    <r>
      <t>γ</t>
    </r>
    <r>
      <rPr>
        <vertAlign val="subscript"/>
        <sz val="11"/>
        <color rgb="FF000000"/>
        <rFont val="Calibri"/>
        <family val="2"/>
        <scheme val="minor"/>
      </rPr>
      <t>max</t>
    </r>
  </si>
  <si>
    <t>DC (DL of structural comps. and nonstructural comps.)</t>
  </si>
  <si>
    <t>LL (vehicular live load)</t>
  </si>
  <si>
    <t>DW (DL of wearing surfaces and utilities )</t>
  </si>
  <si>
    <t>EH (horizontal earth pressure load)</t>
  </si>
  <si>
    <t>LS (live load surcharge)</t>
  </si>
  <si>
    <t>Stength I</t>
  </si>
  <si>
    <t>Stem</t>
  </si>
  <si>
    <t xml:space="preserve">Effective DL on abutment </t>
  </si>
  <si>
    <t>Lateral earth load (stem)</t>
  </si>
  <si>
    <t>Lateral surcharage load (stem)</t>
  </si>
  <si>
    <t>Factored vertical force acting on base of stem</t>
  </si>
  <si>
    <t>Factored moment acting on base of stem</t>
  </si>
  <si>
    <t>EV (vertical pressure from dead load of earth fil)</t>
  </si>
  <si>
    <t>Conc. 28 day comp. strength</t>
  </si>
  <si>
    <t>in^2</t>
  </si>
  <si>
    <t>Effective depth</t>
  </si>
  <si>
    <t>As</t>
  </si>
  <si>
    <t>K</t>
  </si>
  <si>
    <t>Required area of reinforcement</t>
  </si>
  <si>
    <t>Stem Cover</t>
  </si>
  <si>
    <r>
      <t>Cover</t>
    </r>
    <r>
      <rPr>
        <vertAlign val="subscript"/>
        <sz val="11"/>
        <color theme="1"/>
        <rFont val="Calibri"/>
        <family val="2"/>
        <scheme val="minor"/>
      </rPr>
      <t>s</t>
    </r>
  </si>
  <si>
    <r>
      <t>Cover</t>
    </r>
    <r>
      <rPr>
        <vertAlign val="subscript"/>
        <sz val="11"/>
        <color theme="1"/>
        <rFont val="Calibri"/>
        <family val="2"/>
        <scheme val="minor"/>
      </rPr>
      <t>b</t>
    </r>
  </si>
  <si>
    <t>Design Step 1 - Design Criteria</t>
  </si>
  <si>
    <t>P1</t>
  </si>
  <si>
    <t>Surcharge load</t>
  </si>
  <si>
    <t>Overturning Moment</t>
  </si>
  <si>
    <t>Restoring Moment</t>
  </si>
  <si>
    <t>Earth load on heel</t>
  </si>
  <si>
    <t>As min</t>
  </si>
  <si>
    <t>S</t>
  </si>
  <si>
    <t>Restoring Moment (Mr)</t>
  </si>
  <si>
    <t>Bridge LL+DD</t>
  </si>
  <si>
    <t>Mr</t>
  </si>
  <si>
    <t>Total restoring moment</t>
  </si>
  <si>
    <t>Design Step 2 - Select Preliminary Abutment Dimensions</t>
  </si>
  <si>
    <t>Design Step 3 - Compute DL Effects</t>
  </si>
  <si>
    <t>Mo</t>
  </si>
  <si>
    <t>w (k)</t>
  </si>
  <si>
    <t>x (ft)</t>
  </si>
  <si>
    <t>Earth pressure (P1)</t>
  </si>
  <si>
    <t>Earth load on toe</t>
  </si>
  <si>
    <t xml:space="preserve">Total </t>
  </si>
  <si>
    <t>Check moment resistance</t>
  </si>
  <si>
    <t>Overturning Moment (Mo)</t>
  </si>
  <si>
    <t>Mr (k-ft)</t>
  </si>
  <si>
    <t>Vertical Forces</t>
  </si>
  <si>
    <t>Coefficiant of friction</t>
  </si>
  <si>
    <t>μ</t>
  </si>
  <si>
    <t xml:space="preserve">Friction force </t>
  </si>
  <si>
    <t>Check for resistance</t>
  </si>
  <si>
    <t>Lateral earth load on abuttement</t>
  </si>
  <si>
    <t>Effecetive Depth</t>
  </si>
  <si>
    <t>Spacing</t>
  </si>
  <si>
    <t>Minimum required reinforcement</t>
  </si>
  <si>
    <t>Footing Heel</t>
  </si>
  <si>
    <t>Shear at heel and stem</t>
  </si>
  <si>
    <t>k-ft</t>
  </si>
  <si>
    <t>Bottom footing cover</t>
  </si>
  <si>
    <t>Check moment requirement</t>
  </si>
  <si>
    <t>Check shear requirement</t>
  </si>
  <si>
    <t>d</t>
  </si>
  <si>
    <t>Reinforce for moment resistance</t>
  </si>
  <si>
    <t>Factor of safety</t>
  </si>
  <si>
    <t>FS</t>
  </si>
  <si>
    <t>e</t>
  </si>
  <si>
    <t>Qs</t>
  </si>
  <si>
    <t xml:space="preserve">Maximum allowable bearing pressure </t>
  </si>
  <si>
    <t>Qmax</t>
  </si>
  <si>
    <t>Specific weight of bearing soil</t>
  </si>
  <si>
    <t>Abutment Dimensions</t>
  </si>
  <si>
    <t xml:space="preserve">Footing depth </t>
  </si>
  <si>
    <t>Footing height</t>
  </si>
  <si>
    <t>Stem height</t>
  </si>
  <si>
    <t>Mnet</t>
  </si>
  <si>
    <t>B/6</t>
  </si>
  <si>
    <t>F</t>
  </si>
  <si>
    <t>Net Moment</t>
  </si>
  <si>
    <t>Eccentricity</t>
  </si>
  <si>
    <t>Max pressure at toe</t>
  </si>
  <si>
    <r>
      <t>DL</t>
    </r>
    <r>
      <rPr>
        <vertAlign val="subscript"/>
        <sz val="11"/>
        <color theme="1"/>
        <rFont val="Calibri"/>
        <family val="2"/>
        <scheme val="minor"/>
      </rPr>
      <t>brg</t>
    </r>
  </si>
  <si>
    <t>Qallow</t>
  </si>
  <si>
    <t>Factored horizontal force acting on base of stem</t>
  </si>
  <si>
    <t>Heel DL</t>
  </si>
  <si>
    <t>Vertical earth load</t>
  </si>
  <si>
    <t>Factored vertical force acting on the heel</t>
  </si>
  <si>
    <t>Factored vertical force acting at the stem and heel</t>
  </si>
  <si>
    <t xml:space="preserve">Sliding force </t>
  </si>
  <si>
    <t>yg</t>
  </si>
  <si>
    <t>Design Step 4 - Compute LL Effects</t>
  </si>
  <si>
    <t>Factored Loads</t>
  </si>
  <si>
    <t>Design Step 5 - Limit State</t>
  </si>
  <si>
    <t>Design Step 6 - Wall Stability Against Overturning</t>
  </si>
  <si>
    <t>Vertical surcharge on heel</t>
  </si>
  <si>
    <r>
      <t>φ</t>
    </r>
    <r>
      <rPr>
        <vertAlign val="subscript"/>
        <sz val="11"/>
        <color theme="1"/>
        <rFont val="Calibri"/>
        <family val="2"/>
      </rPr>
      <t>g</t>
    </r>
  </si>
  <si>
    <t>Sandy gravel fill friction angle</t>
  </si>
  <si>
    <t>Design Step 7 - Pressure Under Base</t>
  </si>
  <si>
    <t>Design Step 8 - Resistance to Sliding</t>
  </si>
  <si>
    <t>Design Step 9 - Reinforcement</t>
  </si>
  <si>
    <t>Cracking factor</t>
  </si>
  <si>
    <t>Solve for d</t>
  </si>
  <si>
    <t>Modification Factor</t>
  </si>
  <si>
    <t>Preliminary bar diameter (#10)</t>
  </si>
  <si>
    <t>Factor of Safety</t>
  </si>
  <si>
    <r>
      <t>φ</t>
    </r>
    <r>
      <rPr>
        <vertAlign val="subscript"/>
        <sz val="11"/>
        <color theme="1"/>
        <rFont val="Calibri"/>
        <family val="2"/>
      </rPr>
      <t>b</t>
    </r>
  </si>
  <si>
    <r>
      <t>K</t>
    </r>
    <r>
      <rPr>
        <vertAlign val="subscript"/>
        <sz val="11"/>
        <color theme="1"/>
        <rFont val="Calibri"/>
        <family val="2"/>
        <scheme val="minor"/>
      </rPr>
      <t>b</t>
    </r>
  </si>
  <si>
    <r>
      <t>K</t>
    </r>
    <r>
      <rPr>
        <vertAlign val="subscript"/>
        <sz val="11"/>
        <color theme="1"/>
        <rFont val="Calibri"/>
        <family val="2"/>
      </rPr>
      <t>g</t>
    </r>
  </si>
  <si>
    <t>Sandy gravel unit weight</t>
  </si>
  <si>
    <t>Moment  in the footing is most critical at heel so reinforcement is sufficient to extend to the toe</t>
  </si>
  <si>
    <t>Location is in Seismic Zone so no analysis is necessary</t>
  </si>
  <si>
    <t>Bar area</t>
  </si>
  <si>
    <t>Preliminary bar diameter (#6)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</si>
</sst>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bscript"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ill="1"/>
    <xf numFmtId="0" fontId="2" fillId="0" borderId="0" xfId="0" applyFont="1"/>
    <xf numFmtId="2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4" xfId="0" applyFont="1" applyBorder="1"/>
    <xf numFmtId="0" fontId="0" fillId="0" borderId="7" xfId="0" applyBorder="1"/>
    <xf numFmtId="0" fontId="0" fillId="0" borderId="1" xfId="0" applyBorder="1"/>
    <xf numFmtId="0" fontId="0" fillId="0" borderId="6" xfId="0" applyBorder="1"/>
    <xf numFmtId="0" fontId="0" fillId="0" borderId="0" xfId="0" applyFill="1" applyBorder="1"/>
    <xf numFmtId="0" fontId="2" fillId="0" borderId="0" xfId="0" applyFont="1" applyFill="1" applyBorder="1"/>
    <xf numFmtId="0" fontId="3" fillId="0" borderId="2" xfId="0" applyFont="1" applyBorder="1"/>
    <xf numFmtId="0" fontId="0" fillId="0" borderId="6" xfId="0" applyFont="1" applyFill="1" applyBorder="1"/>
    <xf numFmtId="0" fontId="3" fillId="0" borderId="7" xfId="0" applyFont="1" applyBorder="1"/>
    <xf numFmtId="0" fontId="0" fillId="0" borderId="7" xfId="0" applyFill="1" applyBorder="1"/>
    <xf numFmtId="0" fontId="3" fillId="0" borderId="0" xfId="0" applyFont="1" applyBorder="1"/>
    <xf numFmtId="0" fontId="0" fillId="0" borderId="0" xfId="0" applyAlignment="1"/>
    <xf numFmtId="0" fontId="3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0" fillId="0" borderId="4" xfId="0" applyFont="1" applyFill="1" applyBorder="1"/>
    <xf numFmtId="0" fontId="2" fillId="0" borderId="4" xfId="0" applyFont="1" applyFill="1" applyBorder="1"/>
    <xf numFmtId="0" fontId="8" fillId="3" borderId="9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left" vertical="top" wrapText="1"/>
    </xf>
    <xf numFmtId="2" fontId="0" fillId="0" borderId="0" xfId="0" applyNumberFormat="1" applyAlignment="1">
      <alignment horizontal="right"/>
    </xf>
    <xf numFmtId="2" fontId="0" fillId="4" borderId="3" xfId="0" applyNumberFormat="1" applyFill="1" applyBorder="1" applyAlignment="1">
      <alignment horizontal="right"/>
    </xf>
    <xf numFmtId="2" fontId="0" fillId="4" borderId="5" xfId="0" applyNumberFormat="1" applyFill="1" applyBorder="1" applyAlignment="1">
      <alignment horizontal="right"/>
    </xf>
    <xf numFmtId="2" fontId="0" fillId="4" borderId="8" xfId="0" applyNumberFormat="1" applyFill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0" xfId="0" applyNumberFormat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/>
    <xf numFmtId="0" fontId="0" fillId="0" borderId="9" xfId="0" applyFont="1" applyFill="1" applyBorder="1"/>
    <xf numFmtId="2" fontId="0" fillId="0" borderId="9" xfId="0" applyNumberFormat="1" applyBorder="1" applyAlignment="1">
      <alignment horizontal="right"/>
    </xf>
    <xf numFmtId="2" fontId="0" fillId="0" borderId="9" xfId="0" applyNumberFormat="1" applyBorder="1"/>
    <xf numFmtId="0" fontId="0" fillId="0" borderId="9" xfId="0" applyFill="1" applyBorder="1"/>
    <xf numFmtId="0" fontId="0" fillId="0" borderId="0" xfId="0" applyFont="1" applyFill="1" applyBorder="1" applyAlignment="1">
      <alignment horizontal="left"/>
    </xf>
    <xf numFmtId="2" fontId="0" fillId="0" borderId="3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0" fontId="8" fillId="3" borderId="9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2" fontId="0" fillId="4" borderId="5" xfId="0" applyNumberFormat="1" applyFont="1" applyFill="1" applyBorder="1" applyAlignment="1">
      <alignment horizontal="right"/>
    </xf>
    <xf numFmtId="2" fontId="0" fillId="0" borderId="5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6" xfId="0" applyFont="1" applyFill="1" applyBorder="1" applyAlignment="1">
      <alignment horizontal="left"/>
    </xf>
    <xf numFmtId="0" fontId="0" fillId="0" borderId="0" xfId="0" applyBorder="1" applyAlignment="1"/>
    <xf numFmtId="0" fontId="2" fillId="0" borderId="4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2" fillId="0" borderId="4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Alignment="1"/>
    <xf numFmtId="0" fontId="0" fillId="0" borderId="9" xfId="0" applyFont="1" applyBorder="1" applyAlignment="1">
      <alignment horizontal="left"/>
    </xf>
    <xf numFmtId="0" fontId="0" fillId="0" borderId="0" xfId="0" applyFill="1" applyBorder="1" applyAlignment="1"/>
    <xf numFmtId="0" fontId="0" fillId="0" borderId="9" xfId="0" applyBorder="1" applyAlignment="1"/>
    <xf numFmtId="2" fontId="0" fillId="0" borderId="9" xfId="0" applyNumberFormat="1" applyBorder="1" applyAlignment="1"/>
    <xf numFmtId="0" fontId="0" fillId="0" borderId="9" xfId="0" applyFont="1" applyFill="1" applyBorder="1" applyAlignment="1"/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0" fontId="0" fillId="0" borderId="9" xfId="0" applyFill="1" applyBorder="1" applyAlignment="1"/>
    <xf numFmtId="2" fontId="0" fillId="4" borderId="9" xfId="0" applyNumberFormat="1" applyFill="1" applyBorder="1" applyAlignment="1"/>
    <xf numFmtId="0" fontId="0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4" borderId="9" xfId="0" applyNumberFormat="1" applyFill="1" applyBorder="1" applyAlignment="1">
      <alignment horizontal="right"/>
    </xf>
    <xf numFmtId="0" fontId="3" fillId="0" borderId="9" xfId="0" applyFont="1" applyBorder="1"/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2" fillId="0" borderId="0" xfId="0" applyFont="1" applyBorder="1" applyAlignment="1">
      <alignment horizontal="center"/>
    </xf>
    <xf numFmtId="2" fontId="0" fillId="0" borderId="8" xfId="0" applyNumberFormat="1" applyBorder="1"/>
    <xf numFmtId="0" fontId="0" fillId="0" borderId="6" xfId="0" applyFont="1" applyFill="1" applyBorder="1" applyAlignment="1">
      <alignment wrapText="1"/>
    </xf>
    <xf numFmtId="2" fontId="0" fillId="0" borderId="0" xfId="0" applyNumberFormat="1" applyFill="1" applyBorder="1" applyAlignment="1">
      <alignment horizontal="right"/>
    </xf>
    <xf numFmtId="0" fontId="2" fillId="0" borderId="0" xfId="0" applyFont="1" applyAlignment="1"/>
    <xf numFmtId="0" fontId="0" fillId="0" borderId="0" xfId="0" applyFont="1" applyFill="1" applyBorder="1" applyAlignment="1"/>
    <xf numFmtId="2" fontId="0" fillId="0" borderId="0" xfId="0" applyNumberFormat="1" applyBorder="1" applyAlignment="1">
      <alignment horizontal="left"/>
    </xf>
    <xf numFmtId="2" fontId="0" fillId="0" borderId="0" xfId="0" applyNumberFormat="1" applyBorder="1" applyAlignment="1"/>
    <xf numFmtId="2" fontId="0" fillId="4" borderId="0" xfId="0" applyNumberFormat="1" applyFill="1" applyBorder="1" applyAlignment="1"/>
    <xf numFmtId="2" fontId="3" fillId="0" borderId="9" xfId="0" applyNumberFormat="1" applyFont="1" applyBorder="1"/>
    <xf numFmtId="2" fontId="0" fillId="0" borderId="9" xfId="0" applyNumberFormat="1" applyFill="1" applyBorder="1" applyAlignment="1">
      <alignment horizontal="right"/>
    </xf>
    <xf numFmtId="2" fontId="0" fillId="0" borderId="5" xfId="0" applyNumberFormat="1" applyBorder="1"/>
    <xf numFmtId="0" fontId="2" fillId="0" borderId="0" xfId="0" applyFont="1" applyAlignment="1">
      <alignment vertical="center"/>
    </xf>
    <xf numFmtId="0" fontId="0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124137</xdr:colOff>
      <xdr:row>97</xdr:row>
      <xdr:rowOff>142025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66D215-4364-4113-A7F8-8ABD83DCB949}"/>
            </a:ext>
          </a:extLst>
        </xdr:cNvPr>
        <xdr:cNvSpPr txBox="1"/>
      </xdr:nvSpPr>
      <xdr:spPr>
        <a:xfrm>
          <a:off x="7860405" y="105792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8662-72A0-4142-8807-9F4FF0BD5372}">
  <dimension ref="B2:N149"/>
  <sheetViews>
    <sheetView showGridLines="0" tabSelected="1" zoomScale="86" zoomScaleNormal="100" workbookViewId="0">
      <selection activeCell="E113" sqref="E113"/>
    </sheetView>
  </sheetViews>
  <sheetFormatPr defaultRowHeight="14.5" x14ac:dyDescent="0.35"/>
  <cols>
    <col min="2" max="2" width="34.26953125" bestFit="1" customWidth="1"/>
    <col min="3" max="3" width="9" bestFit="1" customWidth="1"/>
    <col min="4" max="4" width="9.36328125" bestFit="1" customWidth="1"/>
    <col min="5" max="5" width="7.81640625" style="28" customWidth="1"/>
    <col min="7" max="7" width="21.54296875" customWidth="1"/>
  </cols>
  <sheetData>
    <row r="2" spans="2:5" x14ac:dyDescent="0.35">
      <c r="B2" s="90" t="s">
        <v>63</v>
      </c>
      <c r="C2" s="90"/>
      <c r="D2" s="90"/>
      <c r="E2" s="90"/>
    </row>
    <row r="3" spans="2:5" ht="15" thickBot="1" x14ac:dyDescent="0.4">
      <c r="B3" s="91" t="s">
        <v>10</v>
      </c>
      <c r="C3" s="91"/>
      <c r="D3" s="91"/>
      <c r="E3" s="91"/>
    </row>
    <row r="4" spans="2:5" x14ac:dyDescent="0.35">
      <c r="B4" s="11" t="s">
        <v>13</v>
      </c>
      <c r="C4" s="6" t="s">
        <v>11</v>
      </c>
      <c r="D4" s="6" t="s">
        <v>9</v>
      </c>
      <c r="E4" s="29">
        <v>0.15</v>
      </c>
    </row>
    <row r="5" spans="2:5" x14ac:dyDescent="0.35">
      <c r="B5" s="7" t="s">
        <v>54</v>
      </c>
      <c r="C5" s="8" t="s">
        <v>14</v>
      </c>
      <c r="D5" s="8" t="s">
        <v>7</v>
      </c>
      <c r="E5" s="30">
        <v>3</v>
      </c>
    </row>
    <row r="6" spans="2:5" x14ac:dyDescent="0.35">
      <c r="B6" s="7" t="s">
        <v>12</v>
      </c>
      <c r="C6" s="8" t="s">
        <v>15</v>
      </c>
      <c r="D6" s="8" t="s">
        <v>7</v>
      </c>
      <c r="E6" s="30">
        <v>60</v>
      </c>
    </row>
    <row r="7" spans="2:5" x14ac:dyDescent="0.35">
      <c r="B7" s="7" t="s">
        <v>147</v>
      </c>
      <c r="C7" s="8" t="s">
        <v>128</v>
      </c>
      <c r="D7" s="8" t="s">
        <v>9</v>
      </c>
      <c r="E7" s="30">
        <v>0.12</v>
      </c>
    </row>
    <row r="8" spans="2:5" ht="16.5" x14ac:dyDescent="0.45">
      <c r="B8" s="7" t="s">
        <v>135</v>
      </c>
      <c r="C8" s="19" t="s">
        <v>134</v>
      </c>
      <c r="D8" s="13" t="s">
        <v>4</v>
      </c>
      <c r="E8" s="30">
        <v>40</v>
      </c>
    </row>
    <row r="9" spans="2:5" ht="17" thickBot="1" x14ac:dyDescent="0.5">
      <c r="B9" s="12" t="s">
        <v>37</v>
      </c>
      <c r="C9" s="17" t="s">
        <v>146</v>
      </c>
      <c r="D9" s="10"/>
      <c r="E9" s="31">
        <f>(1-SIN((RADIANS(E8))))/(1+SIN(RADIANS(E7)))</f>
        <v>0.35646581061135679</v>
      </c>
    </row>
    <row r="10" spans="2:5" ht="15" thickBot="1" x14ac:dyDescent="0.4">
      <c r="B10" s="91" t="s">
        <v>1</v>
      </c>
      <c r="C10" s="91"/>
      <c r="D10" s="91"/>
      <c r="E10" s="91"/>
    </row>
    <row r="11" spans="2:5" ht="16.5" x14ac:dyDescent="0.45">
      <c r="B11" s="11" t="s">
        <v>2</v>
      </c>
      <c r="C11" s="15" t="s">
        <v>144</v>
      </c>
      <c r="D11" s="6" t="s">
        <v>4</v>
      </c>
      <c r="E11" s="29">
        <v>25</v>
      </c>
    </row>
    <row r="12" spans="2:5" x14ac:dyDescent="0.35">
      <c r="B12" s="7" t="s">
        <v>109</v>
      </c>
      <c r="C12" s="8" t="s">
        <v>3</v>
      </c>
      <c r="D12" s="8" t="s">
        <v>9</v>
      </c>
      <c r="E12" s="30">
        <v>0.1</v>
      </c>
    </row>
    <row r="13" spans="2:5" ht="17" thickBot="1" x14ac:dyDescent="0.5">
      <c r="B13" s="12" t="s">
        <v>37</v>
      </c>
      <c r="C13" s="10" t="s">
        <v>145</v>
      </c>
      <c r="D13" s="10"/>
      <c r="E13" s="31">
        <f>(1-SIN((RADIANS(E11))))/(1+SIN(RADIANS(E11)))</f>
        <v>0.40585851720532728</v>
      </c>
    </row>
    <row r="14" spans="2:5" x14ac:dyDescent="0.35">
      <c r="B14" s="13"/>
      <c r="C14" s="13"/>
      <c r="D14" s="8"/>
      <c r="E14" s="77"/>
    </row>
    <row r="15" spans="2:5" s="3" customFormat="1" x14ac:dyDescent="0.35">
      <c r="B15" s="90" t="s">
        <v>75</v>
      </c>
      <c r="C15" s="90"/>
      <c r="D15" s="90"/>
      <c r="E15" s="90"/>
    </row>
    <row r="16" spans="2:5" ht="15" thickBot="1" x14ac:dyDescent="0.4">
      <c r="B16" s="91" t="s">
        <v>110</v>
      </c>
      <c r="C16" s="91"/>
      <c r="D16" s="91"/>
      <c r="E16" s="91"/>
    </row>
    <row r="17" spans="2:5" x14ac:dyDescent="0.35">
      <c r="B17" s="11" t="s">
        <v>111</v>
      </c>
      <c r="C17" s="6"/>
      <c r="D17" s="6" t="s">
        <v>16</v>
      </c>
      <c r="E17" s="29">
        <v>9</v>
      </c>
    </row>
    <row r="18" spans="2:5" x14ac:dyDescent="0.35">
      <c r="B18" s="7" t="s">
        <v>18</v>
      </c>
      <c r="C18" s="8"/>
      <c r="D18" s="8" t="s">
        <v>16</v>
      </c>
      <c r="E18" s="30">
        <v>13</v>
      </c>
    </row>
    <row r="19" spans="2:5" x14ac:dyDescent="0.35">
      <c r="B19" s="7" t="s">
        <v>112</v>
      </c>
      <c r="C19" s="8"/>
      <c r="D19" s="8" t="s">
        <v>16</v>
      </c>
      <c r="E19" s="30">
        <v>1</v>
      </c>
    </row>
    <row r="20" spans="2:5" x14ac:dyDescent="0.35">
      <c r="B20" s="7" t="s">
        <v>31</v>
      </c>
      <c r="C20" s="8"/>
      <c r="D20" s="8" t="s">
        <v>16</v>
      </c>
      <c r="E20" s="30">
        <v>5</v>
      </c>
    </row>
    <row r="21" spans="2:5" ht="15" thickBot="1" x14ac:dyDescent="0.4">
      <c r="B21" s="12" t="s">
        <v>30</v>
      </c>
      <c r="C21" s="10"/>
      <c r="D21" s="10" t="s">
        <v>16</v>
      </c>
      <c r="E21" s="31">
        <v>3</v>
      </c>
    </row>
    <row r="22" spans="2:5" x14ac:dyDescent="0.35">
      <c r="B22" s="11" t="s">
        <v>19</v>
      </c>
      <c r="C22" s="6"/>
      <c r="D22" s="6" t="s">
        <v>16</v>
      </c>
      <c r="E22" s="29">
        <v>1</v>
      </c>
    </row>
    <row r="23" spans="2:5" x14ac:dyDescent="0.35">
      <c r="B23" s="7" t="s">
        <v>20</v>
      </c>
      <c r="C23" s="8"/>
      <c r="D23" s="8" t="s">
        <v>16</v>
      </c>
      <c r="E23" s="30">
        <v>13</v>
      </c>
    </row>
    <row r="24" spans="2:5" ht="15" thickBot="1" x14ac:dyDescent="0.4">
      <c r="B24" s="12" t="s">
        <v>113</v>
      </c>
      <c r="C24" s="10"/>
      <c r="D24" s="10" t="s">
        <v>16</v>
      </c>
      <c r="E24" s="31">
        <v>6</v>
      </c>
    </row>
    <row r="25" spans="2:5" x14ac:dyDescent="0.35">
      <c r="B25" s="8"/>
      <c r="C25" s="8"/>
      <c r="D25" s="8"/>
      <c r="E25" s="77"/>
    </row>
    <row r="26" spans="2:5" x14ac:dyDescent="0.35">
      <c r="B26" s="90" t="s">
        <v>76</v>
      </c>
      <c r="C26" s="90"/>
      <c r="D26" s="90"/>
      <c r="E26" s="90"/>
    </row>
    <row r="27" spans="2:5" x14ac:dyDescent="0.35">
      <c r="B27" s="35" t="s">
        <v>21</v>
      </c>
      <c r="C27" s="35" t="s">
        <v>22</v>
      </c>
      <c r="D27" s="35" t="s">
        <v>23</v>
      </c>
      <c r="E27" s="69">
        <f>63.63/2</f>
        <v>31.815000000000001</v>
      </c>
    </row>
    <row r="28" spans="2:5" ht="16.5" x14ac:dyDescent="0.45">
      <c r="B28" s="35" t="s">
        <v>48</v>
      </c>
      <c r="C28" s="36" t="s">
        <v>120</v>
      </c>
      <c r="D28" s="35" t="s">
        <v>17</v>
      </c>
      <c r="E28" s="37">
        <f>(E27)/E23</f>
        <v>2.4473076923076924</v>
      </c>
    </row>
    <row r="29" spans="2:5" ht="16.5" x14ac:dyDescent="0.45">
      <c r="B29" s="35" t="s">
        <v>24</v>
      </c>
      <c r="C29" s="36" t="s">
        <v>25</v>
      </c>
      <c r="D29" s="35" t="s">
        <v>17</v>
      </c>
      <c r="E29" s="37">
        <f>E24*E22*E4</f>
        <v>0.89999999999999991</v>
      </c>
    </row>
    <row r="30" spans="2:5" ht="16.5" x14ac:dyDescent="0.45">
      <c r="B30" s="35" t="s">
        <v>26</v>
      </c>
      <c r="C30" s="36" t="s">
        <v>27</v>
      </c>
      <c r="D30" s="35" t="s">
        <v>17</v>
      </c>
      <c r="E30" s="37">
        <f>E17*E19*E4</f>
        <v>1.3499999999999999</v>
      </c>
    </row>
    <row r="31" spans="2:5" ht="16.5" x14ac:dyDescent="0.45">
      <c r="B31" s="35" t="s">
        <v>28</v>
      </c>
      <c r="C31" s="36" t="s">
        <v>29</v>
      </c>
      <c r="D31" s="35" t="s">
        <v>17</v>
      </c>
      <c r="E31" s="37">
        <f>(E24*E20*E7)+(E24*E21*E7)</f>
        <v>5.76</v>
      </c>
    </row>
    <row r="32" spans="2:5" x14ac:dyDescent="0.35">
      <c r="B32" s="8"/>
      <c r="C32" s="2"/>
      <c r="D32" s="8"/>
      <c r="E32" s="32"/>
    </row>
    <row r="33" spans="2:6" x14ac:dyDescent="0.35">
      <c r="B33" s="90" t="s">
        <v>129</v>
      </c>
      <c r="C33" s="90"/>
      <c r="D33" s="90"/>
      <c r="E33" s="90"/>
    </row>
    <row r="34" spans="2:6" x14ac:dyDescent="0.35">
      <c r="B34" s="35" t="s">
        <v>32</v>
      </c>
      <c r="C34" s="36" t="s">
        <v>33</v>
      </c>
      <c r="D34" s="35" t="s">
        <v>23</v>
      </c>
      <c r="E34" s="69">
        <f>0.54*130</f>
        <v>70.2</v>
      </c>
    </row>
    <row r="35" spans="2:6" x14ac:dyDescent="0.35">
      <c r="B35" s="35" t="s">
        <v>34</v>
      </c>
      <c r="C35" s="36"/>
      <c r="D35" s="35" t="s">
        <v>17</v>
      </c>
      <c r="E35" s="37">
        <f>(E34/2)/E23</f>
        <v>2.7</v>
      </c>
    </row>
    <row r="36" spans="2:6" x14ac:dyDescent="0.35">
      <c r="B36" s="36" t="s">
        <v>65</v>
      </c>
      <c r="C36" s="70" t="s">
        <v>106</v>
      </c>
      <c r="D36" s="35" t="s">
        <v>0</v>
      </c>
      <c r="E36" s="37">
        <f>20/(14*6)</f>
        <v>0.23809523809523808</v>
      </c>
    </row>
    <row r="37" spans="2:6" x14ac:dyDescent="0.35">
      <c r="B37" s="2"/>
      <c r="C37" s="19"/>
      <c r="D37" s="8"/>
      <c r="E37" s="32"/>
    </row>
    <row r="38" spans="2:6" x14ac:dyDescent="0.35">
      <c r="B38" s="90" t="s">
        <v>131</v>
      </c>
      <c r="C38" s="90"/>
      <c r="D38" s="90"/>
      <c r="E38" s="73"/>
    </row>
    <row r="39" spans="2:6" x14ac:dyDescent="0.35">
      <c r="B39" s="45" t="s">
        <v>47</v>
      </c>
      <c r="C39" s="45"/>
      <c r="D39" s="45"/>
      <c r="E39" s="45"/>
      <c r="F39" s="3"/>
    </row>
    <row r="40" spans="2:6" x14ac:dyDescent="0.35">
      <c r="B40" s="27" t="s">
        <v>38</v>
      </c>
      <c r="C40" s="27"/>
      <c r="D40" s="28"/>
      <c r="E40"/>
    </row>
    <row r="41" spans="2:6" x14ac:dyDescent="0.35">
      <c r="B41" s="25"/>
      <c r="C41" s="44" t="s">
        <v>39</v>
      </c>
      <c r="D41" s="28"/>
      <c r="E41"/>
    </row>
    <row r="42" spans="2:6" ht="16.5" x14ac:dyDescent="0.35">
      <c r="B42" s="26" t="s">
        <v>6</v>
      </c>
      <c r="C42" s="26" t="s">
        <v>40</v>
      </c>
      <c r="D42" s="28"/>
      <c r="E42"/>
    </row>
    <row r="43" spans="2:6" ht="29" x14ac:dyDescent="0.35">
      <c r="B43" s="26" t="s">
        <v>41</v>
      </c>
      <c r="C43" s="26">
        <v>1.25</v>
      </c>
      <c r="D43" s="28"/>
      <c r="E43"/>
    </row>
    <row r="44" spans="2:6" ht="29" x14ac:dyDescent="0.35">
      <c r="B44" s="26" t="s">
        <v>43</v>
      </c>
      <c r="C44" s="26">
        <v>1.5</v>
      </c>
      <c r="D44" s="28"/>
      <c r="E44"/>
    </row>
    <row r="45" spans="2:6" x14ac:dyDescent="0.35">
      <c r="B45" s="26" t="s">
        <v>42</v>
      </c>
      <c r="C45" s="26">
        <v>1.75</v>
      </c>
      <c r="D45" s="28"/>
      <c r="E45"/>
    </row>
    <row r="46" spans="2:6" x14ac:dyDescent="0.35">
      <c r="B46" s="26" t="s">
        <v>44</v>
      </c>
      <c r="C46" s="26">
        <v>1.5</v>
      </c>
      <c r="D46" s="28"/>
      <c r="E46"/>
    </row>
    <row r="47" spans="2:6" x14ac:dyDescent="0.35">
      <c r="B47" s="26" t="s">
        <v>45</v>
      </c>
      <c r="C47" s="26">
        <v>1.75</v>
      </c>
      <c r="D47" s="28"/>
      <c r="E47"/>
    </row>
    <row r="48" spans="2:6" ht="15" thickBot="1" x14ac:dyDescent="0.4">
      <c r="B48" s="71"/>
      <c r="C48" s="72"/>
      <c r="D48" s="28"/>
      <c r="E48"/>
    </row>
    <row r="49" spans="2:5" x14ac:dyDescent="0.35">
      <c r="B49" s="22" t="s">
        <v>130</v>
      </c>
      <c r="C49" s="6"/>
      <c r="D49" s="41"/>
      <c r="E49"/>
    </row>
    <row r="50" spans="2:5" x14ac:dyDescent="0.35">
      <c r="B50" s="7" t="s">
        <v>24</v>
      </c>
      <c r="C50" s="8" t="s">
        <v>23</v>
      </c>
      <c r="D50" s="42">
        <f>E29*C43</f>
        <v>1.125</v>
      </c>
      <c r="E50"/>
    </row>
    <row r="51" spans="2:5" x14ac:dyDescent="0.35">
      <c r="B51" s="7" t="s">
        <v>34</v>
      </c>
      <c r="C51" s="8" t="s">
        <v>23</v>
      </c>
      <c r="D51" s="42">
        <f>E35*C45</f>
        <v>4.7250000000000005</v>
      </c>
      <c r="E51"/>
    </row>
    <row r="52" spans="2:5" x14ac:dyDescent="0.35">
      <c r="B52" s="7" t="s">
        <v>48</v>
      </c>
      <c r="C52" s="8" t="s">
        <v>23</v>
      </c>
      <c r="D52" s="42">
        <f>E28*C43</f>
        <v>3.0591346153846155</v>
      </c>
      <c r="E52"/>
    </row>
    <row r="53" spans="2:5" x14ac:dyDescent="0.35">
      <c r="B53" s="9" t="s">
        <v>49</v>
      </c>
      <c r="C53" s="8" t="s">
        <v>23</v>
      </c>
      <c r="D53" s="42">
        <f>(0.5*E9*E7*(E24)^2)*C46</f>
        <v>1.1549492263807961</v>
      </c>
      <c r="E53"/>
    </row>
    <row r="54" spans="2:5" x14ac:dyDescent="0.35">
      <c r="B54" s="23" t="s">
        <v>50</v>
      </c>
      <c r="C54" s="8" t="s">
        <v>23</v>
      </c>
      <c r="D54" s="42">
        <f>E36*E9*E24*C47</f>
        <v>0.89116452652839195</v>
      </c>
      <c r="E54"/>
    </row>
    <row r="55" spans="2:5" x14ac:dyDescent="0.35">
      <c r="B55" s="24" t="s">
        <v>46</v>
      </c>
      <c r="C55" s="8"/>
      <c r="D55" s="42">
        <f>(E7*E13*3)*(E24)</f>
        <v>0.87665439716350679</v>
      </c>
      <c r="E55"/>
    </row>
    <row r="56" spans="2:5" x14ac:dyDescent="0.35">
      <c r="B56" s="23" t="s">
        <v>51</v>
      </c>
      <c r="C56" s="13" t="s">
        <v>23</v>
      </c>
      <c r="D56" s="42">
        <f>SUM(D50:D52)</f>
        <v>8.909134615384616</v>
      </c>
      <c r="E56"/>
    </row>
    <row r="57" spans="2:5" x14ac:dyDescent="0.35">
      <c r="B57" s="23" t="s">
        <v>122</v>
      </c>
      <c r="C57" s="13" t="s">
        <v>23</v>
      </c>
      <c r="D57" s="42">
        <f>SUM(D53:D54)</f>
        <v>2.046113752909188</v>
      </c>
      <c r="E57"/>
    </row>
    <row r="58" spans="2:5" ht="15" thickBot="1" x14ac:dyDescent="0.4">
      <c r="B58" s="16" t="s">
        <v>52</v>
      </c>
      <c r="C58" s="10" t="s">
        <v>97</v>
      </c>
      <c r="D58" s="43">
        <f>(D53*(E24/3))+((E24/2)*D54)</f>
        <v>4.9833920323467682</v>
      </c>
      <c r="E58" s="8"/>
    </row>
    <row r="59" spans="2:5" x14ac:dyDescent="0.35">
      <c r="B59" s="2"/>
      <c r="C59" s="8"/>
      <c r="D59" s="32"/>
      <c r="E59" s="8"/>
    </row>
    <row r="60" spans="2:5" x14ac:dyDescent="0.35">
      <c r="B60" s="74" t="s">
        <v>95</v>
      </c>
      <c r="C60" s="56"/>
      <c r="D60" s="56"/>
      <c r="E60" s="56"/>
    </row>
    <row r="61" spans="2:5" x14ac:dyDescent="0.35">
      <c r="B61" s="27" t="s">
        <v>38</v>
      </c>
      <c r="C61" s="27"/>
      <c r="D61" s="28"/>
      <c r="E61"/>
    </row>
    <row r="62" spans="2:5" x14ac:dyDescent="0.35">
      <c r="B62" s="25"/>
      <c r="C62" s="44" t="s">
        <v>39</v>
      </c>
      <c r="D62" s="28"/>
      <c r="E62"/>
    </row>
    <row r="63" spans="2:5" ht="16.5" x14ac:dyDescent="0.35">
      <c r="B63" s="26" t="s">
        <v>6</v>
      </c>
      <c r="C63" s="26" t="s">
        <v>40</v>
      </c>
      <c r="D63" s="28"/>
      <c r="E63"/>
    </row>
    <row r="64" spans="2:5" ht="29" x14ac:dyDescent="0.35">
      <c r="B64" s="26" t="s">
        <v>41</v>
      </c>
      <c r="C64" s="26">
        <v>1.25</v>
      </c>
      <c r="D64" s="28"/>
      <c r="E64"/>
    </row>
    <row r="65" spans="2:5" x14ac:dyDescent="0.35">
      <c r="B65" s="26" t="s">
        <v>42</v>
      </c>
      <c r="C65" s="26">
        <v>1.75</v>
      </c>
      <c r="D65" s="28"/>
      <c r="E65"/>
    </row>
    <row r="66" spans="2:5" x14ac:dyDescent="0.35">
      <c r="B66" s="26" t="s">
        <v>44</v>
      </c>
      <c r="C66" s="26">
        <v>1.5</v>
      </c>
      <c r="D66" s="28"/>
      <c r="E66"/>
    </row>
    <row r="67" spans="2:5" ht="29" x14ac:dyDescent="0.35">
      <c r="B67" s="26" t="s">
        <v>53</v>
      </c>
      <c r="C67" s="26">
        <v>1.35</v>
      </c>
      <c r="D67" s="28"/>
      <c r="E67"/>
    </row>
    <row r="68" spans="2:5" x14ac:dyDescent="0.35">
      <c r="B68" s="26" t="s">
        <v>45</v>
      </c>
      <c r="C68" s="26">
        <v>1.75</v>
      </c>
      <c r="D68" s="28"/>
      <c r="E68"/>
    </row>
    <row r="69" spans="2:5" ht="15" thickBot="1" x14ac:dyDescent="0.4">
      <c r="B69" s="71"/>
      <c r="C69" s="71"/>
      <c r="D69" s="71"/>
    </row>
    <row r="70" spans="2:5" x14ac:dyDescent="0.35">
      <c r="B70" s="22" t="s">
        <v>130</v>
      </c>
      <c r="C70" s="6"/>
      <c r="D70" s="41"/>
    </row>
    <row r="71" spans="2:5" x14ac:dyDescent="0.35">
      <c r="B71" s="7" t="s">
        <v>123</v>
      </c>
      <c r="C71" s="8" t="s">
        <v>23</v>
      </c>
      <c r="D71" s="42">
        <f>E4*E20*E19*C64</f>
        <v>0.9375</v>
      </c>
    </row>
    <row r="72" spans="2:5" x14ac:dyDescent="0.35">
      <c r="B72" s="7" t="s">
        <v>124</v>
      </c>
      <c r="C72" s="8" t="s">
        <v>23</v>
      </c>
      <c r="D72" s="42">
        <f>E7*E20*E24*C67</f>
        <v>4.8599999999999994</v>
      </c>
    </row>
    <row r="73" spans="2:5" x14ac:dyDescent="0.35">
      <c r="B73" s="9" t="s">
        <v>133</v>
      </c>
      <c r="C73" s="8" t="s">
        <v>23</v>
      </c>
      <c r="D73" s="42">
        <f>E36*E20*C68</f>
        <v>2.0833333333333335</v>
      </c>
    </row>
    <row r="74" spans="2:5" x14ac:dyDescent="0.35">
      <c r="B74" s="24" t="s">
        <v>46</v>
      </c>
      <c r="C74" s="8"/>
      <c r="D74" s="42"/>
    </row>
    <row r="75" spans="2:5" x14ac:dyDescent="0.35">
      <c r="B75" s="23" t="s">
        <v>125</v>
      </c>
      <c r="C75" s="13" t="s">
        <v>23</v>
      </c>
      <c r="D75" s="42">
        <f>SUM(D71:D73)</f>
        <v>7.8808333333333334</v>
      </c>
    </row>
    <row r="76" spans="2:5" ht="29.5" thickBot="1" x14ac:dyDescent="0.4">
      <c r="B76" s="76" t="s">
        <v>126</v>
      </c>
      <c r="C76" s="18" t="s">
        <v>97</v>
      </c>
      <c r="D76" s="75">
        <f>(D73*(E20/2))+(D72*(E20/2))+(D71*(E20/2))</f>
        <v>19.702083333333334</v>
      </c>
      <c r="E76"/>
    </row>
    <row r="78" spans="2:5" x14ac:dyDescent="0.35">
      <c r="B78" s="90" t="s">
        <v>132</v>
      </c>
      <c r="C78" s="90"/>
      <c r="D78" s="90"/>
      <c r="E78" s="90"/>
    </row>
    <row r="79" spans="2:5" ht="29" customHeight="1" x14ac:dyDescent="0.35">
      <c r="B79" s="86" t="s">
        <v>35</v>
      </c>
      <c r="C79" s="99" t="s">
        <v>149</v>
      </c>
      <c r="D79" s="99"/>
      <c r="E79" s="99"/>
    </row>
    <row r="80" spans="2:5" x14ac:dyDescent="0.35">
      <c r="B80" s="1" t="s">
        <v>91</v>
      </c>
      <c r="C80" s="21" t="s">
        <v>64</v>
      </c>
      <c r="D80" s="13" t="s">
        <v>17</v>
      </c>
      <c r="E80" s="28">
        <f>0.5*E9*E7*(E24+E19)^2*C46</f>
        <v>1.5720142247960833</v>
      </c>
    </row>
    <row r="81" spans="2:5" x14ac:dyDescent="0.35">
      <c r="B81" s="93" t="s">
        <v>71</v>
      </c>
      <c r="C81" s="94"/>
      <c r="D81" s="94"/>
      <c r="E81" s="95"/>
    </row>
    <row r="82" spans="2:5" x14ac:dyDescent="0.35">
      <c r="B82" s="34"/>
      <c r="C82" s="34" t="s">
        <v>78</v>
      </c>
      <c r="D82" s="35" t="s">
        <v>79</v>
      </c>
      <c r="E82" s="37" t="s">
        <v>85</v>
      </c>
    </row>
    <row r="83" spans="2:5" x14ac:dyDescent="0.35">
      <c r="B83" s="36" t="s">
        <v>68</v>
      </c>
      <c r="C83" s="37">
        <f>D72</f>
        <v>4.8599999999999994</v>
      </c>
      <c r="D83" s="38">
        <f>E21+E22+(E20/2)</f>
        <v>6.5</v>
      </c>
      <c r="E83" s="37">
        <f>D83*C83</f>
        <v>31.589999999999996</v>
      </c>
    </row>
    <row r="84" spans="2:5" x14ac:dyDescent="0.35">
      <c r="B84" s="36" t="s">
        <v>81</v>
      </c>
      <c r="C84" s="37">
        <f>E7*E24*E21*C64</f>
        <v>2.7</v>
      </c>
      <c r="D84" s="38">
        <f>E21/2</f>
        <v>1.5</v>
      </c>
      <c r="E84" s="37">
        <f>D84*C84</f>
        <v>4.0500000000000007</v>
      </c>
    </row>
    <row r="85" spans="2:5" x14ac:dyDescent="0.35">
      <c r="B85" s="36" t="s">
        <v>26</v>
      </c>
      <c r="C85" s="37">
        <f>E30*C64</f>
        <v>1.6874999999999998</v>
      </c>
      <c r="D85" s="38">
        <f>E17/2</f>
        <v>4.5</v>
      </c>
      <c r="E85" s="37">
        <f>D85*C85</f>
        <v>7.5937499999999991</v>
      </c>
    </row>
    <row r="86" spans="2:5" x14ac:dyDescent="0.35">
      <c r="B86" s="36" t="s">
        <v>24</v>
      </c>
      <c r="C86" s="37">
        <f>D50</f>
        <v>1.125</v>
      </c>
      <c r="D86" s="38">
        <f>E21+(E22/2)</f>
        <v>3.5</v>
      </c>
      <c r="E86" s="37">
        <f>D86*C86</f>
        <v>3.9375</v>
      </c>
    </row>
    <row r="87" spans="2:5" x14ac:dyDescent="0.35">
      <c r="B87" s="36" t="s">
        <v>72</v>
      </c>
      <c r="C87" s="37">
        <f>D50+D51</f>
        <v>5.8500000000000005</v>
      </c>
      <c r="D87" s="38">
        <f>E21+(E22/2)</f>
        <v>3.5</v>
      </c>
      <c r="E87" s="37">
        <f>D87*C87</f>
        <v>20.475000000000001</v>
      </c>
    </row>
    <row r="88" spans="2:5" x14ac:dyDescent="0.35">
      <c r="B88" s="36" t="s">
        <v>74</v>
      </c>
      <c r="C88" s="35"/>
      <c r="D88" s="39"/>
      <c r="E88" s="37">
        <f>SUM(E83:E87)</f>
        <v>67.646250000000009</v>
      </c>
    </row>
    <row r="89" spans="2:5" x14ac:dyDescent="0.35">
      <c r="B89" s="96" t="s">
        <v>84</v>
      </c>
      <c r="C89" s="97"/>
      <c r="D89" s="97"/>
      <c r="E89" s="98"/>
    </row>
    <row r="90" spans="2:5" x14ac:dyDescent="0.35">
      <c r="B90" s="35"/>
      <c r="C90" s="34" t="s">
        <v>78</v>
      </c>
      <c r="D90" s="35" t="s">
        <v>79</v>
      </c>
      <c r="E90" s="37" t="s">
        <v>85</v>
      </c>
    </row>
    <row r="91" spans="2:5" x14ac:dyDescent="0.35">
      <c r="B91" s="36" t="s">
        <v>80</v>
      </c>
      <c r="C91" s="38">
        <f>E80</f>
        <v>1.5720142247960833</v>
      </c>
      <c r="D91" s="38">
        <f>(E24+E19)/3</f>
        <v>2.3333333333333335</v>
      </c>
      <c r="E91" s="37">
        <f>D91*C91</f>
        <v>3.6680331911908612</v>
      </c>
    </row>
    <row r="92" spans="2:5" x14ac:dyDescent="0.35">
      <c r="B92" s="35" t="s">
        <v>65</v>
      </c>
      <c r="C92" s="38">
        <f>E9*E36*(E24+E19)*C68</f>
        <v>1.0396919476164572</v>
      </c>
      <c r="D92" s="38">
        <f>(E24+E19)/2</f>
        <v>3.5</v>
      </c>
      <c r="E92" s="37">
        <f>D92*C92</f>
        <v>3.6389218166576001</v>
      </c>
    </row>
    <row r="93" spans="2:5" x14ac:dyDescent="0.35">
      <c r="B93" s="35"/>
      <c r="C93" s="38"/>
      <c r="D93" s="38"/>
      <c r="E93" s="37"/>
    </row>
    <row r="94" spans="2:5" x14ac:dyDescent="0.35">
      <c r="B94" s="39" t="s">
        <v>82</v>
      </c>
      <c r="C94" s="38"/>
      <c r="D94" s="38"/>
      <c r="E94" s="37">
        <f>SUM(E91:E92)</f>
        <v>7.3069550078484617</v>
      </c>
    </row>
    <row r="95" spans="2:5" x14ac:dyDescent="0.35">
      <c r="B95" s="14" t="s">
        <v>83</v>
      </c>
      <c r="C95" s="5"/>
      <c r="D95" s="5"/>
    </row>
    <row r="96" spans="2:5" x14ac:dyDescent="0.35">
      <c r="B96" s="13" t="s">
        <v>67</v>
      </c>
      <c r="C96" s="5" t="s">
        <v>73</v>
      </c>
      <c r="D96" s="5">
        <f>E88</f>
        <v>67.646250000000009</v>
      </c>
    </row>
    <row r="97" spans="2:7" x14ac:dyDescent="0.35">
      <c r="B97" s="13" t="s">
        <v>66</v>
      </c>
      <c r="C97" s="5" t="s">
        <v>77</v>
      </c>
      <c r="D97" s="5">
        <f>E94</f>
        <v>7.3069550078484617</v>
      </c>
    </row>
    <row r="98" spans="2:7" x14ac:dyDescent="0.35">
      <c r="B98" s="13" t="s">
        <v>143</v>
      </c>
      <c r="C98" s="5"/>
      <c r="D98" s="5">
        <f>D96/D97</f>
        <v>9.2577893154317508</v>
      </c>
    </row>
    <row r="99" spans="2:7" x14ac:dyDescent="0.35">
      <c r="C99" s="5"/>
      <c r="D99" s="33" t="str">
        <f>IF(D96&gt;D97,"PASS", IF(D96&lt;D97, "FAIL"))</f>
        <v>PASS</v>
      </c>
    </row>
    <row r="100" spans="2:7" x14ac:dyDescent="0.35">
      <c r="C100" s="5"/>
      <c r="D100" s="33"/>
    </row>
    <row r="101" spans="2:7" ht="14.5" customHeight="1" x14ac:dyDescent="0.35">
      <c r="B101" s="92" t="s">
        <v>136</v>
      </c>
      <c r="C101" s="92"/>
      <c r="D101" s="92"/>
      <c r="E101" s="92"/>
    </row>
    <row r="102" spans="2:7" x14ac:dyDescent="0.35">
      <c r="B102" s="60" t="s">
        <v>86</v>
      </c>
      <c r="C102" s="63" t="s">
        <v>8</v>
      </c>
      <c r="D102" s="63" t="s">
        <v>58</v>
      </c>
      <c r="E102" s="61">
        <f>SUM(C83:C87)</f>
        <v>16.2225</v>
      </c>
    </row>
    <row r="103" spans="2:7" x14ac:dyDescent="0.35">
      <c r="B103" s="65" t="s">
        <v>67</v>
      </c>
      <c r="C103" s="58" t="s">
        <v>73</v>
      </c>
      <c r="D103" s="63" t="s">
        <v>97</v>
      </c>
      <c r="E103" s="61">
        <f>D96</f>
        <v>67.646250000000009</v>
      </c>
    </row>
    <row r="104" spans="2:7" x14ac:dyDescent="0.35">
      <c r="B104" s="65" t="s">
        <v>66</v>
      </c>
      <c r="C104" s="64" t="s">
        <v>77</v>
      </c>
      <c r="D104" s="64" t="s">
        <v>97</v>
      </c>
      <c r="E104" s="61">
        <f>D97</f>
        <v>7.3069550078484617</v>
      </c>
      <c r="G104" s="5"/>
    </row>
    <row r="105" spans="2:7" x14ac:dyDescent="0.35">
      <c r="B105" s="62" t="s">
        <v>117</v>
      </c>
      <c r="C105" s="64" t="s">
        <v>114</v>
      </c>
      <c r="D105" s="64" t="s">
        <v>97</v>
      </c>
      <c r="E105" s="61">
        <f>E103-E104</f>
        <v>60.339294992151551</v>
      </c>
    </row>
    <row r="106" spans="2:7" x14ac:dyDescent="0.35">
      <c r="B106" s="62" t="s">
        <v>118</v>
      </c>
      <c r="C106" s="64" t="s">
        <v>105</v>
      </c>
      <c r="D106" s="64" t="s">
        <v>16</v>
      </c>
      <c r="E106" s="61">
        <f>(E17/2)-(E105/E102)</f>
        <v>0.78051810805045152</v>
      </c>
    </row>
    <row r="107" spans="2:7" x14ac:dyDescent="0.35">
      <c r="B107" s="62" t="s">
        <v>115</v>
      </c>
      <c r="C107" s="64"/>
      <c r="D107" s="64" t="s">
        <v>16</v>
      </c>
      <c r="E107" s="61">
        <f>E17/6</f>
        <v>1.5</v>
      </c>
    </row>
    <row r="108" spans="2:7" x14ac:dyDescent="0.35">
      <c r="B108" s="62" t="s">
        <v>119</v>
      </c>
      <c r="C108" s="64" t="s">
        <v>108</v>
      </c>
      <c r="D108" s="64" t="s">
        <v>0</v>
      </c>
      <c r="E108" s="61">
        <f>(E102/E17)*(1+((6*E106)/E17))</f>
        <v>2.7404225931739594</v>
      </c>
    </row>
    <row r="109" spans="2:7" x14ac:dyDescent="0.35">
      <c r="B109" s="60" t="s">
        <v>107</v>
      </c>
      <c r="C109" s="64" t="s">
        <v>121</v>
      </c>
      <c r="D109" s="64" t="s">
        <v>0</v>
      </c>
      <c r="E109" s="66">
        <v>3</v>
      </c>
    </row>
    <row r="110" spans="2:7" x14ac:dyDescent="0.35">
      <c r="B110" s="78" t="s">
        <v>90</v>
      </c>
      <c r="C110" s="57"/>
      <c r="D110" s="57"/>
    </row>
    <row r="111" spans="2:7" x14ac:dyDescent="0.35">
      <c r="B111" s="79" t="s">
        <v>119</v>
      </c>
      <c r="C111" s="80" t="s">
        <v>108</v>
      </c>
      <c r="D111" s="80" t="s">
        <v>0</v>
      </c>
      <c r="E111" s="81">
        <f>(E102/E17)*(1+((6*E106)/E17))</f>
        <v>2.7404225931739594</v>
      </c>
    </row>
    <row r="112" spans="2:7" x14ac:dyDescent="0.35">
      <c r="B112" s="52" t="s">
        <v>107</v>
      </c>
      <c r="C112" s="80" t="s">
        <v>121</v>
      </c>
      <c r="D112" s="80" t="s">
        <v>0</v>
      </c>
      <c r="E112" s="82">
        <v>3</v>
      </c>
    </row>
    <row r="113" spans="2:8" x14ac:dyDescent="0.35">
      <c r="B113" s="59" t="s">
        <v>103</v>
      </c>
      <c r="C113" s="81" t="s">
        <v>104</v>
      </c>
      <c r="D113" s="81"/>
      <c r="E113" s="81">
        <f>E109/E108</f>
        <v>1.0947216708374157</v>
      </c>
    </row>
    <row r="114" spans="2:8" x14ac:dyDescent="0.35">
      <c r="B114" s="59"/>
      <c r="C114" s="57"/>
      <c r="D114" s="57"/>
      <c r="E114" s="57" t="str">
        <f>IF(E108&lt;E109,"PASS", IF(E108&gt;E109, "FAIL"))</f>
        <v>PASS</v>
      </c>
    </row>
    <row r="115" spans="2:8" x14ac:dyDescent="0.35">
      <c r="B115" s="59"/>
      <c r="C115" s="57"/>
      <c r="D115" s="57"/>
      <c r="E115" s="57"/>
    </row>
    <row r="116" spans="2:8" x14ac:dyDescent="0.35">
      <c r="B116" s="90" t="s">
        <v>137</v>
      </c>
      <c r="C116" s="90"/>
      <c r="D116" s="90"/>
      <c r="E116" s="90"/>
    </row>
    <row r="117" spans="2:8" x14ac:dyDescent="0.35">
      <c r="B117" s="35" t="s">
        <v>87</v>
      </c>
      <c r="C117" s="83" t="s">
        <v>88</v>
      </c>
      <c r="D117" s="38"/>
      <c r="E117" s="84">
        <f>TAN(RADIANS(E11))</f>
        <v>0.46630765815499858</v>
      </c>
    </row>
    <row r="118" spans="2:8" x14ac:dyDescent="0.35">
      <c r="B118" s="35" t="s">
        <v>89</v>
      </c>
      <c r="C118" s="38" t="s">
        <v>116</v>
      </c>
      <c r="D118" s="38" t="s">
        <v>23</v>
      </c>
      <c r="E118" s="37">
        <f>E117*E102</f>
        <v>7.5646759844194644</v>
      </c>
    </row>
    <row r="119" spans="2:8" x14ac:dyDescent="0.35">
      <c r="B119" s="35" t="s">
        <v>127</v>
      </c>
      <c r="C119" s="38" t="s">
        <v>70</v>
      </c>
      <c r="D119" s="38" t="s">
        <v>23</v>
      </c>
      <c r="E119" s="38">
        <f>E80+C92</f>
        <v>2.6117061724125405</v>
      </c>
    </row>
    <row r="120" spans="2:8" x14ac:dyDescent="0.35">
      <c r="B120" s="4" t="s">
        <v>90</v>
      </c>
      <c r="C120" s="5"/>
      <c r="D120" s="5"/>
      <c r="H120" s="5"/>
    </row>
    <row r="121" spans="2:8" x14ac:dyDescent="0.35">
      <c r="B121" t="s">
        <v>103</v>
      </c>
      <c r="D121" s="5"/>
      <c r="E121" s="5">
        <f>E118/E119</f>
        <v>2.8964498626702948</v>
      </c>
    </row>
    <row r="122" spans="2:8" x14ac:dyDescent="0.35">
      <c r="D122" s="33"/>
      <c r="E122" s="33" t="str">
        <f>IF(E119&lt;E118,"PASS", IF(E119&gt;E118, "FAIL"))</f>
        <v>PASS</v>
      </c>
    </row>
    <row r="123" spans="2:8" x14ac:dyDescent="0.35">
      <c r="D123" s="33"/>
      <c r="E123" s="33"/>
    </row>
    <row r="124" spans="2:8" x14ac:dyDescent="0.35">
      <c r="B124" s="90" t="s">
        <v>138</v>
      </c>
      <c r="C124" s="90"/>
      <c r="D124" s="90"/>
      <c r="E124" s="90"/>
    </row>
    <row r="125" spans="2:8" ht="15" thickBot="1" x14ac:dyDescent="0.4">
      <c r="B125" s="67" t="s">
        <v>47</v>
      </c>
      <c r="C125" s="67"/>
      <c r="D125" s="67"/>
      <c r="E125" s="67"/>
    </row>
    <row r="126" spans="2:8" ht="16.5" x14ac:dyDescent="0.45">
      <c r="B126" s="46" t="s">
        <v>60</v>
      </c>
      <c r="C126" s="6" t="s">
        <v>61</v>
      </c>
      <c r="D126" s="6" t="s">
        <v>36</v>
      </c>
      <c r="E126" s="29">
        <v>3</v>
      </c>
    </row>
    <row r="127" spans="2:8" x14ac:dyDescent="0.35">
      <c r="B127" s="47" t="s">
        <v>151</v>
      </c>
      <c r="C127" s="40"/>
      <c r="D127" s="40" t="s">
        <v>36</v>
      </c>
      <c r="E127" s="48">
        <v>0.75</v>
      </c>
    </row>
    <row r="128" spans="2:8" x14ac:dyDescent="0.35">
      <c r="B128" s="47" t="s">
        <v>150</v>
      </c>
      <c r="C128" s="40"/>
      <c r="D128" s="40" t="s">
        <v>55</v>
      </c>
      <c r="E128" s="49">
        <f>PI()*(E127/2)^2</f>
        <v>0.44178646691106466</v>
      </c>
    </row>
    <row r="129" spans="2:14" x14ac:dyDescent="0.35">
      <c r="B129" s="47" t="s">
        <v>92</v>
      </c>
      <c r="C129" s="8" t="s">
        <v>101</v>
      </c>
      <c r="D129" s="8" t="s">
        <v>36</v>
      </c>
      <c r="E129" s="50">
        <f>ROUNDUP(SQRT((D58*12)/10.5),0)</f>
        <v>3</v>
      </c>
    </row>
    <row r="130" spans="2:14" x14ac:dyDescent="0.35">
      <c r="B130" s="47" t="s">
        <v>59</v>
      </c>
      <c r="C130" s="8" t="s">
        <v>57</v>
      </c>
      <c r="D130" s="8" t="s">
        <v>55</v>
      </c>
      <c r="E130" s="42">
        <f>((D58*12)/(40.2*E129))</f>
        <v>0.49585990371609634</v>
      </c>
    </row>
    <row r="131" spans="2:14" x14ac:dyDescent="0.35">
      <c r="B131" s="47"/>
      <c r="C131" s="8"/>
      <c r="D131" s="8"/>
      <c r="E131" s="42"/>
    </row>
    <row r="132" spans="2:14" x14ac:dyDescent="0.35">
      <c r="B132" s="47" t="s">
        <v>94</v>
      </c>
      <c r="C132" s="8" t="s">
        <v>69</v>
      </c>
      <c r="D132" s="8" t="s">
        <v>55</v>
      </c>
      <c r="E132" s="42"/>
    </row>
    <row r="133" spans="2:14" ht="15" thickBot="1" x14ac:dyDescent="0.4">
      <c r="B133" s="51" t="s">
        <v>93</v>
      </c>
      <c r="C133" s="10" t="s">
        <v>70</v>
      </c>
      <c r="D133" s="10" t="s">
        <v>36</v>
      </c>
      <c r="E133" s="43">
        <f>ROUNDDOWN(E130/E128*12,0)</f>
        <v>13</v>
      </c>
    </row>
    <row r="134" spans="2:14" ht="15" thickBot="1" x14ac:dyDescent="0.4">
      <c r="B134" s="68" t="s">
        <v>95</v>
      </c>
      <c r="C134" s="68"/>
      <c r="D134" s="68"/>
      <c r="E134" s="68"/>
    </row>
    <row r="135" spans="2:14" s="20" customFormat="1" ht="16.5" x14ac:dyDescent="0.45">
      <c r="B135" s="46" t="s">
        <v>98</v>
      </c>
      <c r="C135" s="6" t="s">
        <v>62</v>
      </c>
      <c r="D135" s="6" t="s">
        <v>36</v>
      </c>
      <c r="E135" s="29">
        <v>3</v>
      </c>
    </row>
    <row r="136" spans="2:14" x14ac:dyDescent="0.35">
      <c r="B136" s="47" t="s">
        <v>142</v>
      </c>
      <c r="C136" s="40"/>
      <c r="D136" s="40" t="s">
        <v>36</v>
      </c>
      <c r="E136" s="48">
        <v>1.27</v>
      </c>
    </row>
    <row r="137" spans="2:14" x14ac:dyDescent="0.35">
      <c r="B137" s="47" t="s">
        <v>150</v>
      </c>
      <c r="C137" s="40"/>
      <c r="D137" s="40" t="s">
        <v>55</v>
      </c>
      <c r="E137" s="49">
        <f>PI()*(E136/2)^2</f>
        <v>1.2667686977437442</v>
      </c>
    </row>
    <row r="138" spans="2:14" x14ac:dyDescent="0.35">
      <c r="B138" s="53" t="s">
        <v>99</v>
      </c>
      <c r="C138" s="8"/>
      <c r="D138" s="8"/>
      <c r="E138" s="42"/>
    </row>
    <row r="139" spans="2:14" x14ac:dyDescent="0.35">
      <c r="B139" s="54" t="s">
        <v>56</v>
      </c>
      <c r="C139" s="13" t="s">
        <v>101</v>
      </c>
      <c r="D139" s="13" t="s">
        <v>36</v>
      </c>
      <c r="E139" s="50">
        <f>ROUNDUP(SQRT((D76*12)/10.5),0)</f>
        <v>5</v>
      </c>
    </row>
    <row r="140" spans="2:14" x14ac:dyDescent="0.35">
      <c r="B140" s="47" t="s">
        <v>59</v>
      </c>
      <c r="C140" s="8" t="s">
        <v>57</v>
      </c>
      <c r="D140" s="8" t="s">
        <v>55</v>
      </c>
      <c r="E140" s="42">
        <f>((D76*12)/(40.2*E139))</f>
        <v>1.1762437810945274</v>
      </c>
    </row>
    <row r="141" spans="2:14" x14ac:dyDescent="0.35">
      <c r="B141" s="53" t="s">
        <v>100</v>
      </c>
      <c r="C141" s="8"/>
      <c r="D141" s="8"/>
      <c r="E141" s="42"/>
    </row>
    <row r="142" spans="2:14" x14ac:dyDescent="0.35">
      <c r="B142" s="47" t="s">
        <v>96</v>
      </c>
      <c r="C142" s="8" t="s">
        <v>8</v>
      </c>
      <c r="D142" s="8" t="s">
        <v>23</v>
      </c>
      <c r="E142" s="42">
        <f>D75</f>
        <v>7.8808333333333334</v>
      </c>
    </row>
    <row r="143" spans="2:14" x14ac:dyDescent="0.35">
      <c r="B143" s="7" t="s">
        <v>139</v>
      </c>
      <c r="C143" s="8" t="s">
        <v>5</v>
      </c>
      <c r="D143" s="8"/>
      <c r="E143" s="50">
        <v>2</v>
      </c>
      <c r="N143" s="5"/>
    </row>
    <row r="144" spans="2:14" x14ac:dyDescent="0.35">
      <c r="B144" s="7" t="s">
        <v>141</v>
      </c>
      <c r="C144" s="8"/>
      <c r="D144" s="8"/>
      <c r="E144" s="50">
        <v>0.9</v>
      </c>
    </row>
    <row r="145" spans="2:5" x14ac:dyDescent="0.35">
      <c r="B145" s="7" t="s">
        <v>140</v>
      </c>
      <c r="C145" s="8" t="s">
        <v>101</v>
      </c>
      <c r="D145" s="8" t="s">
        <v>36</v>
      </c>
      <c r="E145" s="42">
        <f>ROUNDUP((E142)/(E144*0.0316*E143*SQRT(3)*12),0)</f>
        <v>7</v>
      </c>
    </row>
    <row r="146" spans="2:5" x14ac:dyDescent="0.35">
      <c r="B146" s="7" t="s">
        <v>59</v>
      </c>
      <c r="C146" s="8" t="s">
        <v>57</v>
      </c>
      <c r="D146" s="8" t="s">
        <v>55</v>
      </c>
      <c r="E146" s="85">
        <f>(D76*12)/(40.2*E145)</f>
        <v>0.84017412935323377</v>
      </c>
    </row>
    <row r="147" spans="2:5" x14ac:dyDescent="0.35">
      <c r="B147" s="55" t="s">
        <v>102</v>
      </c>
      <c r="C147" s="8"/>
      <c r="D147" s="8"/>
      <c r="E147" s="42"/>
    </row>
    <row r="148" spans="2:5" x14ac:dyDescent="0.35">
      <c r="B148" s="47" t="s">
        <v>93</v>
      </c>
      <c r="C148" s="8" t="s">
        <v>70</v>
      </c>
      <c r="D148" s="8" t="s">
        <v>36</v>
      </c>
      <c r="E148" s="42">
        <f>ROUNDDOWN((E140/E137)*12,0)</f>
        <v>11</v>
      </c>
    </row>
    <row r="149" spans="2:5" ht="29" customHeight="1" thickBot="1" x14ac:dyDescent="0.4">
      <c r="B149" s="87" t="s">
        <v>148</v>
      </c>
      <c r="C149" s="88"/>
      <c r="D149" s="88"/>
      <c r="E149" s="89"/>
    </row>
  </sheetData>
  <mergeCells count="16">
    <mergeCell ref="B149:E149"/>
    <mergeCell ref="B15:E15"/>
    <mergeCell ref="B16:E16"/>
    <mergeCell ref="B2:E2"/>
    <mergeCell ref="B3:E3"/>
    <mergeCell ref="B10:E10"/>
    <mergeCell ref="B101:E101"/>
    <mergeCell ref="B116:E116"/>
    <mergeCell ref="B26:E26"/>
    <mergeCell ref="B33:E33"/>
    <mergeCell ref="B78:E78"/>
    <mergeCell ref="B81:E81"/>
    <mergeCell ref="B89:E89"/>
    <mergeCell ref="B38:D38"/>
    <mergeCell ref="C79:E79"/>
    <mergeCell ref="B124:E124"/>
  </mergeCells>
  <conditionalFormatting sqref="D99:D100 D122:E123 E113:E115">
    <cfRule type="containsText" dxfId="1" priority="5" operator="containsText" text="PASS">
      <formula>NOT(ISERROR(SEARCH("PASS",D99)))</formula>
    </cfRule>
    <cfRule type="containsText" dxfId="0" priority="6" operator="containsText" text="FAIL">
      <formula>NOT(ISERROR(SEARCH("FAIL",D99)))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Leveillee</dc:creator>
  <cp:lastModifiedBy>Ben Leveillee</cp:lastModifiedBy>
  <dcterms:created xsi:type="dcterms:W3CDTF">2019-01-28T19:13:42Z</dcterms:created>
  <dcterms:modified xsi:type="dcterms:W3CDTF">2019-02-28T18:21:13Z</dcterms:modified>
</cp:coreProperties>
</file>