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Desktop\IQP\"/>
    </mc:Choice>
  </mc:AlternateContent>
  <xr:revisionPtr revIDLastSave="0" documentId="13_ncr:1_{E262F5DE-9056-4B34-8FBB-0F1463103608}" xr6:coauthVersionLast="31" xr6:coauthVersionMax="31" xr10:uidLastSave="{00000000-0000-0000-0000-000000000000}"/>
  <bookViews>
    <workbookView xWindow="0" yWindow="0" windowWidth="20400" windowHeight="7632" activeTab="3" xr2:uid="{561BA776-94EE-44AF-944B-341F06816450}"/>
  </bookViews>
  <sheets>
    <sheet name="Sheet3" sheetId="3" r:id="rId1"/>
    <sheet name="Sheet2" sheetId="2" r:id="rId2"/>
    <sheet name="Proposal Info" sheetId="4" r:id="rId3"/>
    <sheet name="Sheet1" sheetId="1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19" i="1" l="1"/>
  <c r="AV118" i="1"/>
  <c r="AV117" i="1"/>
  <c r="AV116" i="1"/>
  <c r="AU119" i="1"/>
  <c r="AU118" i="1"/>
  <c r="AU117" i="1"/>
  <c r="AU116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73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M75" i="1"/>
  <c r="AM76" i="1"/>
  <c r="AM77" i="1"/>
  <c r="AM78" i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M100" i="1" s="1"/>
  <c r="AM101" i="1" s="1"/>
  <c r="AM102" i="1" s="1"/>
  <c r="AM103" i="1" s="1"/>
  <c r="AM104" i="1" s="1"/>
  <c r="AM105" i="1" s="1"/>
  <c r="AM106" i="1" s="1"/>
  <c r="AM107" i="1" s="1"/>
  <c r="AM108" i="1" s="1"/>
  <c r="AM109" i="1" s="1"/>
  <c r="AM110" i="1" s="1"/>
  <c r="AM111" i="1" s="1"/>
  <c r="AM112" i="1" s="1"/>
  <c r="AM113" i="1" s="1"/>
  <c r="AM114" i="1" s="1"/>
  <c r="AM115" i="1" s="1"/>
  <c r="AM116" i="1" s="1"/>
  <c r="AM117" i="1" s="1"/>
  <c r="AM118" i="1" s="1"/>
  <c r="AM119" i="1" s="1"/>
  <c r="AM120" i="1" s="1"/>
  <c r="AM121" i="1" s="1"/>
  <c r="AM122" i="1" s="1"/>
  <c r="AM123" i="1" s="1"/>
  <c r="AM124" i="1" s="1"/>
  <c r="AM125" i="1" s="1"/>
  <c r="AM126" i="1" s="1"/>
  <c r="AM127" i="1" s="1"/>
  <c r="AM128" i="1" s="1"/>
  <c r="AM129" i="1" s="1"/>
  <c r="AM130" i="1" s="1"/>
  <c r="AM131" i="1" s="1"/>
  <c r="AM132" i="1" s="1"/>
  <c r="AM133" i="1" s="1"/>
  <c r="AM74" i="1"/>
  <c r="AM73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J75" i="1"/>
  <c r="AJ76" i="1" s="1"/>
  <c r="AJ77" i="1" s="1"/>
  <c r="AJ78" i="1" s="1"/>
  <c r="AJ79" i="1" s="1"/>
  <c r="AJ80" i="1" s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J95" i="1" s="1"/>
  <c r="AJ96" i="1" s="1"/>
  <c r="AJ97" i="1" s="1"/>
  <c r="AJ98" i="1" s="1"/>
  <c r="AJ99" i="1" s="1"/>
  <c r="AJ100" i="1" s="1"/>
  <c r="AJ101" i="1" s="1"/>
  <c r="AJ102" i="1" s="1"/>
  <c r="AJ103" i="1" s="1"/>
  <c r="AJ104" i="1" s="1"/>
  <c r="AJ105" i="1" s="1"/>
  <c r="AJ106" i="1" s="1"/>
  <c r="AJ107" i="1" s="1"/>
  <c r="AJ108" i="1" s="1"/>
  <c r="AJ109" i="1" s="1"/>
  <c r="AJ110" i="1" s="1"/>
  <c r="AJ111" i="1" s="1"/>
  <c r="AJ112" i="1" s="1"/>
  <c r="AJ113" i="1" s="1"/>
  <c r="AJ114" i="1" s="1"/>
  <c r="AJ115" i="1" s="1"/>
  <c r="AJ116" i="1" s="1"/>
  <c r="AJ117" i="1" s="1"/>
  <c r="AJ118" i="1" s="1"/>
  <c r="AJ119" i="1" s="1"/>
  <c r="AJ120" i="1" s="1"/>
  <c r="AJ121" i="1" s="1"/>
  <c r="AJ122" i="1" s="1"/>
  <c r="AJ123" i="1" s="1"/>
  <c r="AJ124" i="1" s="1"/>
  <c r="AJ125" i="1" s="1"/>
  <c r="AJ126" i="1" s="1"/>
  <c r="AJ127" i="1" s="1"/>
  <c r="AJ128" i="1" s="1"/>
  <c r="AJ129" i="1" s="1"/>
  <c r="AJ130" i="1" s="1"/>
  <c r="AJ131" i="1" s="1"/>
  <c r="AJ132" i="1" s="1"/>
  <c r="AJ133" i="1" s="1"/>
  <c r="AJ74" i="1"/>
  <c r="AJ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73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G75" i="1"/>
  <c r="AG76" i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74" i="1"/>
  <c r="AG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73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D75" i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74" i="1"/>
  <c r="AD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73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W75" i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74" i="1"/>
  <c r="W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73" i="1"/>
  <c r="T76" i="1"/>
  <c r="T77" i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75" i="1"/>
  <c r="T74" i="1"/>
  <c r="T73" i="1"/>
  <c r="S76" i="1"/>
  <c r="S77" i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75" i="1"/>
  <c r="S74" i="1"/>
  <c r="Q73" i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N73" i="1"/>
  <c r="P74" i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N74" i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G102" i="1"/>
  <c r="G103" i="1"/>
  <c r="G104" i="1"/>
  <c r="G101" i="1"/>
  <c r="E102" i="1"/>
  <c r="E103" i="1"/>
  <c r="E104" i="1"/>
  <c r="E101" i="1"/>
  <c r="M75" i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74" i="1"/>
  <c r="M73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J76" i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74" i="1"/>
  <c r="J75" i="1" s="1"/>
  <c r="I123" i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22" i="1"/>
  <c r="D100" i="1"/>
  <c r="D101" i="1"/>
  <c r="D102" i="1"/>
  <c r="D103" i="1"/>
  <c r="D104" i="1"/>
  <c r="B101" i="1"/>
  <c r="B103" i="1"/>
  <c r="B102" i="1"/>
  <c r="B100" i="1"/>
  <c r="H97" i="1"/>
  <c r="E97" i="1"/>
  <c r="B92" i="1"/>
  <c r="B97" i="1" s="1"/>
  <c r="E89" i="1"/>
  <c r="H87" i="1"/>
  <c r="E87" i="1"/>
  <c r="H85" i="1"/>
  <c r="H89" i="1" s="1"/>
  <c r="AL18" i="4"/>
  <c r="AI18" i="4"/>
  <c r="AF18" i="4"/>
  <c r="L43" i="4"/>
  <c r="AI10" i="4"/>
  <c r="AI8" i="4"/>
  <c r="AF13" i="4"/>
  <c r="AL8" i="4"/>
  <c r="AL6" i="4"/>
  <c r="AL10" i="4" s="1"/>
  <c r="O26" i="4"/>
  <c r="O28" i="4"/>
  <c r="O29" i="4"/>
  <c r="O32" i="4" s="1"/>
  <c r="L30" i="4"/>
  <c r="O34" i="4"/>
  <c r="O35" i="4"/>
  <c r="I36" i="4"/>
  <c r="L36" i="4"/>
  <c r="O37" i="4"/>
  <c r="F51" i="4"/>
  <c r="C61" i="4"/>
  <c r="C51" i="4"/>
  <c r="I50" i="4"/>
  <c r="I52" i="4" s="1"/>
  <c r="I47" i="4"/>
  <c r="Q123" i="1" l="1"/>
  <c r="R122" i="1"/>
  <c r="N123" i="1"/>
  <c r="O122" i="1"/>
  <c r="B155" i="1"/>
  <c r="Q124" i="1" l="1"/>
  <c r="R123" i="1"/>
  <c r="N124" i="1"/>
  <c r="O123" i="1"/>
  <c r="W144" i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143" i="1"/>
  <c r="T144" i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143" i="1"/>
  <c r="Q144" i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143" i="1"/>
  <c r="N144" i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143" i="1"/>
  <c r="H161" i="1"/>
  <c r="H162" i="1"/>
  <c r="H163" i="1"/>
  <c r="H160" i="1"/>
  <c r="F37" i="4"/>
  <c r="C28" i="4"/>
  <c r="C31" i="4" s="1"/>
  <c r="C37" i="4" s="1"/>
  <c r="C19" i="4"/>
  <c r="C21" i="4" s="1"/>
  <c r="C11" i="4"/>
  <c r="Q125" i="1" l="1"/>
  <c r="R124" i="1"/>
  <c r="N125" i="1"/>
  <c r="O124" i="1"/>
  <c r="N10" i="4"/>
  <c r="N9" i="4"/>
  <c r="N8" i="4"/>
  <c r="N7" i="4"/>
  <c r="F18" i="4"/>
  <c r="F17" i="4"/>
  <c r="F16" i="4"/>
  <c r="I14" i="4"/>
  <c r="I15" i="4" s="1"/>
  <c r="F12" i="4"/>
  <c r="F11" i="4"/>
  <c r="I10" i="4"/>
  <c r="F10" i="4"/>
  <c r="I7" i="4"/>
  <c r="F27" i="4" s="1"/>
  <c r="F28" i="4" s="1"/>
  <c r="F7" i="4"/>
  <c r="P76" i="2"/>
  <c r="P74" i="2"/>
  <c r="P73" i="2"/>
  <c r="P72" i="2"/>
  <c r="P71" i="2"/>
  <c r="Y191" i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V143" i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I192" i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191" i="1"/>
  <c r="H158" i="1"/>
  <c r="B157" i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B156" i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B158" i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E154" i="1"/>
  <c r="E153" i="1"/>
  <c r="B153" i="1"/>
  <c r="E152" i="1"/>
  <c r="H154" i="1"/>
  <c r="E148" i="1"/>
  <c r="E147" i="1"/>
  <c r="H146" i="1"/>
  <c r="H148" i="1" s="1"/>
  <c r="N142" i="1" s="1"/>
  <c r="Q142" i="1" s="1"/>
  <c r="T142" i="1" s="1"/>
  <c r="W142" i="1" s="1"/>
  <c r="E146" i="1"/>
  <c r="E150" i="1" s="1"/>
  <c r="H143" i="1"/>
  <c r="E143" i="1"/>
  <c r="G66" i="2"/>
  <c r="G67" i="2" s="1"/>
  <c r="G65" i="2"/>
  <c r="G64" i="2"/>
  <c r="J62" i="2"/>
  <c r="J63" i="2" s="1"/>
  <c r="J58" i="2"/>
  <c r="G60" i="2"/>
  <c r="G59" i="2"/>
  <c r="G58" i="2"/>
  <c r="J60" i="2"/>
  <c r="J55" i="2"/>
  <c r="G55" i="2"/>
  <c r="G62" i="2" s="1"/>
  <c r="D65" i="2"/>
  <c r="P62" i="2"/>
  <c r="P61" i="2"/>
  <c r="P60" i="2"/>
  <c r="P59" i="2"/>
  <c r="P58" i="2"/>
  <c r="P63" i="2" s="1"/>
  <c r="P65" i="2" s="1"/>
  <c r="P55" i="2"/>
  <c r="P54" i="2"/>
  <c r="P53" i="2"/>
  <c r="P52" i="2"/>
  <c r="P51" i="2"/>
  <c r="G20" i="2"/>
  <c r="P40" i="2"/>
  <c r="P41" i="2"/>
  <c r="P39" i="2"/>
  <c r="P38" i="2"/>
  <c r="P37" i="2"/>
  <c r="P36" i="2"/>
  <c r="P35" i="2"/>
  <c r="P34" i="2"/>
  <c r="P33" i="2"/>
  <c r="P32" i="2"/>
  <c r="P17" i="2"/>
  <c r="P16" i="2"/>
  <c r="P15" i="2"/>
  <c r="P14" i="2"/>
  <c r="P13" i="2"/>
  <c r="D42" i="2"/>
  <c r="P8" i="3"/>
  <c r="P7" i="3"/>
  <c r="L22" i="3"/>
  <c r="L23" i="3"/>
  <c r="L24" i="3"/>
  <c r="L21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4" i="3"/>
  <c r="L19" i="3" s="1"/>
  <c r="I21" i="3"/>
  <c r="I22" i="3"/>
  <c r="I23" i="3"/>
  <c r="P9" i="3" s="1"/>
  <c r="Q9" i="3" s="1"/>
  <c r="I24" i="3"/>
  <c r="F21" i="3"/>
  <c r="F22" i="3"/>
  <c r="F23" i="3"/>
  <c r="F24" i="3"/>
  <c r="I5" i="3"/>
  <c r="I6" i="3"/>
  <c r="I7" i="3"/>
  <c r="I8" i="3"/>
  <c r="I9" i="3"/>
  <c r="I10" i="3"/>
  <c r="I11" i="3"/>
  <c r="I12" i="3"/>
  <c r="I13" i="3"/>
  <c r="P6" i="3" s="1"/>
  <c r="I14" i="3"/>
  <c r="I15" i="3"/>
  <c r="I16" i="3"/>
  <c r="I17" i="3"/>
  <c r="I18" i="3"/>
  <c r="I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4" i="3"/>
  <c r="J41" i="2"/>
  <c r="G43" i="2"/>
  <c r="J40" i="2"/>
  <c r="G42" i="2"/>
  <c r="G37" i="2"/>
  <c r="G40" i="2" s="1"/>
  <c r="J35" i="2"/>
  <c r="G36" i="2"/>
  <c r="J34" i="2"/>
  <c r="J32" i="2"/>
  <c r="J38" i="2" s="1"/>
  <c r="BF17" i="1"/>
  <c r="BK10" i="1" s="1"/>
  <c r="BL10" i="1" s="1"/>
  <c r="B54" i="1"/>
  <c r="B55" i="1"/>
  <c r="L74" i="1"/>
  <c r="E65" i="1"/>
  <c r="B66" i="1"/>
  <c r="B65" i="1"/>
  <c r="E64" i="1"/>
  <c r="B64" i="1"/>
  <c r="E63" i="1"/>
  <c r="B63" i="1"/>
  <c r="E62" i="1"/>
  <c r="AE73" i="1"/>
  <c r="J16" i="2"/>
  <c r="G18" i="2"/>
  <c r="G17" i="2"/>
  <c r="J15" i="2"/>
  <c r="D18" i="2"/>
  <c r="G23" i="2"/>
  <c r="J23" i="2"/>
  <c r="G22" i="2"/>
  <c r="J22" i="2"/>
  <c r="AS8" i="1"/>
  <c r="Q126" i="1" l="1"/>
  <c r="R125" i="1"/>
  <c r="N126" i="1"/>
  <c r="O125" i="1"/>
  <c r="N12" i="4"/>
  <c r="U3" i="4" s="1"/>
  <c r="W3" i="4" s="1"/>
  <c r="X3" i="4" s="1"/>
  <c r="I12" i="4"/>
  <c r="F19" i="4"/>
  <c r="F14" i="4"/>
  <c r="P192" i="1"/>
  <c r="X73" i="1"/>
  <c r="B73" i="1"/>
  <c r="H153" i="1"/>
  <c r="H152" i="1"/>
  <c r="BK9" i="1"/>
  <c r="BL9" i="1" s="1"/>
  <c r="J142" i="1"/>
  <c r="E155" i="1"/>
  <c r="P42" i="2"/>
  <c r="X142" i="1"/>
  <c r="O142" i="1"/>
  <c r="U142" i="1"/>
  <c r="R142" i="1"/>
  <c r="BK8" i="1"/>
  <c r="BL8" i="1" s="1"/>
  <c r="BK7" i="1"/>
  <c r="BL7" i="1" s="1"/>
  <c r="P10" i="3"/>
  <c r="G45" i="2"/>
  <c r="P18" i="2"/>
  <c r="J43" i="2"/>
  <c r="I19" i="3"/>
  <c r="I25" i="3"/>
  <c r="L25" i="3"/>
  <c r="L26" i="3" s="1"/>
  <c r="I26" i="3"/>
  <c r="J24" i="2"/>
  <c r="O73" i="1"/>
  <c r="R73" i="1"/>
  <c r="L73" i="1"/>
  <c r="G24" i="2"/>
  <c r="J13" i="2"/>
  <c r="J18" i="2" s="1"/>
  <c r="BF16" i="1"/>
  <c r="AV7" i="1"/>
  <c r="J6" i="1"/>
  <c r="L6" i="1" s="1"/>
  <c r="AV9" i="1"/>
  <c r="AV8" i="1"/>
  <c r="AS10" i="1"/>
  <c r="AS9" i="1"/>
  <c r="BA6" i="1"/>
  <c r="AY7" i="1"/>
  <c r="BF6" i="1" s="1"/>
  <c r="BG6" i="1" s="1"/>
  <c r="Q127" i="1" l="1"/>
  <c r="R126" i="1"/>
  <c r="N127" i="1"/>
  <c r="O126" i="1"/>
  <c r="U5" i="4"/>
  <c r="U4" i="4"/>
  <c r="W4" i="4" s="1"/>
  <c r="X4" i="4" s="1"/>
  <c r="V3" i="4"/>
  <c r="U2" i="4"/>
  <c r="AD6" i="1"/>
  <c r="BA10" i="1"/>
  <c r="N6" i="1"/>
  <c r="BA11" i="1"/>
  <c r="BA7" i="1"/>
  <c r="J7" i="1"/>
  <c r="J8" i="1" s="1"/>
  <c r="BF9" i="1"/>
  <c r="BG9" i="1" s="1"/>
  <c r="BF10" i="1"/>
  <c r="BG10" i="1" s="1"/>
  <c r="BF7" i="1"/>
  <c r="BG7" i="1" s="1"/>
  <c r="BF8" i="1"/>
  <c r="BG8" i="1" s="1"/>
  <c r="BK6" i="1"/>
  <c r="BL6" i="1" s="1"/>
  <c r="O144" i="1"/>
  <c r="X74" i="1"/>
  <c r="R74" i="1"/>
  <c r="BA9" i="1"/>
  <c r="O143" i="1"/>
  <c r="B74" i="1"/>
  <c r="B75" i="1"/>
  <c r="AZ7" i="1"/>
  <c r="BA8" i="1"/>
  <c r="J143" i="1"/>
  <c r="L142" i="1"/>
  <c r="P193" i="1"/>
  <c r="O74" i="1"/>
  <c r="AZ8" i="1"/>
  <c r="AZ9" i="1" s="1"/>
  <c r="L7" i="1"/>
  <c r="L8" i="1"/>
  <c r="J9" i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L75" i="1"/>
  <c r="AE74" i="1"/>
  <c r="N7" i="1"/>
  <c r="Q128" i="1" l="1"/>
  <c r="R127" i="1"/>
  <c r="N128" i="1"/>
  <c r="O127" i="1"/>
  <c r="V4" i="4"/>
  <c r="V2" i="4"/>
  <c r="W2" i="4"/>
  <c r="X2" i="4" s="1"/>
  <c r="W5" i="4"/>
  <c r="X5" i="4" s="1"/>
  <c r="V5" i="4"/>
  <c r="R75" i="1"/>
  <c r="X75" i="1"/>
  <c r="R143" i="1"/>
  <c r="W7" i="1"/>
  <c r="X7" i="1" s="1"/>
  <c r="T7" i="1"/>
  <c r="U7" i="1" s="1"/>
  <c r="Q7" i="1"/>
  <c r="R7" i="1" s="1"/>
  <c r="L143" i="1"/>
  <c r="J144" i="1"/>
  <c r="O145" i="1"/>
  <c r="AJ6" i="1"/>
  <c r="AK6" i="1" s="1"/>
  <c r="AM6" i="1"/>
  <c r="AN6" i="1" s="1"/>
  <c r="AG6" i="1"/>
  <c r="AH6" i="1" s="1"/>
  <c r="AE6" i="1"/>
  <c r="AD7" i="1"/>
  <c r="P194" i="1"/>
  <c r="AN73" i="1"/>
  <c r="AK73" i="1"/>
  <c r="AH73" i="1"/>
  <c r="Q6" i="1"/>
  <c r="R6" i="1" s="1"/>
  <c r="T6" i="1"/>
  <c r="U6" i="1" s="1"/>
  <c r="W6" i="1"/>
  <c r="X6" i="1" s="1"/>
  <c r="O75" i="1"/>
  <c r="O6" i="1"/>
  <c r="L9" i="1"/>
  <c r="J10" i="1"/>
  <c r="L76" i="1"/>
  <c r="AE75" i="1"/>
  <c r="O7" i="1"/>
  <c r="N8" i="1"/>
  <c r="Q129" i="1" l="1"/>
  <c r="R128" i="1"/>
  <c r="N129" i="1"/>
  <c r="O128" i="1"/>
  <c r="P195" i="1"/>
  <c r="L144" i="1"/>
  <c r="J145" i="1"/>
  <c r="AE7" i="1"/>
  <c r="AG7" i="1"/>
  <c r="AH7" i="1" s="1"/>
  <c r="AM7" i="1"/>
  <c r="AN7" i="1" s="1"/>
  <c r="AJ7" i="1"/>
  <c r="AK7" i="1" s="1"/>
  <c r="AD8" i="1"/>
  <c r="Q8" i="1"/>
  <c r="R8" i="1" s="1"/>
  <c r="W8" i="1"/>
  <c r="X8" i="1" s="1"/>
  <c r="T8" i="1"/>
  <c r="U8" i="1" s="1"/>
  <c r="AN74" i="1"/>
  <c r="AK74" i="1"/>
  <c r="AH74" i="1"/>
  <c r="R144" i="1"/>
  <c r="X143" i="1"/>
  <c r="U143" i="1"/>
  <c r="O146" i="1"/>
  <c r="R76" i="1"/>
  <c r="X76" i="1"/>
  <c r="O76" i="1"/>
  <c r="J11" i="1"/>
  <c r="L10" i="1"/>
  <c r="L77" i="1"/>
  <c r="AE76" i="1"/>
  <c r="N9" i="1"/>
  <c r="O8" i="1"/>
  <c r="Q130" i="1" l="1"/>
  <c r="R129" i="1"/>
  <c r="N130" i="1"/>
  <c r="O129" i="1"/>
  <c r="Q9" i="1"/>
  <c r="R9" i="1" s="1"/>
  <c r="W9" i="1"/>
  <c r="X9" i="1" s="1"/>
  <c r="T9" i="1"/>
  <c r="U9" i="1" s="1"/>
  <c r="J146" i="1"/>
  <c r="L145" i="1"/>
  <c r="R145" i="1"/>
  <c r="X77" i="1"/>
  <c r="R77" i="1"/>
  <c r="X144" i="1"/>
  <c r="U144" i="1"/>
  <c r="AK75" i="1"/>
  <c r="AN75" i="1"/>
  <c r="AH75" i="1"/>
  <c r="AD9" i="1"/>
  <c r="AM8" i="1"/>
  <c r="AN8" i="1" s="1"/>
  <c r="AJ8" i="1"/>
  <c r="AK8" i="1" s="1"/>
  <c r="AG8" i="1"/>
  <c r="AH8" i="1" s="1"/>
  <c r="AE8" i="1"/>
  <c r="P196" i="1"/>
  <c r="O147" i="1"/>
  <c r="O77" i="1"/>
  <c r="J12" i="1"/>
  <c r="L11" i="1"/>
  <c r="L78" i="1"/>
  <c r="AE77" i="1"/>
  <c r="N10" i="1"/>
  <c r="O9" i="1"/>
  <c r="Q131" i="1" l="1"/>
  <c r="R130" i="1"/>
  <c r="N131" i="1"/>
  <c r="O130" i="1"/>
  <c r="W10" i="1"/>
  <c r="X10" i="1" s="1"/>
  <c r="Q10" i="1"/>
  <c r="R10" i="1" s="1"/>
  <c r="T10" i="1"/>
  <c r="U10" i="1" s="1"/>
  <c r="R146" i="1"/>
  <c r="X78" i="1"/>
  <c r="R78" i="1"/>
  <c r="J147" i="1"/>
  <c r="L146" i="1"/>
  <c r="X145" i="1"/>
  <c r="U145" i="1"/>
  <c r="AD10" i="1"/>
  <c r="AJ9" i="1"/>
  <c r="AK9" i="1" s="1"/>
  <c r="AM9" i="1"/>
  <c r="AN9" i="1" s="1"/>
  <c r="AG9" i="1"/>
  <c r="AH9" i="1" s="1"/>
  <c r="AE9" i="1"/>
  <c r="AK76" i="1"/>
  <c r="AN76" i="1"/>
  <c r="AH76" i="1"/>
  <c r="O148" i="1"/>
  <c r="P197" i="1"/>
  <c r="O78" i="1"/>
  <c r="J13" i="1"/>
  <c r="L12" i="1"/>
  <c r="L79" i="1"/>
  <c r="AE78" i="1"/>
  <c r="O10" i="1"/>
  <c r="N11" i="1"/>
  <c r="Q132" i="1" l="1"/>
  <c r="R131" i="1"/>
  <c r="N132" i="1"/>
  <c r="O131" i="1"/>
  <c r="P198" i="1"/>
  <c r="R147" i="1"/>
  <c r="AN77" i="1"/>
  <c r="AK77" i="1"/>
  <c r="AH77" i="1"/>
  <c r="R79" i="1"/>
  <c r="X79" i="1"/>
  <c r="X146" i="1"/>
  <c r="U146" i="1"/>
  <c r="W11" i="1"/>
  <c r="X11" i="1" s="1"/>
  <c r="T11" i="1"/>
  <c r="U11" i="1" s="1"/>
  <c r="Q11" i="1"/>
  <c r="R11" i="1" s="1"/>
  <c r="AD11" i="1"/>
  <c r="AG10" i="1"/>
  <c r="AH10" i="1" s="1"/>
  <c r="AJ10" i="1"/>
  <c r="AK10" i="1" s="1"/>
  <c r="AM10" i="1"/>
  <c r="AN10" i="1" s="1"/>
  <c r="AE10" i="1"/>
  <c r="J148" i="1"/>
  <c r="L147" i="1"/>
  <c r="O79" i="1"/>
  <c r="J14" i="1"/>
  <c r="L13" i="1"/>
  <c r="L80" i="1"/>
  <c r="AE79" i="1"/>
  <c r="N12" i="1"/>
  <c r="O11" i="1"/>
  <c r="Q133" i="1" l="1"/>
  <c r="R133" i="1" s="1"/>
  <c r="R132" i="1"/>
  <c r="N133" i="1"/>
  <c r="O133" i="1" s="1"/>
  <c r="O132" i="1"/>
  <c r="R148" i="1"/>
  <c r="O149" i="1"/>
  <c r="AD12" i="1"/>
  <c r="AG11" i="1"/>
  <c r="AH11" i="1" s="1"/>
  <c r="AM11" i="1"/>
  <c r="AN11" i="1" s="1"/>
  <c r="AJ11" i="1"/>
  <c r="AK11" i="1" s="1"/>
  <c r="AE11" i="1"/>
  <c r="Q12" i="1"/>
  <c r="R12" i="1" s="1"/>
  <c r="T12" i="1"/>
  <c r="U12" i="1" s="1"/>
  <c r="W12" i="1"/>
  <c r="X12" i="1" s="1"/>
  <c r="R80" i="1"/>
  <c r="X80" i="1"/>
  <c r="AN78" i="1"/>
  <c r="AK78" i="1"/>
  <c r="AH78" i="1"/>
  <c r="X147" i="1"/>
  <c r="U147" i="1"/>
  <c r="J149" i="1"/>
  <c r="L148" i="1"/>
  <c r="P199" i="1"/>
  <c r="O80" i="1"/>
  <c r="J15" i="1"/>
  <c r="L14" i="1"/>
  <c r="L81" i="1"/>
  <c r="AE80" i="1"/>
  <c r="N13" i="1"/>
  <c r="O12" i="1"/>
  <c r="X81" i="1" l="1"/>
  <c r="R81" i="1"/>
  <c r="R149" i="1"/>
  <c r="P200" i="1"/>
  <c r="AK79" i="1"/>
  <c r="AN79" i="1"/>
  <c r="AH79" i="1"/>
  <c r="AD13" i="1"/>
  <c r="AM12" i="1"/>
  <c r="AN12" i="1" s="1"/>
  <c r="AJ12" i="1"/>
  <c r="AK12" i="1" s="1"/>
  <c r="AG12" i="1"/>
  <c r="AH12" i="1" s="1"/>
  <c r="AE12" i="1"/>
  <c r="W13" i="1"/>
  <c r="X13" i="1" s="1"/>
  <c r="Q13" i="1"/>
  <c r="R13" i="1" s="1"/>
  <c r="T13" i="1"/>
  <c r="U13" i="1" s="1"/>
  <c r="O150" i="1"/>
  <c r="J150" i="1"/>
  <c r="L149" i="1"/>
  <c r="X148" i="1"/>
  <c r="U148" i="1"/>
  <c r="O81" i="1"/>
  <c r="J16" i="1"/>
  <c r="L15" i="1"/>
  <c r="L82" i="1"/>
  <c r="AE81" i="1"/>
  <c r="O13" i="1"/>
  <c r="N14" i="1"/>
  <c r="O152" i="1" l="1"/>
  <c r="AD14" i="1"/>
  <c r="AJ13" i="1"/>
  <c r="AK13" i="1" s="1"/>
  <c r="AM13" i="1"/>
  <c r="AN13" i="1" s="1"/>
  <c r="AG13" i="1"/>
  <c r="AH13" i="1" s="1"/>
  <c r="AE13" i="1"/>
  <c r="X149" i="1"/>
  <c r="U149" i="1"/>
  <c r="W14" i="1"/>
  <c r="X14" i="1" s="1"/>
  <c r="Q14" i="1"/>
  <c r="R14" i="1" s="1"/>
  <c r="T14" i="1"/>
  <c r="U14" i="1" s="1"/>
  <c r="O151" i="1"/>
  <c r="J151" i="1"/>
  <c r="L150" i="1"/>
  <c r="P201" i="1"/>
  <c r="AK80" i="1"/>
  <c r="AN80" i="1"/>
  <c r="AH80" i="1"/>
  <c r="R150" i="1"/>
  <c r="X82" i="1"/>
  <c r="R82" i="1"/>
  <c r="O82" i="1"/>
  <c r="J17" i="1"/>
  <c r="L16" i="1"/>
  <c r="L83" i="1"/>
  <c r="AE82" i="1"/>
  <c r="O14" i="1"/>
  <c r="N15" i="1"/>
  <c r="X150" i="1" l="1"/>
  <c r="U150" i="1"/>
  <c r="J152" i="1"/>
  <c r="L151" i="1"/>
  <c r="R83" i="1"/>
  <c r="X83" i="1"/>
  <c r="T15" i="1"/>
  <c r="U15" i="1" s="1"/>
  <c r="W15" i="1"/>
  <c r="X15" i="1" s="1"/>
  <c r="Q15" i="1"/>
  <c r="R15" i="1" s="1"/>
  <c r="AN81" i="1"/>
  <c r="AK81" i="1"/>
  <c r="AH81" i="1"/>
  <c r="P202" i="1"/>
  <c r="R151" i="1"/>
  <c r="AD15" i="1"/>
  <c r="AG14" i="1"/>
  <c r="AH14" i="1" s="1"/>
  <c r="AJ14" i="1"/>
  <c r="AK14" i="1" s="1"/>
  <c r="AM14" i="1"/>
  <c r="AN14" i="1" s="1"/>
  <c r="AE14" i="1"/>
  <c r="O153" i="1"/>
  <c r="O83" i="1"/>
  <c r="J18" i="1"/>
  <c r="L17" i="1"/>
  <c r="L84" i="1"/>
  <c r="AE83" i="1"/>
  <c r="N16" i="1"/>
  <c r="O15" i="1"/>
  <c r="Q16" i="1" l="1"/>
  <c r="R16" i="1" s="1"/>
  <c r="T16" i="1"/>
  <c r="U16" i="1" s="1"/>
  <c r="W16" i="1"/>
  <c r="X16" i="1" s="1"/>
  <c r="J153" i="1"/>
  <c r="L152" i="1"/>
  <c r="R152" i="1"/>
  <c r="X151" i="1"/>
  <c r="U151" i="1"/>
  <c r="AD16" i="1"/>
  <c r="AG15" i="1"/>
  <c r="AH15" i="1" s="1"/>
  <c r="AM15" i="1"/>
  <c r="AN15" i="1" s="1"/>
  <c r="AJ15" i="1"/>
  <c r="AK15" i="1" s="1"/>
  <c r="AE15" i="1"/>
  <c r="AN82" i="1"/>
  <c r="AK82" i="1"/>
  <c r="AH82" i="1"/>
  <c r="R84" i="1"/>
  <c r="X84" i="1"/>
  <c r="O154" i="1"/>
  <c r="O84" i="1"/>
  <c r="J19" i="1"/>
  <c r="L18" i="1"/>
  <c r="L85" i="1"/>
  <c r="AE84" i="1"/>
  <c r="N17" i="1"/>
  <c r="O16" i="1"/>
  <c r="Q17" i="1" l="1"/>
  <c r="R17" i="1" s="1"/>
  <c r="T17" i="1"/>
  <c r="U17" i="1" s="1"/>
  <c r="W17" i="1"/>
  <c r="X17" i="1" s="1"/>
  <c r="AK83" i="1"/>
  <c r="AN83" i="1"/>
  <c r="AH83" i="1"/>
  <c r="J154" i="1"/>
  <c r="L153" i="1"/>
  <c r="R153" i="1"/>
  <c r="X85" i="1"/>
  <c r="R85" i="1"/>
  <c r="AD17" i="1"/>
  <c r="AM16" i="1"/>
  <c r="AN16" i="1" s="1"/>
  <c r="AJ16" i="1"/>
  <c r="AK16" i="1" s="1"/>
  <c r="AG16" i="1"/>
  <c r="AH16" i="1" s="1"/>
  <c r="AE16" i="1"/>
  <c r="X152" i="1"/>
  <c r="U152" i="1"/>
  <c r="O155" i="1"/>
  <c r="O85" i="1"/>
  <c r="J20" i="1"/>
  <c r="L19" i="1"/>
  <c r="L86" i="1"/>
  <c r="AE85" i="1"/>
  <c r="O17" i="1"/>
  <c r="N18" i="1"/>
  <c r="X86" i="1" l="1"/>
  <c r="R86" i="1"/>
  <c r="J155" i="1"/>
  <c r="L154" i="1"/>
  <c r="W18" i="1"/>
  <c r="X18" i="1" s="1"/>
  <c r="Q18" i="1"/>
  <c r="R18" i="1" s="1"/>
  <c r="T18" i="1"/>
  <c r="U18" i="1" s="1"/>
  <c r="R154" i="1"/>
  <c r="AD18" i="1"/>
  <c r="AJ17" i="1"/>
  <c r="AK17" i="1" s="1"/>
  <c r="AM17" i="1"/>
  <c r="AN17" i="1" s="1"/>
  <c r="AG17" i="1"/>
  <c r="AH17" i="1" s="1"/>
  <c r="AE17" i="1"/>
  <c r="AK84" i="1"/>
  <c r="AN84" i="1"/>
  <c r="AH84" i="1"/>
  <c r="O156" i="1"/>
  <c r="X153" i="1"/>
  <c r="U153" i="1"/>
  <c r="O86" i="1"/>
  <c r="J21" i="1"/>
  <c r="L20" i="1"/>
  <c r="L87" i="1"/>
  <c r="AE86" i="1"/>
  <c r="O18" i="1"/>
  <c r="N19" i="1"/>
  <c r="AD19" i="1" l="1"/>
  <c r="AG18" i="1"/>
  <c r="AH18" i="1" s="1"/>
  <c r="AJ18" i="1"/>
  <c r="AK18" i="1" s="1"/>
  <c r="AM18" i="1"/>
  <c r="AN18" i="1" s="1"/>
  <c r="AE18" i="1"/>
  <c r="AN85" i="1"/>
  <c r="AK85" i="1"/>
  <c r="AH85" i="1"/>
  <c r="J156" i="1"/>
  <c r="L155" i="1"/>
  <c r="T19" i="1"/>
  <c r="U19" i="1" s="1"/>
  <c r="W19" i="1"/>
  <c r="X19" i="1" s="1"/>
  <c r="Q19" i="1"/>
  <c r="R19" i="1" s="1"/>
  <c r="R155" i="1"/>
  <c r="X154" i="1"/>
  <c r="U154" i="1"/>
  <c r="R87" i="1"/>
  <c r="X87" i="1"/>
  <c r="O157" i="1"/>
  <c r="O87" i="1"/>
  <c r="J22" i="1"/>
  <c r="L21" i="1"/>
  <c r="L88" i="1"/>
  <c r="AE87" i="1"/>
  <c r="N20" i="1"/>
  <c r="O19" i="1"/>
  <c r="J157" i="1" l="1"/>
  <c r="L156" i="1"/>
  <c r="R88" i="1"/>
  <c r="X88" i="1"/>
  <c r="X155" i="1"/>
  <c r="U155" i="1"/>
  <c r="R156" i="1"/>
  <c r="AN86" i="1"/>
  <c r="AK86" i="1"/>
  <c r="AH86" i="1"/>
  <c r="Q20" i="1"/>
  <c r="R20" i="1" s="1"/>
  <c r="T20" i="1"/>
  <c r="U20" i="1" s="1"/>
  <c r="W20" i="1"/>
  <c r="X20" i="1" s="1"/>
  <c r="AD20" i="1"/>
  <c r="AG19" i="1"/>
  <c r="AH19" i="1" s="1"/>
  <c r="AM19" i="1"/>
  <c r="AN19" i="1" s="1"/>
  <c r="AJ19" i="1"/>
  <c r="AK19" i="1" s="1"/>
  <c r="AE19" i="1"/>
  <c r="O158" i="1"/>
  <c r="O88" i="1"/>
  <c r="J23" i="1"/>
  <c r="L22" i="1"/>
  <c r="L89" i="1"/>
  <c r="AE88" i="1"/>
  <c r="N21" i="1"/>
  <c r="O20" i="1"/>
  <c r="AK87" i="1" l="1"/>
  <c r="AN87" i="1"/>
  <c r="AH87" i="1"/>
  <c r="X156" i="1"/>
  <c r="U156" i="1"/>
  <c r="R157" i="1"/>
  <c r="X89" i="1"/>
  <c r="R89" i="1"/>
  <c r="Q21" i="1"/>
  <c r="R21" i="1" s="1"/>
  <c r="T21" i="1"/>
  <c r="U21" i="1" s="1"/>
  <c r="W21" i="1"/>
  <c r="X21" i="1" s="1"/>
  <c r="AD21" i="1"/>
  <c r="AM20" i="1"/>
  <c r="AN20" i="1" s="1"/>
  <c r="AJ20" i="1"/>
  <c r="AK20" i="1" s="1"/>
  <c r="AG20" i="1"/>
  <c r="AH20" i="1" s="1"/>
  <c r="AE20" i="1"/>
  <c r="J158" i="1"/>
  <c r="L157" i="1"/>
  <c r="O159" i="1"/>
  <c r="O89" i="1"/>
  <c r="J24" i="1"/>
  <c r="L23" i="1"/>
  <c r="L90" i="1"/>
  <c r="AE89" i="1"/>
  <c r="N22" i="1"/>
  <c r="O21" i="1"/>
  <c r="W22" i="1" l="1"/>
  <c r="X22" i="1" s="1"/>
  <c r="Q22" i="1"/>
  <c r="R22" i="1" s="1"/>
  <c r="T22" i="1"/>
  <c r="U22" i="1" s="1"/>
  <c r="AD22" i="1"/>
  <c r="AJ21" i="1"/>
  <c r="AK21" i="1" s="1"/>
  <c r="AM21" i="1"/>
  <c r="AN21" i="1" s="1"/>
  <c r="AG21" i="1"/>
  <c r="AH21" i="1" s="1"/>
  <c r="AE21" i="1"/>
  <c r="X90" i="1"/>
  <c r="R90" i="1"/>
  <c r="R158" i="1"/>
  <c r="J159" i="1"/>
  <c r="L158" i="1"/>
  <c r="X157" i="1"/>
  <c r="U157" i="1"/>
  <c r="AK88" i="1"/>
  <c r="AN88" i="1"/>
  <c r="AH88" i="1"/>
  <c r="O90" i="1"/>
  <c r="J25" i="1"/>
  <c r="L24" i="1"/>
  <c r="L91" i="1"/>
  <c r="AE90" i="1"/>
  <c r="O22" i="1"/>
  <c r="N23" i="1"/>
  <c r="X158" i="1" l="1"/>
  <c r="U158" i="1"/>
  <c r="R159" i="1"/>
  <c r="AN89" i="1"/>
  <c r="AK89" i="1"/>
  <c r="AH89" i="1"/>
  <c r="J160" i="1"/>
  <c r="L159" i="1"/>
  <c r="AD23" i="1"/>
  <c r="AG22" i="1"/>
  <c r="AH22" i="1" s="1"/>
  <c r="AJ22" i="1"/>
  <c r="AK22" i="1" s="1"/>
  <c r="AM22" i="1"/>
  <c r="AN22" i="1" s="1"/>
  <c r="AE22" i="1"/>
  <c r="T23" i="1"/>
  <c r="U23" i="1" s="1"/>
  <c r="W23" i="1"/>
  <c r="X23" i="1" s="1"/>
  <c r="Q23" i="1"/>
  <c r="R23" i="1" s="1"/>
  <c r="O160" i="1"/>
  <c r="O91" i="1"/>
  <c r="J26" i="1"/>
  <c r="L25" i="1"/>
  <c r="L92" i="1"/>
  <c r="AE91" i="1"/>
  <c r="N24" i="1"/>
  <c r="O23" i="1"/>
  <c r="R91" i="1" l="1"/>
  <c r="AN90" i="1"/>
  <c r="AK90" i="1"/>
  <c r="AH90" i="1"/>
  <c r="AD24" i="1"/>
  <c r="AG23" i="1"/>
  <c r="AH23" i="1" s="1"/>
  <c r="AM23" i="1"/>
  <c r="AN23" i="1" s="1"/>
  <c r="AJ23" i="1"/>
  <c r="AK23" i="1" s="1"/>
  <c r="AE23" i="1"/>
  <c r="Q24" i="1"/>
  <c r="T24" i="1"/>
  <c r="W24" i="1"/>
  <c r="R160" i="1"/>
  <c r="X91" i="1"/>
  <c r="J161" i="1"/>
  <c r="L160" i="1"/>
  <c r="X159" i="1"/>
  <c r="U159" i="1"/>
  <c r="O161" i="1"/>
  <c r="O92" i="1"/>
  <c r="J27" i="1"/>
  <c r="L26" i="1"/>
  <c r="L93" i="1"/>
  <c r="AE92" i="1"/>
  <c r="N25" i="1"/>
  <c r="O24" i="1"/>
  <c r="O191" i="1" l="1"/>
  <c r="X92" i="1"/>
  <c r="U24" i="1"/>
  <c r="T25" i="1"/>
  <c r="R161" i="1"/>
  <c r="R24" i="1"/>
  <c r="Q25" i="1"/>
  <c r="R191" i="1"/>
  <c r="AE24" i="1"/>
  <c r="AM24" i="1"/>
  <c r="AJ24" i="1"/>
  <c r="AG24" i="1"/>
  <c r="AD25" i="1"/>
  <c r="R92" i="1"/>
  <c r="AH91" i="1"/>
  <c r="J162" i="1"/>
  <c r="L161" i="1"/>
  <c r="X24" i="1"/>
  <c r="W25" i="1"/>
  <c r="U160" i="1"/>
  <c r="O162" i="1"/>
  <c r="R162" i="1"/>
  <c r="O93" i="1"/>
  <c r="J28" i="1"/>
  <c r="L27" i="1"/>
  <c r="L94" i="1"/>
  <c r="AE93" i="1"/>
  <c r="N26" i="1"/>
  <c r="O25" i="1"/>
  <c r="AN91" i="1" l="1"/>
  <c r="AN24" i="1"/>
  <c r="AM25" i="1"/>
  <c r="R192" i="1"/>
  <c r="U161" i="1"/>
  <c r="AK91" i="1"/>
  <c r="AD26" i="1"/>
  <c r="AE25" i="1"/>
  <c r="R25" i="1"/>
  <c r="Q26" i="1"/>
  <c r="X93" i="1"/>
  <c r="J163" i="1"/>
  <c r="L162" i="1"/>
  <c r="AH24" i="1"/>
  <c r="AG25" i="1"/>
  <c r="U25" i="1"/>
  <c r="T26" i="1"/>
  <c r="R93" i="1"/>
  <c r="X160" i="1"/>
  <c r="AH92" i="1"/>
  <c r="X25" i="1"/>
  <c r="W26" i="1"/>
  <c r="AK24" i="1"/>
  <c r="AJ25" i="1"/>
  <c r="O192" i="1"/>
  <c r="R163" i="1"/>
  <c r="O163" i="1"/>
  <c r="O94" i="1"/>
  <c r="J29" i="1"/>
  <c r="L28" i="1"/>
  <c r="L95" i="1"/>
  <c r="AE94" i="1"/>
  <c r="O26" i="1"/>
  <c r="N27" i="1"/>
  <c r="T27" i="1" l="1"/>
  <c r="U26" i="1"/>
  <c r="AK25" i="1"/>
  <c r="AJ26" i="1"/>
  <c r="J164" i="1"/>
  <c r="L163" i="1"/>
  <c r="X94" i="1"/>
  <c r="AD27" i="1"/>
  <c r="AE26" i="1"/>
  <c r="U162" i="1"/>
  <c r="X161" i="1"/>
  <c r="AH93" i="1"/>
  <c r="AH25" i="1"/>
  <c r="AG26" i="1"/>
  <c r="Q27" i="1"/>
  <c r="R26" i="1"/>
  <c r="AM26" i="1"/>
  <c r="AN25" i="1"/>
  <c r="O193" i="1"/>
  <c r="X26" i="1"/>
  <c r="W27" i="1"/>
  <c r="R94" i="1"/>
  <c r="AK92" i="1"/>
  <c r="R193" i="1"/>
  <c r="AN92" i="1"/>
  <c r="R164" i="1"/>
  <c r="O164" i="1"/>
  <c r="O95" i="1"/>
  <c r="J30" i="1"/>
  <c r="L29" i="1"/>
  <c r="L96" i="1"/>
  <c r="AE95" i="1"/>
  <c r="N28" i="1"/>
  <c r="O27" i="1"/>
  <c r="AK93" i="1" l="1"/>
  <c r="AM27" i="1"/>
  <c r="AN26" i="1"/>
  <c r="AH94" i="1"/>
  <c r="U163" i="1"/>
  <c r="X95" i="1"/>
  <c r="W28" i="1"/>
  <c r="X27" i="1"/>
  <c r="O194" i="1"/>
  <c r="AG27" i="1"/>
  <c r="AH26" i="1"/>
  <c r="X162" i="1"/>
  <c r="AK26" i="1"/>
  <c r="AJ27" i="1"/>
  <c r="AN93" i="1"/>
  <c r="R194" i="1"/>
  <c r="R95" i="1"/>
  <c r="Q28" i="1"/>
  <c r="R27" i="1"/>
  <c r="AD28" i="1"/>
  <c r="AE27" i="1"/>
  <c r="J165" i="1"/>
  <c r="L164" i="1"/>
  <c r="T28" i="1"/>
  <c r="U27" i="1"/>
  <c r="R165" i="1"/>
  <c r="O165" i="1"/>
  <c r="O96" i="1"/>
  <c r="J31" i="1"/>
  <c r="L30" i="1"/>
  <c r="L97" i="1"/>
  <c r="AE96" i="1"/>
  <c r="N29" i="1"/>
  <c r="O28" i="1"/>
  <c r="T29" i="1" l="1"/>
  <c r="U28" i="1"/>
  <c r="AE28" i="1"/>
  <c r="AD29" i="1"/>
  <c r="O195" i="1"/>
  <c r="AN94" i="1"/>
  <c r="X96" i="1"/>
  <c r="AH95" i="1"/>
  <c r="J166" i="1"/>
  <c r="L165" i="1"/>
  <c r="Q29" i="1"/>
  <c r="R28" i="1"/>
  <c r="R195" i="1"/>
  <c r="AK27" i="1"/>
  <c r="AJ28" i="1"/>
  <c r="R96" i="1"/>
  <c r="X163" i="1"/>
  <c r="AK94" i="1"/>
  <c r="AH27" i="1"/>
  <c r="AG28" i="1"/>
  <c r="W29" i="1"/>
  <c r="X28" i="1"/>
  <c r="U164" i="1"/>
  <c r="AM28" i="1"/>
  <c r="AN27" i="1"/>
  <c r="O166" i="1"/>
  <c r="R166" i="1"/>
  <c r="O97" i="1"/>
  <c r="J32" i="1"/>
  <c r="L31" i="1"/>
  <c r="L98" i="1"/>
  <c r="AE97" i="1"/>
  <c r="N30" i="1"/>
  <c r="O29" i="1"/>
  <c r="AK95" i="1" l="1"/>
  <c r="AN95" i="1"/>
  <c r="X29" i="1"/>
  <c r="W30" i="1"/>
  <c r="R97" i="1"/>
  <c r="Q30" i="1"/>
  <c r="R29" i="1"/>
  <c r="AH96" i="1"/>
  <c r="AJ29" i="1"/>
  <c r="AK28" i="1"/>
  <c r="AE29" i="1"/>
  <c r="AD30" i="1"/>
  <c r="AM29" i="1"/>
  <c r="AN28" i="1"/>
  <c r="AG29" i="1"/>
  <c r="AH28" i="1"/>
  <c r="U165" i="1"/>
  <c r="X164" i="1"/>
  <c r="R196" i="1"/>
  <c r="J167" i="1"/>
  <c r="L166" i="1"/>
  <c r="X97" i="1"/>
  <c r="O196" i="1"/>
  <c r="T30" i="1"/>
  <c r="U29" i="1"/>
  <c r="R167" i="1"/>
  <c r="O167" i="1"/>
  <c r="O98" i="1"/>
  <c r="J33" i="1"/>
  <c r="L32" i="1"/>
  <c r="L99" i="1"/>
  <c r="AE98" i="1"/>
  <c r="N31" i="1"/>
  <c r="O30" i="1"/>
  <c r="AD31" i="1" l="1"/>
  <c r="AE30" i="1"/>
  <c r="T31" i="1"/>
  <c r="U30" i="1"/>
  <c r="R197" i="1"/>
  <c r="AG30" i="1"/>
  <c r="AH29" i="1"/>
  <c r="AH97" i="1"/>
  <c r="R98" i="1"/>
  <c r="O197" i="1"/>
  <c r="W31" i="1"/>
  <c r="X30" i="1"/>
  <c r="X98" i="1"/>
  <c r="X165" i="1"/>
  <c r="AN96" i="1"/>
  <c r="J168" i="1"/>
  <c r="L167" i="1"/>
  <c r="U166" i="1"/>
  <c r="AM30" i="1"/>
  <c r="AN29" i="1"/>
  <c r="AJ30" i="1"/>
  <c r="AK29" i="1"/>
  <c r="Q31" i="1"/>
  <c r="R30" i="1"/>
  <c r="AK96" i="1"/>
  <c r="R168" i="1"/>
  <c r="O168" i="1"/>
  <c r="O99" i="1"/>
  <c r="J34" i="1"/>
  <c r="L33" i="1"/>
  <c r="L100" i="1"/>
  <c r="AE99" i="1"/>
  <c r="N32" i="1"/>
  <c r="O31" i="1"/>
  <c r="U167" i="1" l="1"/>
  <c r="J169" i="1"/>
  <c r="L168" i="1"/>
  <c r="X166" i="1"/>
  <c r="W32" i="1"/>
  <c r="X31" i="1"/>
  <c r="R99" i="1"/>
  <c r="AH30" i="1"/>
  <c r="AG31" i="1"/>
  <c r="T32" i="1"/>
  <c r="U31" i="1"/>
  <c r="AK30" i="1"/>
  <c r="AJ31" i="1"/>
  <c r="Q32" i="1"/>
  <c r="R31" i="1"/>
  <c r="AM31" i="1"/>
  <c r="AN30" i="1"/>
  <c r="AK97" i="1"/>
  <c r="AN97" i="1"/>
  <c r="X99" i="1"/>
  <c r="O198" i="1"/>
  <c r="AH98" i="1"/>
  <c r="R198" i="1"/>
  <c r="AE31" i="1"/>
  <c r="AD32" i="1"/>
  <c r="O169" i="1"/>
  <c r="R169" i="1"/>
  <c r="O100" i="1"/>
  <c r="J35" i="1"/>
  <c r="L34" i="1"/>
  <c r="L101" i="1"/>
  <c r="AE100" i="1"/>
  <c r="N33" i="1"/>
  <c r="O32" i="1"/>
  <c r="AH99" i="1" l="1"/>
  <c r="AM32" i="1"/>
  <c r="AN31" i="1"/>
  <c r="J170" i="1"/>
  <c r="L169" i="1"/>
  <c r="X100" i="1"/>
  <c r="O199" i="1"/>
  <c r="AN98" i="1"/>
  <c r="Q33" i="1"/>
  <c r="R32" i="1"/>
  <c r="T33" i="1"/>
  <c r="U32" i="1"/>
  <c r="R100" i="1"/>
  <c r="X167" i="1"/>
  <c r="AK98" i="1"/>
  <c r="W33" i="1"/>
  <c r="X32" i="1"/>
  <c r="R199" i="1"/>
  <c r="AD33" i="1"/>
  <c r="AE32" i="1"/>
  <c r="AJ32" i="1"/>
  <c r="AK31" i="1"/>
  <c r="AH31" i="1"/>
  <c r="AG32" i="1"/>
  <c r="U168" i="1"/>
  <c r="O170" i="1"/>
  <c r="R170" i="1"/>
  <c r="O101" i="1"/>
  <c r="J36" i="1"/>
  <c r="L35" i="1"/>
  <c r="L102" i="1"/>
  <c r="AE101" i="1"/>
  <c r="N34" i="1"/>
  <c r="O33" i="1"/>
  <c r="AK32" i="1" l="1"/>
  <c r="AJ33" i="1"/>
  <c r="R101" i="1"/>
  <c r="R33" i="1"/>
  <c r="Q34" i="1"/>
  <c r="X101" i="1"/>
  <c r="AG33" i="1"/>
  <c r="AH32" i="1"/>
  <c r="AM33" i="1"/>
  <c r="AN32" i="1"/>
  <c r="R200" i="1"/>
  <c r="AE33" i="1"/>
  <c r="AD34" i="1"/>
  <c r="W34" i="1"/>
  <c r="X33" i="1"/>
  <c r="X168" i="1"/>
  <c r="T34" i="1"/>
  <c r="U33" i="1"/>
  <c r="O200" i="1"/>
  <c r="J171" i="1"/>
  <c r="L170" i="1"/>
  <c r="U169" i="1"/>
  <c r="AK99" i="1"/>
  <c r="AN99" i="1"/>
  <c r="AH100" i="1"/>
  <c r="R171" i="1"/>
  <c r="O171" i="1"/>
  <c r="O102" i="1"/>
  <c r="J37" i="1"/>
  <c r="L36" i="1"/>
  <c r="L103" i="1"/>
  <c r="AE102" i="1"/>
  <c r="N35" i="1"/>
  <c r="O34" i="1"/>
  <c r="J172" i="1" l="1"/>
  <c r="L171" i="1"/>
  <c r="T35" i="1"/>
  <c r="U34" i="1"/>
  <c r="R202" i="1"/>
  <c r="R201" i="1"/>
  <c r="R102" i="1"/>
  <c r="AD35" i="1"/>
  <c r="AE34" i="1"/>
  <c r="Q35" i="1"/>
  <c r="R34" i="1"/>
  <c r="AJ34" i="1"/>
  <c r="AK33" i="1"/>
  <c r="AH101" i="1"/>
  <c r="AK100" i="1"/>
  <c r="W35" i="1"/>
  <c r="X34" i="1"/>
  <c r="X102" i="1"/>
  <c r="AN100" i="1"/>
  <c r="U170" i="1"/>
  <c r="O202" i="1"/>
  <c r="O201" i="1"/>
  <c r="X169" i="1"/>
  <c r="AM34" i="1"/>
  <c r="AN33" i="1"/>
  <c r="AG34" i="1"/>
  <c r="AH33" i="1"/>
  <c r="O172" i="1"/>
  <c r="R172" i="1"/>
  <c r="O103" i="1"/>
  <c r="J38" i="1"/>
  <c r="L37" i="1"/>
  <c r="L104" i="1"/>
  <c r="AE103" i="1"/>
  <c r="N36" i="1"/>
  <c r="O35" i="1"/>
  <c r="X170" i="1" l="1"/>
  <c r="AK101" i="1"/>
  <c r="AD36" i="1"/>
  <c r="AE35" i="1"/>
  <c r="J173" i="1"/>
  <c r="L172" i="1"/>
  <c r="U171" i="1"/>
  <c r="AJ35" i="1"/>
  <c r="AK34" i="1"/>
  <c r="AM35" i="1"/>
  <c r="AN34" i="1"/>
  <c r="AN101" i="1"/>
  <c r="X35" i="1"/>
  <c r="W36" i="1"/>
  <c r="AH102" i="1"/>
  <c r="Q36" i="1"/>
  <c r="R35" i="1"/>
  <c r="AG35" i="1"/>
  <c r="AH34" i="1"/>
  <c r="X103" i="1"/>
  <c r="R103" i="1"/>
  <c r="T36" i="1"/>
  <c r="U35" i="1"/>
  <c r="R173" i="1"/>
  <c r="O173" i="1"/>
  <c r="O104" i="1"/>
  <c r="J39" i="1"/>
  <c r="L38" i="1"/>
  <c r="L105" i="1"/>
  <c r="AE104" i="1"/>
  <c r="N37" i="1"/>
  <c r="O36" i="1"/>
  <c r="R104" i="1" l="1"/>
  <c r="AG36" i="1"/>
  <c r="AH35" i="1"/>
  <c r="AH103" i="1"/>
  <c r="AN102" i="1"/>
  <c r="AK35" i="1"/>
  <c r="AJ36" i="1"/>
  <c r="J174" i="1"/>
  <c r="L173" i="1"/>
  <c r="AK102" i="1"/>
  <c r="X36" i="1"/>
  <c r="W37" i="1"/>
  <c r="T37" i="1"/>
  <c r="U36" i="1"/>
  <c r="X104" i="1"/>
  <c r="Q37" i="1"/>
  <c r="R36" i="1"/>
  <c r="AM36" i="1"/>
  <c r="AN35" i="1"/>
  <c r="U172" i="1"/>
  <c r="AD37" i="1"/>
  <c r="AE36" i="1"/>
  <c r="X171" i="1"/>
  <c r="O174" i="1"/>
  <c r="R174" i="1"/>
  <c r="O105" i="1"/>
  <c r="J40" i="1"/>
  <c r="L39" i="1"/>
  <c r="L106" i="1"/>
  <c r="AE105" i="1"/>
  <c r="O37" i="1"/>
  <c r="N38" i="1"/>
  <c r="Q38" i="1" l="1"/>
  <c r="R37" i="1"/>
  <c r="AJ37" i="1"/>
  <c r="AK36" i="1"/>
  <c r="W38" i="1"/>
  <c r="X37" i="1"/>
  <c r="AK103" i="1"/>
  <c r="AH104" i="1"/>
  <c r="R105" i="1"/>
  <c r="X172" i="1"/>
  <c r="T38" i="1"/>
  <c r="U37" i="1"/>
  <c r="AD38" i="1"/>
  <c r="AE37" i="1"/>
  <c r="AM37" i="1"/>
  <c r="AN36" i="1"/>
  <c r="X105" i="1"/>
  <c r="U173" i="1"/>
  <c r="J175" i="1"/>
  <c r="L174" i="1"/>
  <c r="AN103" i="1"/>
  <c r="AG37" i="1"/>
  <c r="AH36" i="1"/>
  <c r="R175" i="1"/>
  <c r="O175" i="1"/>
  <c r="O106" i="1"/>
  <c r="J41" i="1"/>
  <c r="L40" i="1"/>
  <c r="L107" i="1"/>
  <c r="AE106" i="1"/>
  <c r="N39" i="1"/>
  <c r="O38" i="1"/>
  <c r="AM38" i="1" l="1"/>
  <c r="AN37" i="1"/>
  <c r="T39" i="1"/>
  <c r="U38" i="1"/>
  <c r="R106" i="1"/>
  <c r="AK104" i="1"/>
  <c r="AJ38" i="1"/>
  <c r="AK37" i="1"/>
  <c r="AN104" i="1"/>
  <c r="U174" i="1"/>
  <c r="AG38" i="1"/>
  <c r="AH37" i="1"/>
  <c r="J176" i="1"/>
  <c r="L175" i="1"/>
  <c r="X106" i="1"/>
  <c r="AD39" i="1"/>
  <c r="AE38" i="1"/>
  <c r="X173" i="1"/>
  <c r="AH105" i="1"/>
  <c r="X38" i="1"/>
  <c r="W39" i="1"/>
  <c r="Q39" i="1"/>
  <c r="R38" i="1"/>
  <c r="O176" i="1"/>
  <c r="R176" i="1"/>
  <c r="O107" i="1"/>
  <c r="J42" i="1"/>
  <c r="L41" i="1"/>
  <c r="L108" i="1"/>
  <c r="AE107" i="1"/>
  <c r="N40" i="1"/>
  <c r="O39" i="1"/>
  <c r="R39" i="1" l="1"/>
  <c r="Q40" i="1"/>
  <c r="AH106" i="1"/>
  <c r="AH38" i="1"/>
  <c r="AG39" i="1"/>
  <c r="X39" i="1"/>
  <c r="W40" i="1"/>
  <c r="AN105" i="1"/>
  <c r="AK105" i="1"/>
  <c r="T40" i="1"/>
  <c r="U39" i="1"/>
  <c r="AD40" i="1"/>
  <c r="AE39" i="1"/>
  <c r="X174" i="1"/>
  <c r="X107" i="1"/>
  <c r="J177" i="1"/>
  <c r="L176" i="1"/>
  <c r="U175" i="1"/>
  <c r="AJ39" i="1"/>
  <c r="AK38" i="1"/>
  <c r="R107" i="1"/>
  <c r="AM39" i="1"/>
  <c r="AN38" i="1"/>
  <c r="R177" i="1"/>
  <c r="O177" i="1"/>
  <c r="O108" i="1"/>
  <c r="J43" i="1"/>
  <c r="L42" i="1"/>
  <c r="L109" i="1"/>
  <c r="AE108" i="1"/>
  <c r="N41" i="1"/>
  <c r="O40" i="1"/>
  <c r="X40" i="1" l="1"/>
  <c r="W41" i="1"/>
  <c r="AM40" i="1"/>
  <c r="AN39" i="1"/>
  <c r="AJ40" i="1"/>
  <c r="AK39" i="1"/>
  <c r="U176" i="1"/>
  <c r="X108" i="1"/>
  <c r="AD41" i="1"/>
  <c r="AE40" i="1"/>
  <c r="AK106" i="1"/>
  <c r="AH107" i="1"/>
  <c r="AH39" i="1"/>
  <c r="AG40" i="1"/>
  <c r="Q41" i="1"/>
  <c r="R40" i="1"/>
  <c r="R108" i="1"/>
  <c r="J178" i="1"/>
  <c r="L177" i="1"/>
  <c r="X175" i="1"/>
  <c r="T41" i="1"/>
  <c r="U40" i="1"/>
  <c r="AN106" i="1"/>
  <c r="O178" i="1"/>
  <c r="R178" i="1"/>
  <c r="O109" i="1"/>
  <c r="J44" i="1"/>
  <c r="L43" i="1"/>
  <c r="L110" i="1"/>
  <c r="AE109" i="1"/>
  <c r="O41" i="1"/>
  <c r="N42" i="1"/>
  <c r="AN107" i="1" l="1"/>
  <c r="X176" i="1"/>
  <c r="AH108" i="1"/>
  <c r="AD42" i="1"/>
  <c r="AE41" i="1"/>
  <c r="U177" i="1"/>
  <c r="AM41" i="1"/>
  <c r="AN40" i="1"/>
  <c r="R109" i="1"/>
  <c r="T42" i="1"/>
  <c r="U41" i="1"/>
  <c r="J179" i="1"/>
  <c r="L178" i="1"/>
  <c r="Q42" i="1"/>
  <c r="R41" i="1"/>
  <c r="X41" i="1"/>
  <c r="W42" i="1"/>
  <c r="AH40" i="1"/>
  <c r="AG41" i="1"/>
  <c r="AK107" i="1"/>
  <c r="X109" i="1"/>
  <c r="AJ41" i="1"/>
  <c r="AK40" i="1"/>
  <c r="R179" i="1"/>
  <c r="O179" i="1"/>
  <c r="O110" i="1"/>
  <c r="J45" i="1"/>
  <c r="L44" i="1"/>
  <c r="L111" i="1"/>
  <c r="AE110" i="1"/>
  <c r="O42" i="1"/>
  <c r="N43" i="1"/>
  <c r="AK108" i="1" l="1"/>
  <c r="AH41" i="1"/>
  <c r="AG42" i="1"/>
  <c r="R42" i="1"/>
  <c r="Q43" i="1"/>
  <c r="T43" i="1"/>
  <c r="U42" i="1"/>
  <c r="AM42" i="1"/>
  <c r="AN41" i="1"/>
  <c r="AE42" i="1"/>
  <c r="AD43" i="1"/>
  <c r="X177" i="1"/>
  <c r="W43" i="1"/>
  <c r="X42" i="1"/>
  <c r="X110" i="1"/>
  <c r="AK41" i="1"/>
  <c r="AJ42" i="1"/>
  <c r="J180" i="1"/>
  <c r="L179" i="1"/>
  <c r="R110" i="1"/>
  <c r="U178" i="1"/>
  <c r="AH109" i="1"/>
  <c r="AN108" i="1"/>
  <c r="O180" i="1"/>
  <c r="R180" i="1"/>
  <c r="O111" i="1"/>
  <c r="J46" i="1"/>
  <c r="L45" i="1"/>
  <c r="L112" i="1"/>
  <c r="AE111" i="1"/>
  <c r="O43" i="1"/>
  <c r="N44" i="1"/>
  <c r="J181" i="1" l="1"/>
  <c r="L180" i="1"/>
  <c r="AH42" i="1"/>
  <c r="AG43" i="1"/>
  <c r="AJ43" i="1"/>
  <c r="AK42" i="1"/>
  <c r="X43" i="1"/>
  <c r="W44" i="1"/>
  <c r="T44" i="1"/>
  <c r="U43" i="1"/>
  <c r="U179" i="1"/>
  <c r="AH110" i="1"/>
  <c r="R111" i="1"/>
  <c r="R43" i="1"/>
  <c r="Q44" i="1"/>
  <c r="AN109" i="1"/>
  <c r="AE43" i="1"/>
  <c r="AD44" i="1"/>
  <c r="X111" i="1"/>
  <c r="X178" i="1"/>
  <c r="AM43" i="1"/>
  <c r="AN42" i="1"/>
  <c r="AK109" i="1"/>
  <c r="R181" i="1"/>
  <c r="O181" i="1"/>
  <c r="O112" i="1"/>
  <c r="J47" i="1"/>
  <c r="L46" i="1"/>
  <c r="L113" i="1"/>
  <c r="AE112" i="1"/>
  <c r="N45" i="1"/>
  <c r="O44" i="1"/>
  <c r="AK110" i="1" l="1"/>
  <c r="R44" i="1"/>
  <c r="Q45" i="1"/>
  <c r="AH43" i="1"/>
  <c r="AG44" i="1"/>
  <c r="AH111" i="1"/>
  <c r="T45" i="1"/>
  <c r="U44" i="1"/>
  <c r="X179" i="1"/>
  <c r="X112" i="1"/>
  <c r="AN110" i="1"/>
  <c r="X44" i="1"/>
  <c r="W45" i="1"/>
  <c r="AM44" i="1"/>
  <c r="AN43" i="1"/>
  <c r="AD45" i="1"/>
  <c r="AE44" i="1"/>
  <c r="R112" i="1"/>
  <c r="U180" i="1"/>
  <c r="AJ44" i="1"/>
  <c r="AK43" i="1"/>
  <c r="J182" i="1"/>
  <c r="L181" i="1"/>
  <c r="O182" i="1"/>
  <c r="R182" i="1"/>
  <c r="O113" i="1"/>
  <c r="J48" i="1"/>
  <c r="L47" i="1"/>
  <c r="L114" i="1"/>
  <c r="AE113" i="1"/>
  <c r="N46" i="1"/>
  <c r="O45" i="1"/>
  <c r="X45" i="1" l="1"/>
  <c r="W46" i="1"/>
  <c r="X180" i="1"/>
  <c r="J183" i="1"/>
  <c r="L182" i="1"/>
  <c r="AD46" i="1"/>
  <c r="AE45" i="1"/>
  <c r="X113" i="1"/>
  <c r="AH112" i="1"/>
  <c r="U181" i="1"/>
  <c r="AG45" i="1"/>
  <c r="AH44" i="1"/>
  <c r="Q46" i="1"/>
  <c r="R45" i="1"/>
  <c r="AJ45" i="1"/>
  <c r="AK44" i="1"/>
  <c r="R113" i="1"/>
  <c r="AM45" i="1"/>
  <c r="AN44" i="1"/>
  <c r="AN111" i="1"/>
  <c r="T46" i="1"/>
  <c r="U45" i="1"/>
  <c r="AK111" i="1"/>
  <c r="R183" i="1"/>
  <c r="O183" i="1"/>
  <c r="O114" i="1"/>
  <c r="J49" i="1"/>
  <c r="L48" i="1"/>
  <c r="L115" i="1"/>
  <c r="AE114" i="1"/>
  <c r="N47" i="1"/>
  <c r="O46" i="1"/>
  <c r="AK45" i="1" l="1"/>
  <c r="AJ46" i="1"/>
  <c r="AE46" i="1"/>
  <c r="AD47" i="1"/>
  <c r="X181" i="1"/>
  <c r="AM46" i="1"/>
  <c r="AN45" i="1"/>
  <c r="AN112" i="1"/>
  <c r="R114" i="1"/>
  <c r="R46" i="1"/>
  <c r="Q47" i="1"/>
  <c r="U182" i="1"/>
  <c r="X114" i="1"/>
  <c r="J184" i="1"/>
  <c r="L183" i="1"/>
  <c r="X46" i="1"/>
  <c r="W47" i="1"/>
  <c r="AK112" i="1"/>
  <c r="AH45" i="1"/>
  <c r="AG46" i="1"/>
  <c r="AH113" i="1"/>
  <c r="U46" i="1"/>
  <c r="T47" i="1"/>
  <c r="O184" i="1"/>
  <c r="R184" i="1"/>
  <c r="O115" i="1"/>
  <c r="J50" i="1"/>
  <c r="L49" i="1"/>
  <c r="L116" i="1"/>
  <c r="AE115" i="1"/>
  <c r="N48" i="1"/>
  <c r="O47" i="1"/>
  <c r="AH114" i="1" l="1"/>
  <c r="R115" i="1"/>
  <c r="T48" i="1"/>
  <c r="U47" i="1"/>
  <c r="X47" i="1"/>
  <c r="W48" i="1"/>
  <c r="R47" i="1"/>
  <c r="Q48" i="1"/>
  <c r="AJ47" i="1"/>
  <c r="AK46" i="1"/>
  <c r="J185" i="1"/>
  <c r="L184" i="1"/>
  <c r="X115" i="1"/>
  <c r="AN113" i="1"/>
  <c r="X182" i="1"/>
  <c r="AK113" i="1"/>
  <c r="U183" i="1"/>
  <c r="AM47" i="1"/>
  <c r="AN46" i="1"/>
  <c r="AG47" i="1"/>
  <c r="AH46" i="1"/>
  <c r="AD48" i="1"/>
  <c r="AE47" i="1"/>
  <c r="O185" i="1"/>
  <c r="R185" i="1"/>
  <c r="O116" i="1"/>
  <c r="J51" i="1"/>
  <c r="L50" i="1"/>
  <c r="L117" i="1"/>
  <c r="AE116" i="1"/>
  <c r="N49" i="1"/>
  <c r="O48" i="1"/>
  <c r="AH47" i="1" l="1"/>
  <c r="AG48" i="1"/>
  <c r="X116" i="1"/>
  <c r="AK47" i="1"/>
  <c r="AJ48" i="1"/>
  <c r="R116" i="1"/>
  <c r="R48" i="1"/>
  <c r="Q49" i="1"/>
  <c r="X183" i="1"/>
  <c r="X48" i="1"/>
  <c r="W49" i="1"/>
  <c r="AD49" i="1"/>
  <c r="AE48" i="1"/>
  <c r="U184" i="1"/>
  <c r="AM48" i="1"/>
  <c r="AN47" i="1"/>
  <c r="AK114" i="1"/>
  <c r="AN114" i="1"/>
  <c r="J186" i="1"/>
  <c r="L185" i="1"/>
  <c r="T49" i="1"/>
  <c r="U48" i="1"/>
  <c r="AH115" i="1"/>
  <c r="R186" i="1"/>
  <c r="O186" i="1"/>
  <c r="O117" i="1"/>
  <c r="J52" i="1"/>
  <c r="L51" i="1"/>
  <c r="L118" i="1"/>
  <c r="AE117" i="1"/>
  <c r="N50" i="1"/>
  <c r="O49" i="1"/>
  <c r="AH116" i="1" l="1"/>
  <c r="X184" i="1"/>
  <c r="R117" i="1"/>
  <c r="X117" i="1"/>
  <c r="J187" i="1"/>
  <c r="L186" i="1"/>
  <c r="AD50" i="1"/>
  <c r="AE49" i="1"/>
  <c r="T50" i="1"/>
  <c r="U49" i="1"/>
  <c r="AN115" i="1"/>
  <c r="AM49" i="1"/>
  <c r="AN48" i="1"/>
  <c r="U185" i="1"/>
  <c r="X49" i="1"/>
  <c r="W50" i="1"/>
  <c r="Q50" i="1"/>
  <c r="R49" i="1"/>
  <c r="AJ49" i="1"/>
  <c r="AK48" i="1"/>
  <c r="AH48" i="1"/>
  <c r="AG49" i="1"/>
  <c r="AK115" i="1"/>
  <c r="O187" i="1"/>
  <c r="R187" i="1"/>
  <c r="O118" i="1"/>
  <c r="J53" i="1"/>
  <c r="L52" i="1"/>
  <c r="L119" i="1"/>
  <c r="AE118" i="1"/>
  <c r="N51" i="1"/>
  <c r="O50" i="1"/>
  <c r="U186" i="1" l="1"/>
  <c r="AN116" i="1"/>
  <c r="AD51" i="1"/>
  <c r="AE50" i="1"/>
  <c r="W51" i="1"/>
  <c r="X50" i="1"/>
  <c r="X118" i="1"/>
  <c r="AK116" i="1"/>
  <c r="AJ50" i="1"/>
  <c r="AK49" i="1"/>
  <c r="AM50" i="1"/>
  <c r="AN49" i="1"/>
  <c r="T51" i="1"/>
  <c r="U50" i="1"/>
  <c r="J188" i="1"/>
  <c r="L187" i="1"/>
  <c r="R118" i="1"/>
  <c r="AH117" i="1"/>
  <c r="Q51" i="1"/>
  <c r="R50" i="1"/>
  <c r="X185" i="1"/>
  <c r="AH49" i="1"/>
  <c r="AG50" i="1"/>
  <c r="R188" i="1"/>
  <c r="O188" i="1"/>
  <c r="O119" i="1"/>
  <c r="J54" i="1"/>
  <c r="L54" i="1" s="1"/>
  <c r="L53" i="1"/>
  <c r="L120" i="1"/>
  <c r="AE119" i="1"/>
  <c r="N52" i="1"/>
  <c r="O51" i="1"/>
  <c r="R51" i="1" l="1"/>
  <c r="Q52" i="1"/>
  <c r="R119" i="1"/>
  <c r="U51" i="1"/>
  <c r="T52" i="1"/>
  <c r="AJ51" i="1"/>
  <c r="AK50" i="1"/>
  <c r="X119" i="1"/>
  <c r="AE51" i="1"/>
  <c r="AD52" i="1"/>
  <c r="U187" i="1"/>
  <c r="AG51" i="1"/>
  <c r="AH50" i="1"/>
  <c r="X186" i="1"/>
  <c r="AH118" i="1"/>
  <c r="J189" i="1"/>
  <c r="L188" i="1"/>
  <c r="AM51" i="1"/>
  <c r="AN50" i="1"/>
  <c r="AK117" i="1"/>
  <c r="X51" i="1"/>
  <c r="W52" i="1"/>
  <c r="AN117" i="1"/>
  <c r="R189" i="1"/>
  <c r="R190" i="1"/>
  <c r="O189" i="1"/>
  <c r="O190" i="1"/>
  <c r="O120" i="1"/>
  <c r="L121" i="1"/>
  <c r="AE121" i="1"/>
  <c r="AE120" i="1"/>
  <c r="N53" i="1"/>
  <c r="O52" i="1"/>
  <c r="AK118" i="1" l="1"/>
  <c r="AH51" i="1"/>
  <c r="AG52" i="1"/>
  <c r="X52" i="1"/>
  <c r="W53" i="1"/>
  <c r="U52" i="1"/>
  <c r="T53" i="1"/>
  <c r="R52" i="1"/>
  <c r="Q53" i="1"/>
  <c r="J190" i="1"/>
  <c r="L189" i="1"/>
  <c r="R121" i="1"/>
  <c r="R120" i="1"/>
  <c r="AM52" i="1"/>
  <c r="AN51" i="1"/>
  <c r="AH119" i="1"/>
  <c r="U188" i="1"/>
  <c r="X121" i="1"/>
  <c r="X120" i="1"/>
  <c r="AN118" i="1"/>
  <c r="AJ52" i="1"/>
  <c r="AK51" i="1"/>
  <c r="X187" i="1"/>
  <c r="AE52" i="1"/>
  <c r="AD53" i="1"/>
  <c r="O121" i="1"/>
  <c r="N54" i="1"/>
  <c r="O54" i="1" s="1"/>
  <c r="O53" i="1"/>
  <c r="AD54" i="1" l="1"/>
  <c r="AE54" i="1" s="1"/>
  <c r="AE53" i="1"/>
  <c r="R53" i="1"/>
  <c r="Q54" i="1"/>
  <c r="R54" i="1" s="1"/>
  <c r="AH52" i="1"/>
  <c r="AG53" i="1"/>
  <c r="T54" i="1"/>
  <c r="U54" i="1" s="1"/>
  <c r="U53" i="1"/>
  <c r="X53" i="1"/>
  <c r="W54" i="1"/>
  <c r="X54" i="1" s="1"/>
  <c r="AJ53" i="1"/>
  <c r="AK52" i="1"/>
  <c r="AH121" i="1"/>
  <c r="AH120" i="1"/>
  <c r="X188" i="1"/>
  <c r="AN119" i="1"/>
  <c r="U189" i="1"/>
  <c r="AM53" i="1"/>
  <c r="AN52" i="1"/>
  <c r="L190" i="1"/>
  <c r="J191" i="1"/>
  <c r="AK119" i="1"/>
  <c r="AN121" i="1" l="1"/>
  <c r="AN120" i="1"/>
  <c r="J192" i="1"/>
  <c r="L191" i="1"/>
  <c r="X189" i="1"/>
  <c r="AM54" i="1"/>
  <c r="AN54" i="1" s="1"/>
  <c r="AN53" i="1"/>
  <c r="U190" i="1"/>
  <c r="AH53" i="1"/>
  <c r="AG54" i="1"/>
  <c r="AH54" i="1" s="1"/>
  <c r="AK121" i="1"/>
  <c r="AK120" i="1"/>
  <c r="AJ54" i="1"/>
  <c r="AK54" i="1" s="1"/>
  <c r="AK53" i="1"/>
  <c r="J193" i="1" l="1"/>
  <c r="L192" i="1"/>
  <c r="U191" i="1"/>
  <c r="X190" i="1"/>
  <c r="U192" i="1" l="1"/>
  <c r="X191" i="1"/>
  <c r="J194" i="1"/>
  <c r="L193" i="1"/>
  <c r="X192" i="1" l="1"/>
  <c r="J195" i="1"/>
  <c r="L194" i="1"/>
  <c r="U193" i="1"/>
  <c r="J196" i="1" l="1"/>
  <c r="L195" i="1"/>
  <c r="U194" i="1"/>
  <c r="X193" i="1"/>
  <c r="U195" i="1" l="1"/>
  <c r="X194" i="1"/>
  <c r="J197" i="1"/>
  <c r="L196" i="1"/>
  <c r="X195" i="1" l="1"/>
  <c r="J198" i="1"/>
  <c r="L197" i="1"/>
  <c r="U196" i="1"/>
  <c r="U197" i="1" l="1"/>
  <c r="J199" i="1"/>
  <c r="L198" i="1"/>
  <c r="X196" i="1"/>
  <c r="J200" i="1" l="1"/>
  <c r="L199" i="1"/>
  <c r="X197" i="1"/>
  <c r="U198" i="1"/>
  <c r="X198" i="1" l="1"/>
  <c r="U199" i="1"/>
  <c r="J201" i="1"/>
  <c r="L200" i="1"/>
  <c r="U200" i="1" l="1"/>
  <c r="X199" i="1"/>
  <c r="J202" i="1"/>
  <c r="L202" i="1" s="1"/>
  <c r="L201" i="1"/>
  <c r="T2" i="4" l="1"/>
  <c r="T3" i="4"/>
  <c r="X200" i="1"/>
  <c r="U202" i="1"/>
  <c r="T4" i="4" s="1"/>
  <c r="U201" i="1"/>
  <c r="X202" i="1" l="1"/>
  <c r="T5" i="4" s="1"/>
  <c r="X201" i="1"/>
  <c r="F53" i="4"/>
  <c r="L37" i="4"/>
  <c r="L32" i="4"/>
</calcChain>
</file>

<file path=xl/sharedStrings.xml><?xml version="1.0" encoding="utf-8"?>
<sst xmlns="http://schemas.openxmlformats.org/spreadsheetml/2006/main" count="689" uniqueCount="173">
  <si>
    <t>0% reusables</t>
  </si>
  <si>
    <t>10% reusables</t>
  </si>
  <si>
    <t>25% reusables</t>
  </si>
  <si>
    <t>50% reusables</t>
  </si>
  <si>
    <t>Months</t>
  </si>
  <si>
    <t>Compound Disposable Cost</t>
  </si>
  <si>
    <t>Compounded Reusable Cost</t>
  </si>
  <si>
    <t>Compounded Total Cost</t>
  </si>
  <si>
    <t>Ozzi Machine</t>
  </si>
  <si>
    <t>600 Large</t>
  </si>
  <si>
    <t>400 Small</t>
  </si>
  <si>
    <t>Buy the Machine</t>
  </si>
  <si>
    <t>Rent the Machine</t>
  </si>
  <si>
    <t>% using reusables</t>
  </si>
  <si>
    <t>Monthly Disposable Cost</t>
  </si>
  <si>
    <t>Annual Fee</t>
  </si>
  <si>
    <t>18 month Ozzie Container Cost</t>
  </si>
  <si>
    <t>Purchase Machine</t>
  </si>
  <si>
    <t>Rent Machine</t>
  </si>
  <si>
    <t>Per Month</t>
  </si>
  <si>
    <t>Large</t>
  </si>
  <si>
    <t>Weight of Disposables per month</t>
  </si>
  <si>
    <t>Small</t>
  </si>
  <si>
    <t>Money Saved From Waste Managment</t>
  </si>
  <si>
    <t>Purchase the Machine</t>
  </si>
  <si>
    <t>Item</t>
  </si>
  <si>
    <t>Cost</t>
  </si>
  <si>
    <t>1000 Labels</t>
  </si>
  <si>
    <t>100 Large</t>
  </si>
  <si>
    <t>Full Replacement</t>
  </si>
  <si>
    <t>Cases per Month</t>
  </si>
  <si>
    <t>Burrito Bowl</t>
  </si>
  <si>
    <t>Weight per Case (lbs)</t>
  </si>
  <si>
    <t>Total Weight per Month (lbs)</t>
  </si>
  <si>
    <t>Pounds of Waste per Month</t>
  </si>
  <si>
    <t>Burrito Bowl Bases</t>
  </si>
  <si>
    <t>Burrito Bowl Lids</t>
  </si>
  <si>
    <t>Large Plastic Clamshells</t>
  </si>
  <si>
    <t>Pizza Slice Boxes</t>
  </si>
  <si>
    <t>Small Plastic Clamshells</t>
  </si>
  <si>
    <t>Current Disposables</t>
  </si>
  <si>
    <t>Monthly Cost</t>
  </si>
  <si>
    <t>2 Ozzi Carts</t>
  </si>
  <si>
    <t>Capital Cost</t>
  </si>
  <si>
    <t>FOOD CONTAINERS ONLY</t>
  </si>
  <si>
    <t>Food Cont. Only</t>
  </si>
  <si>
    <t>100% Reusables</t>
  </si>
  <si>
    <t>Food AND Beverage</t>
  </si>
  <si>
    <t>Disposables</t>
  </si>
  <si>
    <t>350 16oz cups</t>
  </si>
  <si>
    <t>25% Reusables</t>
  </si>
  <si>
    <t>50% Reusables</t>
  </si>
  <si>
    <t>25% Replaced</t>
  </si>
  <si>
    <t>50% Replaced</t>
  </si>
  <si>
    <t>Pounds of Waste Prevented per Month</t>
  </si>
  <si>
    <t>Food Total</t>
  </si>
  <si>
    <t>Cups w/ straw and lid</t>
  </si>
  <si>
    <t>Grand Total</t>
  </si>
  <si>
    <t>FOOD ONLY</t>
  </si>
  <si>
    <t>FOOD AND CUP</t>
  </si>
  <si>
    <t>FOOD AND BEV CONT</t>
  </si>
  <si>
    <t>Location</t>
  </si>
  <si>
    <t>Product</t>
  </si>
  <si>
    <t>Cases per month</t>
  </si>
  <si>
    <t>Count per case</t>
  </si>
  <si>
    <t>Total count per month</t>
  </si>
  <si>
    <t>Estimated cost per case</t>
  </si>
  <si>
    <t>Total cost per month</t>
  </si>
  <si>
    <t>Weight per case (lbs)</t>
  </si>
  <si>
    <t>Total weight per month (lbs)</t>
  </si>
  <si>
    <t>Food Court</t>
  </si>
  <si>
    <t>Coffee cup</t>
  </si>
  <si>
    <t>Coffe cup lids</t>
  </si>
  <si>
    <t>32 oz fountain drink cups</t>
  </si>
  <si>
    <t>24 oz fountain drink cups</t>
  </si>
  <si>
    <t>16 oz fountain drink cups</t>
  </si>
  <si>
    <t>Fountain drink cup lid (32 oz)</t>
  </si>
  <si>
    <t>Fountain drink cup lid (24 oz)</t>
  </si>
  <si>
    <t>Fountain drink cup lid (16 oz)</t>
  </si>
  <si>
    <t>Bottled beverages</t>
  </si>
  <si>
    <t>Straws</t>
  </si>
  <si>
    <t>BB Lids</t>
  </si>
  <si>
    <t>Plastic Clamshells (Large)</t>
  </si>
  <si>
    <t>Plastic Clamshells (Small)</t>
  </si>
  <si>
    <t>Pizza Boxes</t>
  </si>
  <si>
    <t>Monthly Totals</t>
  </si>
  <si>
    <t>Dunkin’ Donuts</t>
  </si>
  <si>
    <t>Iced Coffee Cups</t>
  </si>
  <si>
    <t>Lids</t>
  </si>
  <si>
    <t>Paper Bags</t>
  </si>
  <si>
    <t>Monthly Grand Totals</t>
  </si>
  <si>
    <t xml:space="preserve">16 oz cups products </t>
  </si>
  <si>
    <t>Total monthly cost'</t>
  </si>
  <si>
    <t>Total Cost</t>
  </si>
  <si>
    <t>16 oz Fountain Drink Cups</t>
  </si>
  <si>
    <t>16 oz Fountain Drink Lids</t>
  </si>
  <si>
    <t>16 oz Iced Coffee Cups</t>
  </si>
  <si>
    <t>16 oz Iced Coffee Lids</t>
  </si>
  <si>
    <t>350 Cups</t>
  </si>
  <si>
    <t>Card Swipe Upgrade</t>
  </si>
  <si>
    <t>1000 Tokens</t>
  </si>
  <si>
    <t>tokens</t>
  </si>
  <si>
    <t>upgrade</t>
  </si>
  <si>
    <t>Food Containers Only</t>
  </si>
  <si>
    <t>Food and Beverage Containers</t>
  </si>
  <si>
    <t>Weight of Food Container Disposables per Month</t>
  </si>
  <si>
    <t>Weight of Food and Beverage Container Disposables per Month</t>
  </si>
  <si>
    <t>Pounds of Food Containers</t>
  </si>
  <si>
    <t>Pounds of Beverage Containers</t>
  </si>
  <si>
    <t>Total Pounds of Waste per Month</t>
  </si>
  <si>
    <t>PROPOSAL</t>
  </si>
  <si>
    <t>3 Ozzi Carts</t>
  </si>
  <si>
    <t>Current Disposables and Proposed Solutions</t>
  </si>
  <si>
    <t>Rent the Machine (All-in)</t>
  </si>
  <si>
    <t>Rent the Machine (Pilot Program)</t>
  </si>
  <si>
    <t>500 Large</t>
  </si>
  <si>
    <t>1000 Small</t>
  </si>
  <si>
    <t>1000 Cups</t>
  </si>
  <si>
    <t>1000 Large</t>
  </si>
  <si>
    <t>Rent Machine Pilot Program</t>
  </si>
  <si>
    <t>Large Cost</t>
  </si>
  <si>
    <t>Applied Monthly</t>
  </si>
  <si>
    <t>75% Reusables</t>
  </si>
  <si>
    <t>100% reusables</t>
  </si>
  <si>
    <t>25% Replace</t>
  </si>
  <si>
    <t>50% Replace</t>
  </si>
  <si>
    <t>75% Replace</t>
  </si>
  <si>
    <t>Weight of Large Food Containers per Month</t>
  </si>
  <si>
    <t>Pounds of Large Food Containers</t>
  </si>
  <si>
    <t>Proposal</t>
  </si>
  <si>
    <t>Container Savings Over 60 Months</t>
  </si>
  <si>
    <t>Hauling Savings Over 60 Months</t>
  </si>
  <si>
    <t>Tons of Waste Prevented Over 60 Months</t>
  </si>
  <si>
    <t>Hauling Cost Prevented per Month</t>
  </si>
  <si>
    <t>Percent Participation</t>
  </si>
  <si>
    <t>Large Disposables Cost</t>
  </si>
  <si>
    <t>Other Disposables Cost</t>
  </si>
  <si>
    <t>Total Monthly Cost</t>
  </si>
  <si>
    <t>Rent the Machine (Overhaul)</t>
  </si>
  <si>
    <t>Rent the Machine (Pilot )</t>
  </si>
  <si>
    <t>Total Pounds of Food Containers</t>
  </si>
  <si>
    <t xml:space="preserve">Burrito Bowls </t>
  </si>
  <si>
    <t>1000 Large Containers</t>
  </si>
  <si>
    <t>Accessories</t>
  </si>
  <si>
    <t>Monthly Lease Payment</t>
  </si>
  <si>
    <t>Monthly Disposables Cost</t>
  </si>
  <si>
    <t>Monthly Cost of Removal</t>
  </si>
  <si>
    <t>Monthly Case</t>
  </si>
  <si>
    <t>1 Case</t>
  </si>
  <si>
    <t>25% Monthly</t>
  </si>
  <si>
    <t>50% Monthly</t>
  </si>
  <si>
    <t>75% Monthly</t>
  </si>
  <si>
    <t>100% Monthly</t>
  </si>
  <si>
    <t>Monthly Broken Container Replacement</t>
  </si>
  <si>
    <t>886.9 Pounds of Waste Produced With A Removal Cost Of $0.04 Per Pound</t>
  </si>
  <si>
    <t>1000 Broken Containers Replaced in 20 Months</t>
  </si>
  <si>
    <t>REMOVAL ADDED</t>
  </si>
  <si>
    <t>0% Reusables</t>
  </si>
  <si>
    <t>886.9 pounds</t>
  </si>
  <si>
    <t>Lease an Ozzi-2-Go Machine</t>
  </si>
  <si>
    <t>Purchase an Ozzi-2-Go Machine</t>
  </si>
  <si>
    <t>Monthly Licensing Fee</t>
  </si>
  <si>
    <t>Monthly Leasing Fee</t>
  </si>
  <si>
    <t>500 Large Containers</t>
  </si>
  <si>
    <t>500 Large Container</t>
  </si>
  <si>
    <t>Percentage Reusables</t>
  </si>
  <si>
    <t>Disposable Cost</t>
  </si>
  <si>
    <t>Reusables cost</t>
  </si>
  <si>
    <t>Purchasing</t>
  </si>
  <si>
    <t>Renting</t>
  </si>
  <si>
    <t>75% reusables</t>
  </si>
  <si>
    <t>Purchased</t>
  </si>
  <si>
    <t>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</si>
</sst>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_(&quot;$&quot;* #,##0_);_(&quot;$&quot;* \(#,##0\);_(&quot;$&quot;* &quot;-&quot;??_);_(@_)"/>
    <numFmt numFmtId="167" formatCode="_(&quot;$&quot;* #,##0.0_);_(&quot;$&quot;* \(#,##0.0\);_(&quot;$&quot;* &quot;-&quot;?_);_(@_)"/>
    <numFmt numFmtId="168" formatCode="&quot;$&quot;#,##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theme="9"/>
      <name val="Arial"/>
      <family val="2"/>
    </font>
    <font>
      <b/>
      <sz val="11"/>
      <color theme="4"/>
      <name val="Arial"/>
      <family val="2"/>
    </font>
    <font>
      <sz val="10"/>
      <color rgb="FF000000"/>
      <name val="Arial"/>
      <family val="2"/>
    </font>
    <font>
      <b/>
      <sz val="11"/>
      <color theme="7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1"/>
      <color theme="1"/>
      <name val="Abadi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11"/>
      <color rgb="FF7030A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8">
    <xf numFmtId="0" fontId="0" fillId="0" borderId="0" xfId="0"/>
    <xf numFmtId="0" fontId="0" fillId="3" borderId="0" xfId="0" applyFill="1" applyBorder="1"/>
    <xf numFmtId="0" fontId="1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8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9" fontId="5" fillId="0" borderId="0" xfId="0" applyNumberFormat="1" applyFont="1"/>
    <xf numFmtId="164" fontId="5" fillId="0" borderId="0" xfId="0" applyNumberFormat="1" applyFont="1"/>
    <xf numFmtId="44" fontId="5" fillId="0" borderId="0" xfId="1" applyFont="1"/>
    <xf numFmtId="0" fontId="5" fillId="7" borderId="15" xfId="0" applyFont="1" applyFill="1" applyBorder="1" applyAlignment="1">
      <alignment wrapText="1"/>
    </xf>
    <xf numFmtId="44" fontId="5" fillId="7" borderId="10" xfId="1" applyFont="1" applyFill="1" applyBorder="1"/>
    <xf numFmtId="44" fontId="5" fillId="0" borderId="0" xfId="0" applyNumberFormat="1" applyFont="1"/>
    <xf numFmtId="0" fontId="5" fillId="3" borderId="17" xfId="0" applyFont="1" applyFill="1" applyBorder="1"/>
    <xf numFmtId="0" fontId="5" fillId="3" borderId="0" xfId="0" applyFont="1" applyFill="1" applyBorder="1"/>
    <xf numFmtId="44" fontId="5" fillId="3" borderId="0" xfId="1" applyFont="1" applyFill="1" applyBorder="1" applyAlignment="1">
      <alignment horizontal="right"/>
    </xf>
    <xf numFmtId="0" fontId="5" fillId="3" borderId="0" xfId="0" applyFont="1" applyFill="1"/>
    <xf numFmtId="44" fontId="5" fillId="3" borderId="0" xfId="1" applyFont="1" applyFill="1"/>
    <xf numFmtId="44" fontId="5" fillId="3" borderId="0" xfId="1" applyFont="1" applyFill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8" fontId="5" fillId="0" borderId="4" xfId="0" applyNumberFormat="1" applyFont="1" applyBorder="1" applyAlignment="1">
      <alignment horizontal="right" wrapText="1"/>
    </xf>
    <xf numFmtId="8" fontId="5" fillId="0" borderId="1" xfId="0" applyNumberFormat="1" applyFont="1" applyBorder="1" applyAlignment="1">
      <alignment horizontal="right" wrapText="1"/>
    </xf>
    <xf numFmtId="0" fontId="5" fillId="4" borderId="11" xfId="0" applyFont="1" applyFill="1" applyBorder="1" applyAlignment="1">
      <alignment wrapText="1"/>
    </xf>
    <xf numFmtId="8" fontId="5" fillId="4" borderId="12" xfId="0" applyNumberFormat="1" applyFont="1" applyFill="1" applyBorder="1" applyAlignment="1">
      <alignment horizontal="right" wrapText="1"/>
    </xf>
    <xf numFmtId="0" fontId="5" fillId="4" borderId="6" xfId="0" applyFont="1" applyFill="1" applyBorder="1" applyAlignment="1">
      <alignment wrapText="1"/>
    </xf>
    <xf numFmtId="8" fontId="5" fillId="4" borderId="7" xfId="0" applyNumberFormat="1" applyFont="1" applyFill="1" applyBorder="1" applyAlignment="1">
      <alignment horizontal="right" wrapText="1"/>
    </xf>
    <xf numFmtId="0" fontId="5" fillId="5" borderId="8" xfId="0" applyFont="1" applyFill="1" applyBorder="1" applyAlignment="1">
      <alignment wrapText="1"/>
    </xf>
    <xf numFmtId="8" fontId="5" fillId="5" borderId="14" xfId="0" applyNumberFormat="1" applyFont="1" applyFill="1" applyBorder="1" applyAlignment="1">
      <alignment horizontal="right" wrapText="1"/>
    </xf>
    <xf numFmtId="0" fontId="5" fillId="5" borderId="13" xfId="0" applyFont="1" applyFill="1" applyBorder="1" applyAlignment="1">
      <alignment wrapText="1"/>
    </xf>
    <xf numFmtId="0" fontId="5" fillId="6" borderId="8" xfId="0" applyFont="1" applyFill="1" applyBorder="1" applyAlignment="1">
      <alignment wrapText="1"/>
    </xf>
    <xf numFmtId="8" fontId="5" fillId="6" borderId="9" xfId="0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8" fontId="4" fillId="2" borderId="4" xfId="0" applyNumberFormat="1" applyFont="1" applyFill="1" applyBorder="1" applyAlignment="1">
      <alignment horizontal="right" wrapText="1"/>
    </xf>
    <xf numFmtId="8" fontId="5" fillId="2" borderId="4" xfId="0" applyNumberFormat="1" applyFont="1" applyFill="1" applyBorder="1" applyAlignment="1">
      <alignment horizontal="right" wrapText="1"/>
    </xf>
    <xf numFmtId="8" fontId="4" fillId="2" borderId="1" xfId="0" applyNumberFormat="1" applyFont="1" applyFill="1" applyBorder="1" applyAlignment="1">
      <alignment horizontal="right" wrapText="1"/>
    </xf>
    <xf numFmtId="8" fontId="5" fillId="3" borderId="0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8" fontId="5" fillId="2" borderId="1" xfId="0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44" fontId="5" fillId="3" borderId="0" xfId="1" applyFont="1" applyFill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0" fontId="6" fillId="3" borderId="0" xfId="0" applyFont="1" applyFill="1" applyBorder="1"/>
    <xf numFmtId="166" fontId="5" fillId="3" borderId="0" xfId="0" applyNumberFormat="1" applyFont="1" applyFill="1" applyBorder="1" applyAlignment="1">
      <alignment horizontal="right"/>
    </xf>
    <xf numFmtId="166" fontId="5" fillId="3" borderId="0" xfId="1" applyNumberFormat="1" applyFont="1" applyFill="1" applyAlignment="1">
      <alignment horizontal="right"/>
    </xf>
    <xf numFmtId="166" fontId="5" fillId="3" borderId="0" xfId="0" applyNumberFormat="1" applyFont="1" applyFill="1"/>
    <xf numFmtId="44" fontId="5" fillId="3" borderId="17" xfId="1" applyFont="1" applyFill="1" applyBorder="1" applyAlignment="1">
      <alignment horizontal="right"/>
    </xf>
    <xf numFmtId="166" fontId="5" fillId="3" borderId="17" xfId="1" applyNumberFormat="1" applyFont="1" applyFill="1" applyBorder="1" applyAlignment="1">
      <alignment horizontal="right"/>
    </xf>
    <xf numFmtId="8" fontId="5" fillId="0" borderId="0" xfId="0" applyNumberFormat="1" applyFont="1"/>
    <xf numFmtId="166" fontId="5" fillId="0" borderId="0" xfId="1" applyNumberFormat="1" applyFont="1" applyAlignment="1">
      <alignment horizontal="right"/>
    </xf>
    <xf numFmtId="44" fontId="5" fillId="0" borderId="0" xfId="1" applyFont="1" applyAlignment="1">
      <alignment horizontal="right"/>
    </xf>
    <xf numFmtId="0" fontId="5" fillId="0" borderId="0" xfId="0" applyFont="1" applyBorder="1"/>
    <xf numFmtId="0" fontId="12" fillId="0" borderId="0" xfId="0" applyFont="1"/>
    <xf numFmtId="0" fontId="5" fillId="0" borderId="19" xfId="0" applyFont="1" applyBorder="1"/>
    <xf numFmtId="8" fontId="1" fillId="0" borderId="0" xfId="0" applyNumberFormat="1" applyFont="1"/>
    <xf numFmtId="8" fontId="12" fillId="0" borderId="0" xfId="0" applyNumberFormat="1" applyFont="1"/>
    <xf numFmtId="1" fontId="5" fillId="0" borderId="0" xfId="0" applyNumberFormat="1" applyFont="1"/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right" wrapText="1"/>
    </xf>
    <xf numFmtId="8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vertical="top" wrapText="1"/>
    </xf>
    <xf numFmtId="8" fontId="13" fillId="3" borderId="0" xfId="0" applyNumberFormat="1" applyFont="1" applyFill="1" applyBorder="1" applyAlignment="1">
      <alignment horizontal="right" wrapText="1"/>
    </xf>
    <xf numFmtId="0" fontId="13" fillId="3" borderId="0" xfId="0" applyFont="1" applyFill="1" applyBorder="1" applyAlignment="1">
      <alignment horizontal="right" vertical="top" wrapText="1"/>
    </xf>
    <xf numFmtId="8" fontId="14" fillId="3" borderId="0" xfId="0" applyNumberFormat="1" applyFont="1" applyFill="1" applyBorder="1" applyAlignment="1">
      <alignment wrapText="1"/>
    </xf>
    <xf numFmtId="0" fontId="14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horizontal="right" wrapText="1"/>
    </xf>
    <xf numFmtId="0" fontId="14" fillId="3" borderId="0" xfId="0" applyFont="1" applyFill="1" applyBorder="1" applyAlignment="1">
      <alignment horizontal="right" vertical="top" wrapText="1"/>
    </xf>
    <xf numFmtId="8" fontId="14" fillId="3" borderId="0" xfId="0" applyNumberFormat="1" applyFont="1" applyFill="1" applyBorder="1" applyAlignment="1">
      <alignment horizontal="right" wrapText="1"/>
    </xf>
    <xf numFmtId="0" fontId="9" fillId="3" borderId="17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 vertical="center" wrapText="1"/>
    </xf>
    <xf numFmtId="2" fontId="0" fillId="0" borderId="0" xfId="0" applyNumberFormat="1"/>
    <xf numFmtId="166" fontId="16" fillId="0" borderId="0" xfId="1" applyNumberFormat="1" applyFont="1" applyAlignment="1">
      <alignment horizontal="right"/>
    </xf>
    <xf numFmtId="166" fontId="16" fillId="3" borderId="17" xfId="1" applyNumberFormat="1" applyFont="1" applyFill="1" applyBorder="1" applyAlignment="1">
      <alignment horizontal="right"/>
    </xf>
    <xf numFmtId="166" fontId="16" fillId="3" borderId="0" xfId="1" applyNumberFormat="1" applyFont="1" applyFill="1" applyAlignment="1">
      <alignment horizontal="right"/>
    </xf>
    <xf numFmtId="44" fontId="5" fillId="3" borderId="17" xfId="1" applyFont="1" applyFill="1" applyBorder="1"/>
    <xf numFmtId="44" fontId="5" fillId="3" borderId="17" xfId="1" applyFont="1" applyFill="1" applyBorder="1" applyAlignment="1">
      <alignment horizontal="right" wrapText="1"/>
    </xf>
    <xf numFmtId="44" fontId="6" fillId="3" borderId="0" xfId="1" applyFont="1" applyFill="1"/>
    <xf numFmtId="44" fontId="4" fillId="0" borderId="0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right"/>
    </xf>
    <xf numFmtId="44" fontId="6" fillId="0" borderId="0" xfId="1" applyFont="1" applyFill="1" applyBorder="1" applyAlignment="1">
      <alignment horizontal="right" wrapText="1"/>
    </xf>
    <xf numFmtId="44" fontId="5" fillId="0" borderId="0" xfId="1" applyFont="1" applyFill="1" applyBorder="1"/>
    <xf numFmtId="44" fontId="5" fillId="0" borderId="0" xfId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/>
    </xf>
    <xf numFmtId="44" fontId="8" fillId="0" borderId="0" xfId="1" applyFont="1" applyFill="1" applyBorder="1" applyAlignment="1">
      <alignment horizontal="right"/>
    </xf>
    <xf numFmtId="166" fontId="5" fillId="3" borderId="17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5" fillId="3" borderId="17" xfId="1" applyNumberFormat="1" applyFont="1" applyFill="1" applyBorder="1" applyAlignment="1">
      <alignment horizontal="right" wrapText="1"/>
    </xf>
    <xf numFmtId="165" fontId="5" fillId="3" borderId="0" xfId="1" applyNumberFormat="1" applyFont="1" applyFill="1"/>
    <xf numFmtId="165" fontId="6" fillId="3" borderId="0" xfId="1" applyNumberFormat="1" applyFont="1" applyFill="1"/>
    <xf numFmtId="1" fontId="5" fillId="0" borderId="0" xfId="1" applyNumberFormat="1" applyFont="1"/>
    <xf numFmtId="1" fontId="5" fillId="3" borderId="17" xfId="1" applyNumberFormat="1" applyFont="1" applyFill="1" applyBorder="1" applyAlignment="1">
      <alignment horizontal="right" wrapText="1"/>
    </xf>
    <xf numFmtId="1" fontId="5" fillId="3" borderId="0" xfId="1" applyNumberFormat="1" applyFont="1" applyFill="1"/>
    <xf numFmtId="1" fontId="6" fillId="3" borderId="0" xfId="1" applyNumberFormat="1" applyFont="1" applyFill="1"/>
    <xf numFmtId="0" fontId="4" fillId="3" borderId="21" xfId="0" applyFont="1" applyFill="1" applyBorder="1" applyAlignment="1">
      <alignment horizontal="center"/>
    </xf>
    <xf numFmtId="0" fontId="5" fillId="3" borderId="23" xfId="0" applyFont="1" applyFill="1" applyBorder="1"/>
    <xf numFmtId="166" fontId="5" fillId="3" borderId="24" xfId="0" applyNumberFormat="1" applyFont="1" applyFill="1" applyBorder="1" applyAlignment="1">
      <alignment horizontal="right"/>
    </xf>
    <xf numFmtId="0" fontId="5" fillId="3" borderId="19" xfId="0" applyFont="1" applyFill="1" applyBorder="1"/>
    <xf numFmtId="166" fontId="5" fillId="3" borderId="0" xfId="0" applyNumberFormat="1" applyFont="1" applyFill="1" applyBorder="1"/>
    <xf numFmtId="0" fontId="10" fillId="3" borderId="19" xfId="0" applyFont="1" applyFill="1" applyBorder="1"/>
    <xf numFmtId="166" fontId="10" fillId="3" borderId="0" xfId="0" applyNumberFormat="1" applyFont="1" applyFill="1" applyBorder="1"/>
    <xf numFmtId="166" fontId="5" fillId="3" borderId="25" xfId="1" applyNumberFormat="1" applyFont="1" applyFill="1" applyBorder="1" applyAlignment="1">
      <alignment horizontal="right"/>
    </xf>
    <xf numFmtId="166" fontId="5" fillId="3" borderId="25" xfId="0" applyNumberFormat="1" applyFont="1" applyFill="1" applyBorder="1"/>
    <xf numFmtId="0" fontId="7" fillId="3" borderId="0" xfId="0" applyFont="1" applyFill="1" applyBorder="1"/>
    <xf numFmtId="166" fontId="7" fillId="3" borderId="0" xfId="0" applyNumberFormat="1" applyFont="1" applyFill="1" applyBorder="1"/>
    <xf numFmtId="166" fontId="7" fillId="3" borderId="25" xfId="0" applyNumberFormat="1" applyFont="1" applyFill="1" applyBorder="1"/>
    <xf numFmtId="166" fontId="5" fillId="3" borderId="17" xfId="0" applyNumberFormat="1" applyFont="1" applyFill="1" applyBorder="1"/>
    <xf numFmtId="0" fontId="8" fillId="3" borderId="17" xfId="0" applyFont="1" applyFill="1" applyBorder="1"/>
    <xf numFmtId="166" fontId="8" fillId="3" borderId="17" xfId="0" applyNumberFormat="1" applyFont="1" applyFill="1" applyBorder="1"/>
    <xf numFmtId="166" fontId="8" fillId="3" borderId="24" xfId="0" applyNumberFormat="1" applyFont="1" applyFill="1" applyBorder="1"/>
    <xf numFmtId="44" fontId="5" fillId="3" borderId="19" xfId="1" applyFont="1" applyFill="1" applyBorder="1"/>
    <xf numFmtId="166" fontId="16" fillId="3" borderId="0" xfId="1" applyNumberFormat="1" applyFont="1" applyFill="1" applyBorder="1" applyAlignment="1">
      <alignment horizontal="right"/>
    </xf>
    <xf numFmtId="0" fontId="8" fillId="3" borderId="0" xfId="0" applyFont="1" applyFill="1" applyBorder="1"/>
    <xf numFmtId="166" fontId="8" fillId="3" borderId="25" xfId="0" applyNumberFormat="1" applyFont="1" applyFill="1" applyBorder="1"/>
    <xf numFmtId="44" fontId="5" fillId="3" borderId="23" xfId="1" applyFont="1" applyFill="1" applyBorder="1"/>
    <xf numFmtId="166" fontId="5" fillId="3" borderId="24" xfId="1" applyNumberFormat="1" applyFont="1" applyFill="1" applyBorder="1" applyAlignment="1">
      <alignment horizontal="right"/>
    </xf>
    <xf numFmtId="44" fontId="6" fillId="3" borderId="0" xfId="1" applyFont="1" applyFill="1" applyAlignment="1">
      <alignment horizontal="left"/>
    </xf>
    <xf numFmtId="44" fontId="12" fillId="3" borderId="0" xfId="1" applyFont="1" applyFill="1"/>
    <xf numFmtId="1" fontId="12" fillId="3" borderId="0" xfId="1" applyNumberFormat="1" applyFont="1" applyFill="1"/>
    <xf numFmtId="165" fontId="12" fillId="3" borderId="0" xfId="1" applyNumberFormat="1" applyFont="1" applyFill="1"/>
    <xf numFmtId="166" fontId="6" fillId="3" borderId="0" xfId="0" applyNumberFormat="1" applyFont="1" applyFill="1" applyBorder="1" applyAlignment="1">
      <alignment horizontal="right"/>
    </xf>
    <xf numFmtId="166" fontId="5" fillId="3" borderId="25" xfId="0" applyNumberFormat="1" applyFont="1" applyFill="1" applyBorder="1" applyAlignment="1">
      <alignment horizontal="right"/>
    </xf>
    <xf numFmtId="166" fontId="6" fillId="3" borderId="25" xfId="0" applyNumberFormat="1" applyFont="1" applyFill="1" applyBorder="1" applyAlignment="1">
      <alignment horizontal="right"/>
    </xf>
    <xf numFmtId="166" fontId="8" fillId="3" borderId="0" xfId="0" applyNumberFormat="1" applyFont="1" applyFill="1" applyBorder="1"/>
    <xf numFmtId="0" fontId="4" fillId="3" borderId="21" xfId="0" applyFont="1" applyFill="1" applyBorder="1" applyAlignment="1"/>
    <xf numFmtId="0" fontId="4" fillId="3" borderId="22" xfId="0" applyFont="1" applyFill="1" applyBorder="1" applyAlignment="1"/>
    <xf numFmtId="8" fontId="5" fillId="0" borderId="26" xfId="0" applyNumberFormat="1" applyFont="1" applyBorder="1" applyAlignment="1">
      <alignment horizontal="right" wrapText="1"/>
    </xf>
    <xf numFmtId="166" fontId="5" fillId="0" borderId="4" xfId="0" applyNumberFormat="1" applyFont="1" applyBorder="1" applyAlignment="1">
      <alignment horizontal="right" wrapText="1"/>
    </xf>
    <xf numFmtId="9" fontId="5" fillId="3" borderId="19" xfId="1" applyNumberFormat="1" applyFont="1" applyFill="1" applyBorder="1"/>
    <xf numFmtId="9" fontId="5" fillId="3" borderId="0" xfId="1" applyNumberFormat="1" applyFont="1" applyFill="1" applyBorder="1" applyAlignment="1">
      <alignment horizontal="right"/>
    </xf>
    <xf numFmtId="167" fontId="5" fillId="0" borderId="0" xfId="0" applyNumberFormat="1" applyFont="1"/>
    <xf numFmtId="16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9" fontId="0" fillId="0" borderId="0" xfId="0" applyNumberFormat="1" applyAlignment="1">
      <alignment wrapText="1"/>
    </xf>
    <xf numFmtId="166" fontId="16" fillId="3" borderId="21" xfId="1" applyNumberFormat="1" applyFont="1" applyFill="1" applyBorder="1" applyAlignment="1">
      <alignment horizontal="right"/>
    </xf>
    <xf numFmtId="44" fontId="5" fillId="3" borderId="21" xfId="1" applyFont="1" applyFill="1" applyBorder="1"/>
    <xf numFmtId="44" fontId="5" fillId="3" borderId="21" xfId="1" applyFont="1" applyFill="1" applyBorder="1" applyAlignment="1">
      <alignment horizontal="right"/>
    </xf>
    <xf numFmtId="166" fontId="5" fillId="3" borderId="21" xfId="1" applyNumberFormat="1" applyFont="1" applyFill="1" applyBorder="1" applyAlignment="1">
      <alignment horizontal="right"/>
    </xf>
    <xf numFmtId="0" fontId="0" fillId="0" borderId="0" xfId="0" applyBorder="1"/>
    <xf numFmtId="1" fontId="5" fillId="3" borderId="0" xfId="1" applyNumberFormat="1" applyFont="1" applyFill="1" applyBorder="1"/>
    <xf numFmtId="165" fontId="5" fillId="3" borderId="0" xfId="1" applyNumberFormat="1" applyFont="1" applyFill="1" applyBorder="1"/>
    <xf numFmtId="165" fontId="5" fillId="3" borderId="25" xfId="1" applyNumberFormat="1" applyFont="1" applyFill="1" applyBorder="1"/>
    <xf numFmtId="44" fontId="6" fillId="3" borderId="23" xfId="1" applyFont="1" applyFill="1" applyBorder="1"/>
    <xf numFmtId="1" fontId="6" fillId="3" borderId="17" xfId="1" applyNumberFormat="1" applyFont="1" applyFill="1" applyBorder="1"/>
    <xf numFmtId="165" fontId="6" fillId="3" borderId="17" xfId="1" applyNumberFormat="1" applyFont="1" applyFill="1" applyBorder="1"/>
    <xf numFmtId="165" fontId="6" fillId="3" borderId="24" xfId="1" applyNumberFormat="1" applyFont="1" applyFill="1" applyBorder="1"/>
    <xf numFmtId="0" fontId="0" fillId="3" borderId="19" xfId="0" applyFill="1" applyBorder="1"/>
    <xf numFmtId="0" fontId="17" fillId="3" borderId="19" xfId="0" applyFont="1" applyFill="1" applyBorder="1"/>
    <xf numFmtId="166" fontId="17" fillId="3" borderId="0" xfId="0" applyNumberFormat="1" applyFont="1" applyFill="1" applyBorder="1"/>
    <xf numFmtId="165" fontId="5" fillId="3" borderId="24" xfId="1" applyNumberFormat="1" applyFont="1" applyFill="1" applyBorder="1" applyAlignment="1">
      <alignment horizontal="right" wrapText="1"/>
    </xf>
    <xf numFmtId="168" fontId="0" fillId="0" borderId="0" xfId="0" applyNumberFormat="1" applyAlignment="1">
      <alignment wrapText="1"/>
    </xf>
    <xf numFmtId="168" fontId="0" fillId="0" borderId="0" xfId="0" applyNumberFormat="1"/>
    <xf numFmtId="6" fontId="0" fillId="0" borderId="0" xfId="0" applyNumberFormat="1"/>
    <xf numFmtId="0" fontId="8" fillId="3" borderId="19" xfId="0" applyFont="1" applyFill="1" applyBorder="1"/>
    <xf numFmtId="168" fontId="7" fillId="3" borderId="25" xfId="0" applyNumberFormat="1" applyFont="1" applyFill="1" applyBorder="1"/>
    <xf numFmtId="0" fontId="17" fillId="3" borderId="0" xfId="0" applyFont="1" applyFill="1" applyBorder="1"/>
    <xf numFmtId="168" fontId="17" fillId="3" borderId="25" xfId="0" applyNumberFormat="1" applyFont="1" applyFill="1" applyBorder="1" applyAlignment="1">
      <alignment horizontal="right"/>
    </xf>
    <xf numFmtId="0" fontId="5" fillId="3" borderId="21" xfId="0" applyFont="1" applyFill="1" applyBorder="1"/>
    <xf numFmtId="168" fontId="5" fillId="3" borderId="22" xfId="1" applyNumberFormat="1" applyFont="1" applyFill="1" applyBorder="1" applyAlignment="1">
      <alignment horizontal="right"/>
    </xf>
    <xf numFmtId="168" fontId="5" fillId="3" borderId="25" xfId="0" applyNumberFormat="1" applyFont="1" applyFill="1" applyBorder="1"/>
    <xf numFmtId="0" fontId="0" fillId="3" borderId="25" xfId="0" applyFill="1" applyBorder="1"/>
    <xf numFmtId="0" fontId="6" fillId="3" borderId="23" xfId="0" applyFont="1" applyFill="1" applyBorder="1"/>
    <xf numFmtId="166" fontId="6" fillId="3" borderId="17" xfId="0" applyNumberFormat="1" applyFont="1" applyFill="1" applyBorder="1"/>
    <xf numFmtId="0" fontId="6" fillId="3" borderId="17" xfId="0" applyFont="1" applyFill="1" applyBorder="1"/>
    <xf numFmtId="168" fontId="6" fillId="3" borderId="24" xfId="0" applyNumberFormat="1" applyFont="1" applyFill="1" applyBorder="1" applyAlignment="1">
      <alignment horizontal="right"/>
    </xf>
    <xf numFmtId="0" fontId="0" fillId="0" borderId="21" xfId="0" applyBorder="1"/>
    <xf numFmtId="0" fontId="7" fillId="3" borderId="19" xfId="0" applyFont="1" applyFill="1" applyBorder="1"/>
    <xf numFmtId="168" fontId="8" fillId="3" borderId="0" xfId="0" applyNumberFormat="1" applyFont="1" applyFill="1" applyBorder="1"/>
    <xf numFmtId="0" fontId="18" fillId="3" borderId="0" xfId="1" applyNumberFormat="1" applyFont="1" applyFill="1" applyBorder="1" applyAlignment="1">
      <alignment horizontal="left"/>
    </xf>
    <xf numFmtId="168" fontId="18" fillId="3" borderId="25" xfId="1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20" xfId="0" applyFill="1" applyBorder="1"/>
    <xf numFmtId="0" fontId="0" fillId="3" borderId="21" xfId="0" applyFill="1" applyBorder="1"/>
    <xf numFmtId="168" fontId="5" fillId="0" borderId="25" xfId="0" applyNumberFormat="1" applyFont="1" applyBorder="1"/>
    <xf numFmtId="0" fontId="4" fillId="3" borderId="21" xfId="0" applyFont="1" applyFill="1" applyBorder="1" applyAlignment="1">
      <alignment horizontal="center"/>
    </xf>
    <xf numFmtId="0" fontId="4" fillId="0" borderId="0" xfId="0" applyFont="1"/>
    <xf numFmtId="44" fontId="4" fillId="3" borderId="0" xfId="1" applyFont="1" applyFill="1" applyAlignment="1">
      <alignment horizontal="center"/>
    </xf>
    <xf numFmtId="44" fontId="11" fillId="3" borderId="17" xfId="1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44" fontId="4" fillId="0" borderId="0" xfId="1" applyFont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44" fontId="4" fillId="3" borderId="20" xfId="1" applyFont="1" applyFill="1" applyBorder="1" applyAlignment="1">
      <alignment horizontal="center"/>
    </xf>
    <xf numFmtId="44" fontId="4" fillId="3" borderId="21" xfId="1" applyFont="1" applyFill="1" applyBorder="1" applyAlignment="1">
      <alignment horizontal="center"/>
    </xf>
    <xf numFmtId="44" fontId="4" fillId="3" borderId="22" xfId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6" fontId="0" fillId="0" borderId="0" xfId="0" applyNumberFormat="1"/>
    <xf numFmtId="0" fontId="5" fillId="3" borderId="19" xfId="0" applyFont="1" applyFill="1" applyBorder="1" applyAlignment="1">
      <alignment wrapText="1"/>
    </xf>
    <xf numFmtId="166" fontId="5" fillId="3" borderId="21" xfId="0" applyNumberFormat="1" applyFont="1" applyFill="1" applyBorder="1" applyAlignment="1">
      <alignment horizontal="right"/>
    </xf>
    <xf numFmtId="0" fontId="17" fillId="3" borderId="23" xfId="0" applyFont="1" applyFill="1" applyBorder="1"/>
    <xf numFmtId="166" fontId="17" fillId="3" borderId="17" xfId="0" applyNumberFormat="1" applyFont="1" applyFill="1" applyBorder="1"/>
    <xf numFmtId="166" fontId="17" fillId="3" borderId="24" xfId="0" applyNumberFormat="1" applyFont="1" applyFill="1" applyBorder="1"/>
    <xf numFmtId="168" fontId="5" fillId="3" borderId="0" xfId="0" applyNumberFormat="1" applyFont="1" applyFill="1" applyBorder="1"/>
    <xf numFmtId="168" fontId="7" fillId="3" borderId="0" xfId="0" applyNumberFormat="1" applyFont="1" applyFill="1" applyBorder="1"/>
    <xf numFmtId="0" fontId="17" fillId="3" borderId="17" xfId="0" applyFont="1" applyFill="1" applyBorder="1"/>
    <xf numFmtId="0" fontId="18" fillId="3" borderId="0" xfId="0" applyFont="1" applyFill="1" applyBorder="1"/>
    <xf numFmtId="6" fontId="18" fillId="3" borderId="0" xfId="0" applyNumberFormat="1" applyFont="1" applyFill="1" applyBorder="1"/>
    <xf numFmtId="0" fontId="19" fillId="3" borderId="0" xfId="0" applyFont="1" applyFill="1" applyBorder="1"/>
    <xf numFmtId="168" fontId="18" fillId="3" borderId="25" xfId="0" applyNumberFormat="1" applyFont="1" applyFill="1" applyBorder="1"/>
    <xf numFmtId="0" fontId="0" fillId="3" borderId="22" xfId="0" applyFill="1" applyBorder="1"/>
    <xf numFmtId="166" fontId="5" fillId="0" borderId="0" xfId="0" applyNumberFormat="1" applyFont="1"/>
    <xf numFmtId="168" fontId="5" fillId="0" borderId="0" xfId="0" applyNumberFormat="1" applyFont="1"/>
    <xf numFmtId="8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44" fontId="5" fillId="0" borderId="4" xfId="0" applyNumberFormat="1" applyFont="1" applyBorder="1" applyAlignment="1">
      <alignment horizontal="right" wrapText="1"/>
    </xf>
    <xf numFmtId="166" fontId="17" fillId="3" borderId="0" xfId="0" applyNumberFormat="1" applyFont="1" applyFill="1" applyBorder="1" applyAlignment="1">
      <alignment horizontal="right"/>
    </xf>
    <xf numFmtId="166" fontId="17" fillId="3" borderId="25" xfId="0" applyNumberFormat="1" applyFont="1" applyFill="1" applyBorder="1" applyAlignment="1">
      <alignment horizontal="right"/>
    </xf>
    <xf numFmtId="44" fontId="20" fillId="3" borderId="17" xfId="1" applyFont="1" applyFill="1" applyBorder="1"/>
    <xf numFmtId="44" fontId="20" fillId="3" borderId="17" xfId="1" applyFont="1" applyFill="1" applyBorder="1" applyAlignment="1">
      <alignment horizontal="right"/>
    </xf>
    <xf numFmtId="166" fontId="6" fillId="3" borderId="24" xfId="0" applyNumberFormat="1" applyFont="1" applyFill="1" applyBorder="1"/>
    <xf numFmtId="6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22E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000"/>
              <a:t>Prevented Tons of Waste and Cost of Removal Over</a:t>
            </a:r>
            <a:r>
              <a:rPr lang="en-US" sz="3000" baseline="0"/>
              <a:t> 60 Months </a:t>
            </a:r>
            <a:endParaRPr lang="en-US" sz="3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'Proposal Info'!$S$2:$S$5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cat>
          <c:val>
            <c:numRef>
              <c:f>'Proposal Info'!$W$2:$W$5</c:f>
              <c:numCache>
                <c:formatCode>0.0</c:formatCode>
                <c:ptCount val="4"/>
                <c:pt idx="0">
                  <c:v>6.6517499999999998</c:v>
                </c:pt>
                <c:pt idx="1">
                  <c:v>13.3035</c:v>
                </c:pt>
                <c:pt idx="2">
                  <c:v>19.955249999999999</c:v>
                </c:pt>
                <c:pt idx="3">
                  <c:v>26.606999999999999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F-451B-84D9-F017BBA3E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90632"/>
        <c:axId val="59828964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687711890515982E-2"/>
                  <c:y val="-4.8477862609383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DF-451B-84D9-F017BBA3EFE5}"/>
                </c:ext>
              </c:extLst>
            </c:dLbl>
            <c:dLbl>
              <c:idx val="1"/>
              <c:layout>
                <c:manualLayout>
                  <c:x val="-7.3064080993771582E-2"/>
                  <c:y val="-5.5150948876114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DF-451B-84D9-F017BBA3EFE5}"/>
                </c:ext>
              </c:extLst>
            </c:dLbl>
            <c:dLbl>
              <c:idx val="2"/>
              <c:layout>
                <c:manualLayout>
                  <c:x val="-5.2258279959381544E-2"/>
                  <c:y val="-6.1945113793633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DF-451B-84D9-F017BBA3EFE5}"/>
                </c:ext>
              </c:extLst>
            </c:dLbl>
            <c:dLbl>
              <c:idx val="3"/>
              <c:layout>
                <c:manualLayout>
                  <c:x val="-5.2258279959381461E-2"/>
                  <c:y val="-6.5311926589695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DF-451B-84D9-F017BBA3E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'Proposal Info'!$S$2:$S$5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cat>
          <c:val>
            <c:numRef>
              <c:f>'Proposal Info'!$X$2:$X$5</c:f>
              <c:numCache>
                <c:formatCode>"$"#,##0</c:formatCode>
                <c:ptCount val="4"/>
                <c:pt idx="0">
                  <c:v>532.14</c:v>
                </c:pt>
                <c:pt idx="1">
                  <c:v>1064.28</c:v>
                </c:pt>
                <c:pt idx="2">
                  <c:v>1596.42</c:v>
                </c:pt>
                <c:pt idx="3">
                  <c:v>2128.56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F-451B-84D9-F017BBA3E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232576"/>
        <c:axId val="598240448"/>
      </c:lineChart>
      <c:catAx>
        <c:axId val="598290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600"/>
                  <a:t>Community Participation in</a:t>
                </a:r>
                <a:r>
                  <a:rPr lang="en-US" sz="2600" baseline="0"/>
                  <a:t> Reusable Container Program</a:t>
                </a:r>
                <a:endParaRPr lang="en-US" sz="2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89648"/>
        <c:crosses val="autoZero"/>
        <c:auto val="1"/>
        <c:lblAlgn val="ctr"/>
        <c:lblOffset val="100"/>
        <c:noMultiLvlLbl val="0"/>
      </c:catAx>
      <c:valAx>
        <c:axId val="59828964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90632"/>
        <c:crosses val="autoZero"/>
        <c:crossBetween val="between"/>
      </c:valAx>
      <c:valAx>
        <c:axId val="598240448"/>
        <c:scaling>
          <c:orientation val="minMax"/>
        </c:scaling>
        <c:delete val="0"/>
        <c:axPos val="r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32576"/>
        <c:crosses val="max"/>
        <c:crossBetween val="between"/>
      </c:valAx>
      <c:catAx>
        <c:axId val="5982325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982404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/>
              <a:t>Savings on Disposable Containers Over 60 Months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502672151509281E-3"/>
                  <c:y val="-1.150992587438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48-4969-AC82-B751CADA2B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'Proposal Info'!$S$2:$S$5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cat>
          <c:val>
            <c:numRef>
              <c:f>'Proposal Info'!$T$2:$T$5</c:f>
              <c:numCache>
                <c:formatCode>"$"#,##0_);[Red]\("$"#,##0\)</c:formatCode>
                <c:ptCount val="4"/>
                <c:pt idx="0">
                  <c:v>296.51249999980791</c:v>
                </c:pt>
                <c:pt idx="1">
                  <c:v>38260.02499999998</c:v>
                </c:pt>
                <c:pt idx="2">
                  <c:v>76223.537499999977</c:v>
                </c:pt>
                <c:pt idx="3">
                  <c:v>114187.04999999996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8-4969-AC82-B751CADA2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66360"/>
        <c:axId val="598268000"/>
      </c:barChart>
      <c:catAx>
        <c:axId val="598266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 i="0" baseline="0">
                    <a:effectLst/>
                  </a:rPr>
                  <a:t>Community Participation in Reusable Container Program</a:t>
                </a:r>
                <a:endParaRPr lang="en-US" sz="2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000"/>
        <c:crosses val="autoZero"/>
        <c:auto val="1"/>
        <c:lblAlgn val="ctr"/>
        <c:lblOffset val="100"/>
        <c:noMultiLvlLbl val="0"/>
      </c:catAx>
      <c:valAx>
        <c:axId val="598268000"/>
        <c:scaling>
          <c:orientation val="minMax"/>
        </c:scaling>
        <c:delete val="1"/>
        <c:axPos val="l"/>
        <c:numFmt formatCode="&quot;$&quot;#,##0_);[Red]\(&quot;$&quot;#,##0\)" sourceLinked="1"/>
        <c:majorTickMark val="none"/>
        <c:minorTickMark val="none"/>
        <c:tickLblPos val="nextTo"/>
        <c:crossAx val="5982663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/>
              <a:t>Cost Over Time Based on Percentage WPI Community Participation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Current Conditions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Sheet1!$I$6:$I$54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Sheet1!$L$6:$L$54</c:f>
              <c:numCache>
                <c:formatCode>"$"#,##0.00_);[Red]\("$"#,##0.00\)</c:formatCode>
                <c:ptCount val="49"/>
                <c:pt idx="0">
                  <c:v>3259.09</c:v>
                </c:pt>
                <c:pt idx="1">
                  <c:v>6518.18</c:v>
                </c:pt>
                <c:pt idx="2">
                  <c:v>9777.27</c:v>
                </c:pt>
                <c:pt idx="3">
                  <c:v>13036.36</c:v>
                </c:pt>
                <c:pt idx="4">
                  <c:v>16295.45</c:v>
                </c:pt>
                <c:pt idx="5">
                  <c:v>19554.54</c:v>
                </c:pt>
                <c:pt idx="6">
                  <c:v>22813.63</c:v>
                </c:pt>
                <c:pt idx="7">
                  <c:v>26072.720000000001</c:v>
                </c:pt>
                <c:pt idx="8">
                  <c:v>29331.81</c:v>
                </c:pt>
                <c:pt idx="9">
                  <c:v>32590.9</c:v>
                </c:pt>
                <c:pt idx="10">
                  <c:v>35849.990000000005</c:v>
                </c:pt>
                <c:pt idx="11">
                  <c:v>39109.08</c:v>
                </c:pt>
                <c:pt idx="12">
                  <c:v>42368.17</c:v>
                </c:pt>
                <c:pt idx="13">
                  <c:v>45627.259999999995</c:v>
                </c:pt>
                <c:pt idx="14">
                  <c:v>48886.349999999991</c:v>
                </c:pt>
                <c:pt idx="15">
                  <c:v>52145.439999999988</c:v>
                </c:pt>
                <c:pt idx="16">
                  <c:v>55404.529999999984</c:v>
                </c:pt>
                <c:pt idx="17">
                  <c:v>58663.619999999981</c:v>
                </c:pt>
                <c:pt idx="18">
                  <c:v>61922.709999999977</c:v>
                </c:pt>
                <c:pt idx="19">
                  <c:v>65181.799999999974</c:v>
                </c:pt>
                <c:pt idx="20">
                  <c:v>68440.88999999997</c:v>
                </c:pt>
                <c:pt idx="21">
                  <c:v>71699.979999999967</c:v>
                </c:pt>
                <c:pt idx="22">
                  <c:v>74959.069999999963</c:v>
                </c:pt>
                <c:pt idx="23">
                  <c:v>78218.15999999996</c:v>
                </c:pt>
                <c:pt idx="24">
                  <c:v>81477.249999999956</c:v>
                </c:pt>
                <c:pt idx="25">
                  <c:v>84736.339999999953</c:v>
                </c:pt>
                <c:pt idx="26">
                  <c:v>87995.429999999949</c:v>
                </c:pt>
                <c:pt idx="27">
                  <c:v>91254.519999999946</c:v>
                </c:pt>
                <c:pt idx="28">
                  <c:v>94513.609999999942</c:v>
                </c:pt>
                <c:pt idx="29">
                  <c:v>97772.699999999939</c:v>
                </c:pt>
                <c:pt idx="30">
                  <c:v>101031.78999999994</c:v>
                </c:pt>
                <c:pt idx="31">
                  <c:v>104290.87999999993</c:v>
                </c:pt>
                <c:pt idx="32">
                  <c:v>107549.96999999993</c:v>
                </c:pt>
                <c:pt idx="33">
                  <c:v>110809.05999999992</c:v>
                </c:pt>
                <c:pt idx="34">
                  <c:v>114068.14999999992</c:v>
                </c:pt>
                <c:pt idx="35">
                  <c:v>117327.23999999992</c:v>
                </c:pt>
                <c:pt idx="36">
                  <c:v>120586.32999999991</c:v>
                </c:pt>
                <c:pt idx="37">
                  <c:v>123845.41999999991</c:v>
                </c:pt>
                <c:pt idx="38">
                  <c:v>127104.50999999991</c:v>
                </c:pt>
                <c:pt idx="39">
                  <c:v>130363.5999999999</c:v>
                </c:pt>
                <c:pt idx="40">
                  <c:v>133622.68999999992</c:v>
                </c:pt>
                <c:pt idx="41">
                  <c:v>136881.77999999991</c:v>
                </c:pt>
                <c:pt idx="42">
                  <c:v>140140.86999999991</c:v>
                </c:pt>
                <c:pt idx="43">
                  <c:v>143399.9599999999</c:v>
                </c:pt>
                <c:pt idx="44">
                  <c:v>146659.0499999999</c:v>
                </c:pt>
                <c:pt idx="45">
                  <c:v>149918.1399999999</c:v>
                </c:pt>
                <c:pt idx="46">
                  <c:v>153177.22999999989</c:v>
                </c:pt>
                <c:pt idx="47">
                  <c:v>156436.31999999989</c:v>
                </c:pt>
                <c:pt idx="48">
                  <c:v>159695.40999999989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68-4F5F-B1F5-28C0C56AB308}"/>
            </c:ext>
          </c:extLst>
        </c:ser>
        <c:ser>
          <c:idx val="2"/>
          <c:order val="2"/>
          <c:tx>
            <c:v>25% Participation (Purchased)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Sheet1!$I$6:$I$54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Sheet1!$R$6:$R$54</c:f>
              <c:numCache>
                <c:formatCode>"$"#,##0.00_);[Red]\("$"#,##0.00\)</c:formatCode>
                <c:ptCount val="49"/>
                <c:pt idx="0">
                  <c:v>22973.32</c:v>
                </c:pt>
                <c:pt idx="1">
                  <c:v>25526.639999999999</c:v>
                </c:pt>
                <c:pt idx="2">
                  <c:v>28079.96</c:v>
                </c:pt>
                <c:pt idx="3">
                  <c:v>30633.279999999999</c:v>
                </c:pt>
                <c:pt idx="4">
                  <c:v>33186.6</c:v>
                </c:pt>
                <c:pt idx="5">
                  <c:v>35739.919999999998</c:v>
                </c:pt>
                <c:pt idx="6">
                  <c:v>38293.240000000005</c:v>
                </c:pt>
                <c:pt idx="7">
                  <c:v>40846.559999999998</c:v>
                </c:pt>
                <c:pt idx="8">
                  <c:v>43399.880000000005</c:v>
                </c:pt>
                <c:pt idx="9">
                  <c:v>45953.2</c:v>
                </c:pt>
                <c:pt idx="10">
                  <c:v>48506.520000000004</c:v>
                </c:pt>
                <c:pt idx="11">
                  <c:v>51059.839999999997</c:v>
                </c:pt>
                <c:pt idx="12">
                  <c:v>53613.16</c:v>
                </c:pt>
                <c:pt idx="13">
                  <c:v>56166.48</c:v>
                </c:pt>
                <c:pt idx="14">
                  <c:v>58719.8</c:v>
                </c:pt>
                <c:pt idx="15">
                  <c:v>61273.120000000003</c:v>
                </c:pt>
                <c:pt idx="16">
                  <c:v>63826.44</c:v>
                </c:pt>
                <c:pt idx="17">
                  <c:v>66379.760000000009</c:v>
                </c:pt>
                <c:pt idx="18">
                  <c:v>68933.08</c:v>
                </c:pt>
                <c:pt idx="19">
                  <c:v>72336.399999999994</c:v>
                </c:pt>
                <c:pt idx="20">
                  <c:v>74889.72</c:v>
                </c:pt>
                <c:pt idx="21">
                  <c:v>77443.040000000008</c:v>
                </c:pt>
                <c:pt idx="22">
                  <c:v>79996.36</c:v>
                </c:pt>
                <c:pt idx="23">
                  <c:v>82549.679999999993</c:v>
                </c:pt>
                <c:pt idx="24">
                  <c:v>85103</c:v>
                </c:pt>
                <c:pt idx="25">
                  <c:v>87656.320000000007</c:v>
                </c:pt>
                <c:pt idx="26">
                  <c:v>90209.64</c:v>
                </c:pt>
                <c:pt idx="27">
                  <c:v>92762.96</c:v>
                </c:pt>
                <c:pt idx="28">
                  <c:v>95316.28</c:v>
                </c:pt>
                <c:pt idx="29">
                  <c:v>97869.6</c:v>
                </c:pt>
                <c:pt idx="30">
                  <c:v>100422.92</c:v>
                </c:pt>
                <c:pt idx="31">
                  <c:v>102976.24</c:v>
                </c:pt>
                <c:pt idx="32">
                  <c:v>105529.56</c:v>
                </c:pt>
                <c:pt idx="33">
                  <c:v>108082.88</c:v>
                </c:pt>
                <c:pt idx="34">
                  <c:v>110636.2</c:v>
                </c:pt>
                <c:pt idx="35">
                  <c:v>113189.52</c:v>
                </c:pt>
                <c:pt idx="36">
                  <c:v>115742.84</c:v>
                </c:pt>
                <c:pt idx="37">
                  <c:v>119146.16</c:v>
                </c:pt>
                <c:pt idx="38">
                  <c:v>121699.48</c:v>
                </c:pt>
                <c:pt idx="39">
                  <c:v>124252.8</c:v>
                </c:pt>
                <c:pt idx="40">
                  <c:v>126806.12</c:v>
                </c:pt>
                <c:pt idx="41">
                  <c:v>129359.44</c:v>
                </c:pt>
                <c:pt idx="42">
                  <c:v>131912.76</c:v>
                </c:pt>
                <c:pt idx="43">
                  <c:v>134466.08000000002</c:v>
                </c:pt>
                <c:pt idx="44">
                  <c:v>137019.4</c:v>
                </c:pt>
                <c:pt idx="45">
                  <c:v>139572.72</c:v>
                </c:pt>
                <c:pt idx="46">
                  <c:v>142126.03999999998</c:v>
                </c:pt>
                <c:pt idx="47">
                  <c:v>144679.35999999999</c:v>
                </c:pt>
                <c:pt idx="48">
                  <c:v>147232.68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68-4F5F-B1F5-28C0C56AB308}"/>
            </c:ext>
          </c:extLst>
        </c:ser>
        <c:ser>
          <c:idx val="3"/>
          <c:order val="3"/>
          <c:tx>
            <c:v>50% Participation (Purchased)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Sheet1!$I$6:$I$54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Sheet1!$U$6:$U$54</c:f>
              <c:numCache>
                <c:formatCode>"$"#,##0.00_);[Red]\("$"#,##0.00\)</c:formatCode>
                <c:ptCount val="49"/>
                <c:pt idx="0">
                  <c:v>22158.55</c:v>
                </c:pt>
                <c:pt idx="1">
                  <c:v>23897.1</c:v>
                </c:pt>
                <c:pt idx="2">
                  <c:v>25635.65</c:v>
                </c:pt>
                <c:pt idx="3">
                  <c:v>27374.2</c:v>
                </c:pt>
                <c:pt idx="4">
                  <c:v>29112.75</c:v>
                </c:pt>
                <c:pt idx="5">
                  <c:v>30851.3</c:v>
                </c:pt>
                <c:pt idx="6">
                  <c:v>32589.85</c:v>
                </c:pt>
                <c:pt idx="7">
                  <c:v>34328.400000000001</c:v>
                </c:pt>
                <c:pt idx="8">
                  <c:v>36066.949999999997</c:v>
                </c:pt>
                <c:pt idx="9">
                  <c:v>37805.5</c:v>
                </c:pt>
                <c:pt idx="10">
                  <c:v>39544.050000000003</c:v>
                </c:pt>
                <c:pt idx="11">
                  <c:v>41282.6</c:v>
                </c:pt>
                <c:pt idx="12">
                  <c:v>43021.15</c:v>
                </c:pt>
                <c:pt idx="13">
                  <c:v>44759.7</c:v>
                </c:pt>
                <c:pt idx="14">
                  <c:v>46498.25</c:v>
                </c:pt>
                <c:pt idx="15">
                  <c:v>48236.800000000003</c:v>
                </c:pt>
                <c:pt idx="16">
                  <c:v>49975.35</c:v>
                </c:pt>
                <c:pt idx="17">
                  <c:v>51713.9</c:v>
                </c:pt>
                <c:pt idx="18">
                  <c:v>53452.45</c:v>
                </c:pt>
                <c:pt idx="19">
                  <c:v>56891</c:v>
                </c:pt>
                <c:pt idx="20">
                  <c:v>58629.55</c:v>
                </c:pt>
                <c:pt idx="21">
                  <c:v>60368.1</c:v>
                </c:pt>
                <c:pt idx="22">
                  <c:v>62106.65</c:v>
                </c:pt>
                <c:pt idx="23">
                  <c:v>63845.2</c:v>
                </c:pt>
                <c:pt idx="24">
                  <c:v>65583.75</c:v>
                </c:pt>
                <c:pt idx="25">
                  <c:v>67322.3</c:v>
                </c:pt>
                <c:pt idx="26">
                  <c:v>69060.850000000006</c:v>
                </c:pt>
                <c:pt idx="27">
                  <c:v>70799.399999999994</c:v>
                </c:pt>
                <c:pt idx="28">
                  <c:v>72537.95</c:v>
                </c:pt>
                <c:pt idx="29">
                  <c:v>74276.5</c:v>
                </c:pt>
                <c:pt idx="30">
                  <c:v>76015.05</c:v>
                </c:pt>
                <c:pt idx="31">
                  <c:v>77753.600000000006</c:v>
                </c:pt>
                <c:pt idx="32">
                  <c:v>79492.149999999994</c:v>
                </c:pt>
                <c:pt idx="33">
                  <c:v>81230.7</c:v>
                </c:pt>
                <c:pt idx="34">
                  <c:v>82969.25</c:v>
                </c:pt>
                <c:pt idx="35">
                  <c:v>84707.8</c:v>
                </c:pt>
                <c:pt idx="36">
                  <c:v>86446.35</c:v>
                </c:pt>
                <c:pt idx="37">
                  <c:v>89884.9</c:v>
                </c:pt>
                <c:pt idx="38">
                  <c:v>91623.45</c:v>
                </c:pt>
                <c:pt idx="39">
                  <c:v>93362</c:v>
                </c:pt>
                <c:pt idx="40">
                  <c:v>95100.55</c:v>
                </c:pt>
                <c:pt idx="41">
                  <c:v>96839.1</c:v>
                </c:pt>
                <c:pt idx="42">
                  <c:v>98577.65</c:v>
                </c:pt>
                <c:pt idx="43">
                  <c:v>100316.2</c:v>
                </c:pt>
                <c:pt idx="44">
                  <c:v>102054.75</c:v>
                </c:pt>
                <c:pt idx="45">
                  <c:v>103793.3</c:v>
                </c:pt>
                <c:pt idx="46">
                  <c:v>105531.85</c:v>
                </c:pt>
                <c:pt idx="47">
                  <c:v>107270.39999999999</c:v>
                </c:pt>
                <c:pt idx="48">
                  <c:v>109008.95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68-4F5F-B1F5-28C0C56AB308}"/>
            </c:ext>
          </c:extLst>
        </c:ser>
        <c:ser>
          <c:idx val="9"/>
          <c:order val="4"/>
          <c:tx>
            <c:v>100% Participation (Purchased)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Sheet1!$Y$6:$Y$54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Sheet1!$X$6:$X$54</c:f>
              <c:numCache>
                <c:formatCode>"$"#,##0.00_);[Red]\("$"#,##0.00\)</c:formatCode>
                <c:ptCount val="49"/>
                <c:pt idx="0">
                  <c:v>20529</c:v>
                </c:pt>
                <c:pt idx="1">
                  <c:v>20638</c:v>
                </c:pt>
                <c:pt idx="2">
                  <c:v>20747</c:v>
                </c:pt>
                <c:pt idx="3">
                  <c:v>20856</c:v>
                </c:pt>
                <c:pt idx="4">
                  <c:v>20965</c:v>
                </c:pt>
                <c:pt idx="5">
                  <c:v>21074</c:v>
                </c:pt>
                <c:pt idx="6">
                  <c:v>21183</c:v>
                </c:pt>
                <c:pt idx="7">
                  <c:v>21292</c:v>
                </c:pt>
                <c:pt idx="8">
                  <c:v>21401</c:v>
                </c:pt>
                <c:pt idx="9">
                  <c:v>21510</c:v>
                </c:pt>
                <c:pt idx="10">
                  <c:v>21619</c:v>
                </c:pt>
                <c:pt idx="11">
                  <c:v>21728</c:v>
                </c:pt>
                <c:pt idx="12">
                  <c:v>21837</c:v>
                </c:pt>
                <c:pt idx="13">
                  <c:v>21946</c:v>
                </c:pt>
                <c:pt idx="14">
                  <c:v>22055</c:v>
                </c:pt>
                <c:pt idx="15">
                  <c:v>22164</c:v>
                </c:pt>
                <c:pt idx="16">
                  <c:v>22273</c:v>
                </c:pt>
                <c:pt idx="17">
                  <c:v>22382</c:v>
                </c:pt>
                <c:pt idx="18">
                  <c:v>22491</c:v>
                </c:pt>
                <c:pt idx="19">
                  <c:v>26000</c:v>
                </c:pt>
                <c:pt idx="20">
                  <c:v>26109</c:v>
                </c:pt>
                <c:pt idx="21">
                  <c:v>26218</c:v>
                </c:pt>
                <c:pt idx="22">
                  <c:v>26327</c:v>
                </c:pt>
                <c:pt idx="23">
                  <c:v>26436</c:v>
                </c:pt>
                <c:pt idx="24">
                  <c:v>26545</c:v>
                </c:pt>
                <c:pt idx="25">
                  <c:v>26654</c:v>
                </c:pt>
                <c:pt idx="26">
                  <c:v>26763</c:v>
                </c:pt>
                <c:pt idx="27">
                  <c:v>26872</c:v>
                </c:pt>
                <c:pt idx="28">
                  <c:v>26981</c:v>
                </c:pt>
                <c:pt idx="29">
                  <c:v>27090</c:v>
                </c:pt>
                <c:pt idx="30">
                  <c:v>27199</c:v>
                </c:pt>
                <c:pt idx="31">
                  <c:v>27308</c:v>
                </c:pt>
                <c:pt idx="32">
                  <c:v>27417</c:v>
                </c:pt>
                <c:pt idx="33">
                  <c:v>27526</c:v>
                </c:pt>
                <c:pt idx="34">
                  <c:v>27635</c:v>
                </c:pt>
                <c:pt idx="35">
                  <c:v>27744</c:v>
                </c:pt>
                <c:pt idx="36">
                  <c:v>27853</c:v>
                </c:pt>
                <c:pt idx="37">
                  <c:v>31362</c:v>
                </c:pt>
                <c:pt idx="38">
                  <c:v>31471</c:v>
                </c:pt>
                <c:pt idx="39">
                  <c:v>31580</c:v>
                </c:pt>
                <c:pt idx="40">
                  <c:v>31689</c:v>
                </c:pt>
                <c:pt idx="41">
                  <c:v>31798</c:v>
                </c:pt>
                <c:pt idx="42">
                  <c:v>31907</c:v>
                </c:pt>
                <c:pt idx="43">
                  <c:v>32016</c:v>
                </c:pt>
                <c:pt idx="44">
                  <c:v>32125</c:v>
                </c:pt>
                <c:pt idx="45">
                  <c:v>32234</c:v>
                </c:pt>
                <c:pt idx="46">
                  <c:v>32343</c:v>
                </c:pt>
                <c:pt idx="47">
                  <c:v>32452</c:v>
                </c:pt>
                <c:pt idx="48">
                  <c:v>32561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31-497A-99F1-F57F7DADD208}"/>
            </c:ext>
          </c:extLst>
        </c:ser>
        <c:ser>
          <c:idx val="7"/>
          <c:order val="8"/>
          <c:tx>
            <c:v>25% Participation (Rented)</c:v>
          </c:tx>
          <c:spPr>
            <a:ln w="285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Sheet1!$Y$6:$Y$54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Sheet1!$AH$6:$AH$54</c:f>
              <c:numCache>
                <c:formatCode>"$"#,##0.00_);[Red]\("$"#,##0.00\)</c:formatCode>
                <c:ptCount val="49"/>
                <c:pt idx="0">
                  <c:v>6074.32</c:v>
                </c:pt>
                <c:pt idx="1">
                  <c:v>9017.64</c:v>
                </c:pt>
                <c:pt idx="2">
                  <c:v>11960.96</c:v>
                </c:pt>
                <c:pt idx="3">
                  <c:v>14904.28</c:v>
                </c:pt>
                <c:pt idx="4">
                  <c:v>17847.599999999999</c:v>
                </c:pt>
                <c:pt idx="5">
                  <c:v>20790.919999999998</c:v>
                </c:pt>
                <c:pt idx="6">
                  <c:v>23734.240000000002</c:v>
                </c:pt>
                <c:pt idx="7">
                  <c:v>26677.56</c:v>
                </c:pt>
                <c:pt idx="8">
                  <c:v>29620.880000000001</c:v>
                </c:pt>
                <c:pt idx="9">
                  <c:v>32564.2</c:v>
                </c:pt>
                <c:pt idx="10">
                  <c:v>35507.520000000004</c:v>
                </c:pt>
                <c:pt idx="11">
                  <c:v>38450.839999999997</c:v>
                </c:pt>
                <c:pt idx="12">
                  <c:v>41394.160000000003</c:v>
                </c:pt>
                <c:pt idx="13">
                  <c:v>44337.48</c:v>
                </c:pt>
                <c:pt idx="14">
                  <c:v>47280.800000000003</c:v>
                </c:pt>
                <c:pt idx="15">
                  <c:v>50224.12</c:v>
                </c:pt>
                <c:pt idx="16">
                  <c:v>53167.44</c:v>
                </c:pt>
                <c:pt idx="17">
                  <c:v>56110.76</c:v>
                </c:pt>
                <c:pt idx="18">
                  <c:v>59054.080000000002</c:v>
                </c:pt>
                <c:pt idx="19">
                  <c:v>62847.4</c:v>
                </c:pt>
                <c:pt idx="20">
                  <c:v>65790.720000000001</c:v>
                </c:pt>
                <c:pt idx="21">
                  <c:v>68734.040000000008</c:v>
                </c:pt>
                <c:pt idx="22">
                  <c:v>71677.36</c:v>
                </c:pt>
                <c:pt idx="23">
                  <c:v>74620.679999999993</c:v>
                </c:pt>
                <c:pt idx="24">
                  <c:v>77564</c:v>
                </c:pt>
                <c:pt idx="25">
                  <c:v>80507.320000000007</c:v>
                </c:pt>
                <c:pt idx="26">
                  <c:v>83450.64</c:v>
                </c:pt>
                <c:pt idx="27">
                  <c:v>86393.96</c:v>
                </c:pt>
                <c:pt idx="28">
                  <c:v>89337.279999999999</c:v>
                </c:pt>
                <c:pt idx="29">
                  <c:v>92280.6</c:v>
                </c:pt>
                <c:pt idx="30">
                  <c:v>95223.92</c:v>
                </c:pt>
                <c:pt idx="31">
                  <c:v>98167.24</c:v>
                </c:pt>
                <c:pt idx="32">
                  <c:v>101110.56</c:v>
                </c:pt>
                <c:pt idx="33">
                  <c:v>104053.88</c:v>
                </c:pt>
                <c:pt idx="34">
                  <c:v>106997.2</c:v>
                </c:pt>
                <c:pt idx="35">
                  <c:v>109940.52</c:v>
                </c:pt>
                <c:pt idx="36">
                  <c:v>112883.84</c:v>
                </c:pt>
                <c:pt idx="37">
                  <c:v>116677.16</c:v>
                </c:pt>
                <c:pt idx="38">
                  <c:v>119620.48</c:v>
                </c:pt>
                <c:pt idx="39">
                  <c:v>122563.8</c:v>
                </c:pt>
                <c:pt idx="40">
                  <c:v>125507.12</c:v>
                </c:pt>
                <c:pt idx="41">
                  <c:v>128450.44</c:v>
                </c:pt>
                <c:pt idx="42">
                  <c:v>131393.76</c:v>
                </c:pt>
                <c:pt idx="43">
                  <c:v>134337.08000000002</c:v>
                </c:pt>
                <c:pt idx="44">
                  <c:v>137280.4</c:v>
                </c:pt>
                <c:pt idx="45">
                  <c:v>140223.72</c:v>
                </c:pt>
                <c:pt idx="46">
                  <c:v>143167.03999999998</c:v>
                </c:pt>
                <c:pt idx="47">
                  <c:v>146110.35999999999</c:v>
                </c:pt>
                <c:pt idx="48">
                  <c:v>149053.68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3B-4CCF-80D5-1214B27A09EE}"/>
            </c:ext>
          </c:extLst>
        </c:ser>
        <c:ser>
          <c:idx val="8"/>
          <c:order val="9"/>
          <c:tx>
            <c:v>50% Participation (Rented)</c:v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Sheet1!$Y$6:$Y$54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Sheet1!$AK$6:$AK$54</c:f>
              <c:numCache>
                <c:formatCode>"$"#,##0.00_);[Red]\("$"#,##0.00\)</c:formatCode>
                <c:ptCount val="49"/>
                <c:pt idx="0">
                  <c:v>5259.55</c:v>
                </c:pt>
                <c:pt idx="1">
                  <c:v>7388.1</c:v>
                </c:pt>
                <c:pt idx="2">
                  <c:v>9516.65</c:v>
                </c:pt>
                <c:pt idx="3">
                  <c:v>11645.2</c:v>
                </c:pt>
                <c:pt idx="4">
                  <c:v>13773.75</c:v>
                </c:pt>
                <c:pt idx="5">
                  <c:v>15902.3</c:v>
                </c:pt>
                <c:pt idx="6">
                  <c:v>18030.849999999999</c:v>
                </c:pt>
                <c:pt idx="7">
                  <c:v>20159.400000000001</c:v>
                </c:pt>
                <c:pt idx="8">
                  <c:v>22287.95</c:v>
                </c:pt>
                <c:pt idx="9">
                  <c:v>24416.5</c:v>
                </c:pt>
                <c:pt idx="10">
                  <c:v>26545.05</c:v>
                </c:pt>
                <c:pt idx="11">
                  <c:v>28673.599999999999</c:v>
                </c:pt>
                <c:pt idx="12">
                  <c:v>30802.15</c:v>
                </c:pt>
                <c:pt idx="13">
                  <c:v>32930.699999999997</c:v>
                </c:pt>
                <c:pt idx="14">
                  <c:v>35059.25</c:v>
                </c:pt>
                <c:pt idx="15">
                  <c:v>37187.800000000003</c:v>
                </c:pt>
                <c:pt idx="16">
                  <c:v>39316.35</c:v>
                </c:pt>
                <c:pt idx="17">
                  <c:v>41444.9</c:v>
                </c:pt>
                <c:pt idx="18">
                  <c:v>43573.45</c:v>
                </c:pt>
                <c:pt idx="19">
                  <c:v>47402</c:v>
                </c:pt>
                <c:pt idx="20">
                  <c:v>49530.55</c:v>
                </c:pt>
                <c:pt idx="21">
                  <c:v>51659.1</c:v>
                </c:pt>
                <c:pt idx="22">
                  <c:v>53787.65</c:v>
                </c:pt>
                <c:pt idx="23">
                  <c:v>55916.2</c:v>
                </c:pt>
                <c:pt idx="24">
                  <c:v>58044.75</c:v>
                </c:pt>
                <c:pt idx="25">
                  <c:v>60173.3</c:v>
                </c:pt>
                <c:pt idx="26">
                  <c:v>62301.85</c:v>
                </c:pt>
                <c:pt idx="27">
                  <c:v>64430.400000000001</c:v>
                </c:pt>
                <c:pt idx="28">
                  <c:v>66558.95</c:v>
                </c:pt>
                <c:pt idx="29">
                  <c:v>68687.5</c:v>
                </c:pt>
                <c:pt idx="30">
                  <c:v>70816.05</c:v>
                </c:pt>
                <c:pt idx="31">
                  <c:v>72944.600000000006</c:v>
                </c:pt>
                <c:pt idx="32">
                  <c:v>75073.149999999994</c:v>
                </c:pt>
                <c:pt idx="33">
                  <c:v>77201.7</c:v>
                </c:pt>
                <c:pt idx="34">
                  <c:v>79330.25</c:v>
                </c:pt>
                <c:pt idx="35">
                  <c:v>81458.8</c:v>
                </c:pt>
                <c:pt idx="36">
                  <c:v>83587.350000000006</c:v>
                </c:pt>
                <c:pt idx="37">
                  <c:v>87415.9</c:v>
                </c:pt>
                <c:pt idx="38">
                  <c:v>89544.45</c:v>
                </c:pt>
                <c:pt idx="39">
                  <c:v>91673</c:v>
                </c:pt>
                <c:pt idx="40">
                  <c:v>93801.55</c:v>
                </c:pt>
                <c:pt idx="41">
                  <c:v>95930.1</c:v>
                </c:pt>
                <c:pt idx="42">
                  <c:v>98058.65</c:v>
                </c:pt>
                <c:pt idx="43">
                  <c:v>100187.2</c:v>
                </c:pt>
                <c:pt idx="44">
                  <c:v>102315.75</c:v>
                </c:pt>
                <c:pt idx="45">
                  <c:v>104444.3</c:v>
                </c:pt>
                <c:pt idx="46">
                  <c:v>106572.85</c:v>
                </c:pt>
                <c:pt idx="47">
                  <c:v>108701.4</c:v>
                </c:pt>
                <c:pt idx="48">
                  <c:v>110829.95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3B-4CCF-80D5-1214B27A09EE}"/>
            </c:ext>
          </c:extLst>
        </c:ser>
        <c:ser>
          <c:idx val="10"/>
          <c:order val="10"/>
          <c:tx>
            <c:v>100% Participation (Rented)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Sheet1!$Y$6:$Y$54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</c:numCache>
            </c:numRef>
          </c:xVal>
          <c:yVal>
            <c:numRef>
              <c:f>Sheet1!$AN$6:$AN$54</c:f>
              <c:numCache>
                <c:formatCode>"$"#,##0.00_);[Red]\("$"#,##0.00\)</c:formatCode>
                <c:ptCount val="49"/>
                <c:pt idx="0">
                  <c:v>3630</c:v>
                </c:pt>
                <c:pt idx="1">
                  <c:v>4129</c:v>
                </c:pt>
                <c:pt idx="2">
                  <c:v>4628</c:v>
                </c:pt>
                <c:pt idx="3">
                  <c:v>5127</c:v>
                </c:pt>
                <c:pt idx="4">
                  <c:v>5626</c:v>
                </c:pt>
                <c:pt idx="5">
                  <c:v>6125</c:v>
                </c:pt>
                <c:pt idx="6">
                  <c:v>6624</c:v>
                </c:pt>
                <c:pt idx="7">
                  <c:v>7123</c:v>
                </c:pt>
                <c:pt idx="8">
                  <c:v>7622</c:v>
                </c:pt>
                <c:pt idx="9">
                  <c:v>8121</c:v>
                </c:pt>
                <c:pt idx="10">
                  <c:v>8620</c:v>
                </c:pt>
                <c:pt idx="11">
                  <c:v>9119</c:v>
                </c:pt>
                <c:pt idx="12">
                  <c:v>9618</c:v>
                </c:pt>
                <c:pt idx="13">
                  <c:v>10117</c:v>
                </c:pt>
                <c:pt idx="14">
                  <c:v>10616</c:v>
                </c:pt>
                <c:pt idx="15">
                  <c:v>11115</c:v>
                </c:pt>
                <c:pt idx="16">
                  <c:v>11614</c:v>
                </c:pt>
                <c:pt idx="17">
                  <c:v>12113</c:v>
                </c:pt>
                <c:pt idx="18">
                  <c:v>12612</c:v>
                </c:pt>
                <c:pt idx="19">
                  <c:v>16511</c:v>
                </c:pt>
                <c:pt idx="20">
                  <c:v>17010</c:v>
                </c:pt>
                <c:pt idx="21">
                  <c:v>17509</c:v>
                </c:pt>
                <c:pt idx="22">
                  <c:v>18008</c:v>
                </c:pt>
                <c:pt idx="23">
                  <c:v>18507</c:v>
                </c:pt>
                <c:pt idx="24">
                  <c:v>19006</c:v>
                </c:pt>
                <c:pt idx="25">
                  <c:v>19505</c:v>
                </c:pt>
                <c:pt idx="26">
                  <c:v>20004</c:v>
                </c:pt>
                <c:pt idx="27">
                  <c:v>20503</c:v>
                </c:pt>
                <c:pt idx="28">
                  <c:v>21002</c:v>
                </c:pt>
                <c:pt idx="29">
                  <c:v>21501</c:v>
                </c:pt>
                <c:pt idx="30">
                  <c:v>22000</c:v>
                </c:pt>
                <c:pt idx="31">
                  <c:v>22499</c:v>
                </c:pt>
                <c:pt idx="32">
                  <c:v>22998</c:v>
                </c:pt>
                <c:pt idx="33">
                  <c:v>23497</c:v>
                </c:pt>
                <c:pt idx="34">
                  <c:v>23996</c:v>
                </c:pt>
                <c:pt idx="35">
                  <c:v>24495</c:v>
                </c:pt>
                <c:pt idx="36">
                  <c:v>24994</c:v>
                </c:pt>
                <c:pt idx="37">
                  <c:v>28893</c:v>
                </c:pt>
                <c:pt idx="38">
                  <c:v>29392</c:v>
                </c:pt>
                <c:pt idx="39">
                  <c:v>29891</c:v>
                </c:pt>
                <c:pt idx="40">
                  <c:v>30390</c:v>
                </c:pt>
                <c:pt idx="41">
                  <c:v>30889</c:v>
                </c:pt>
                <c:pt idx="42">
                  <c:v>31388</c:v>
                </c:pt>
                <c:pt idx="43">
                  <c:v>31887</c:v>
                </c:pt>
                <c:pt idx="44">
                  <c:v>32386</c:v>
                </c:pt>
                <c:pt idx="45">
                  <c:v>32885</c:v>
                </c:pt>
                <c:pt idx="46">
                  <c:v>33384</c:v>
                </c:pt>
                <c:pt idx="47">
                  <c:v>33883</c:v>
                </c:pt>
                <c:pt idx="48">
                  <c:v>34382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31-497A-99F1-F57F7DADD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890528"/>
        <c:axId val="48689085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10% Reusables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Sheet1!$I$6:$I$43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Sheet1!$O$6:$O$43</c15:sqref>
                        </c15:formulaRef>
                      </c:ext>
                    </c:extLst>
                    <c:numCache>
                      <c:formatCode>"$"#,##0.00_);[Red]\("$"#,##0.00\)</c:formatCode>
                      <c:ptCount val="38"/>
                      <c:pt idx="0">
                        <c:v>23462.181</c:v>
                      </c:pt>
                      <c:pt idx="1">
                        <c:v>26504.362000000001</c:v>
                      </c:pt>
                      <c:pt idx="2">
                        <c:v>29546.543000000001</c:v>
                      </c:pt>
                      <c:pt idx="3">
                        <c:v>32588.724000000002</c:v>
                      </c:pt>
                      <c:pt idx="4">
                        <c:v>35630.904999999999</c:v>
                      </c:pt>
                      <c:pt idx="5">
                        <c:v>38673.086000000003</c:v>
                      </c:pt>
                      <c:pt idx="6">
                        <c:v>41715.267000000007</c:v>
                      </c:pt>
                      <c:pt idx="7">
                        <c:v>44757.448000000004</c:v>
                      </c:pt>
                      <c:pt idx="8">
                        <c:v>47799.629000000001</c:v>
                      </c:pt>
                      <c:pt idx="9">
                        <c:v>50841.810000000005</c:v>
                      </c:pt>
                      <c:pt idx="10">
                        <c:v>53883.991000000009</c:v>
                      </c:pt>
                      <c:pt idx="11">
                        <c:v>56926.172000000006</c:v>
                      </c:pt>
                      <c:pt idx="12">
                        <c:v>59968.353000000003</c:v>
                      </c:pt>
                      <c:pt idx="13">
                        <c:v>63010.534</c:v>
                      </c:pt>
                      <c:pt idx="14">
                        <c:v>66052.714999999997</c:v>
                      </c:pt>
                      <c:pt idx="15">
                        <c:v>69094.895999999993</c:v>
                      </c:pt>
                      <c:pt idx="16">
                        <c:v>72137.07699999999</c:v>
                      </c:pt>
                      <c:pt idx="17">
                        <c:v>75179.257999999987</c:v>
                      </c:pt>
                      <c:pt idx="18">
                        <c:v>78221.438999999984</c:v>
                      </c:pt>
                      <c:pt idx="19">
                        <c:v>81603.619999999981</c:v>
                      </c:pt>
                      <c:pt idx="20">
                        <c:v>84645.800999999978</c:v>
                      </c:pt>
                      <c:pt idx="21">
                        <c:v>87687.981999999975</c:v>
                      </c:pt>
                      <c:pt idx="22">
                        <c:v>90730.162999999971</c:v>
                      </c:pt>
                      <c:pt idx="23">
                        <c:v>93772.343999999968</c:v>
                      </c:pt>
                      <c:pt idx="24">
                        <c:v>96814.524999999965</c:v>
                      </c:pt>
                      <c:pt idx="25">
                        <c:v>99856.705999999962</c:v>
                      </c:pt>
                      <c:pt idx="26">
                        <c:v>102898.88699999996</c:v>
                      </c:pt>
                      <c:pt idx="27">
                        <c:v>105941.06799999996</c:v>
                      </c:pt>
                      <c:pt idx="28">
                        <c:v>108983.24899999995</c:v>
                      </c:pt>
                      <c:pt idx="29">
                        <c:v>112025.42999999995</c:v>
                      </c:pt>
                      <c:pt idx="30">
                        <c:v>115067.61099999995</c:v>
                      </c:pt>
                      <c:pt idx="31">
                        <c:v>118109.79199999994</c:v>
                      </c:pt>
                      <c:pt idx="32">
                        <c:v>121151.97299999994</c:v>
                      </c:pt>
                      <c:pt idx="33">
                        <c:v>124194.15399999994</c:v>
                      </c:pt>
                      <c:pt idx="34">
                        <c:v>127236.33499999993</c:v>
                      </c:pt>
                      <c:pt idx="35">
                        <c:v>130278.51599999993</c:v>
                      </c:pt>
                      <c:pt idx="36">
                        <c:v>133320.69699999993</c:v>
                      </c:pt>
                      <c:pt idx="37">
                        <c:v>136702.87799999991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0068-4F5F-B1F5-28C0C56AB308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v>75% Reusables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Sheet1!$I$6:$I$43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Sheet1!$X$6:$X$43</c15:sqref>
                        </c15:formulaRef>
                      </c:ext>
                    </c:extLst>
                    <c:numCache>
                      <c:formatCode>"$"#,##0.00_);[Red]\("$"#,##0.00\)</c:formatCode>
                      <c:ptCount val="38"/>
                      <c:pt idx="0">
                        <c:v>20529</c:v>
                      </c:pt>
                      <c:pt idx="1">
                        <c:v>20638</c:v>
                      </c:pt>
                      <c:pt idx="2">
                        <c:v>20747</c:v>
                      </c:pt>
                      <c:pt idx="3">
                        <c:v>20856</c:v>
                      </c:pt>
                      <c:pt idx="4">
                        <c:v>20965</c:v>
                      </c:pt>
                      <c:pt idx="5">
                        <c:v>21074</c:v>
                      </c:pt>
                      <c:pt idx="6">
                        <c:v>21183</c:v>
                      </c:pt>
                      <c:pt idx="7">
                        <c:v>21292</c:v>
                      </c:pt>
                      <c:pt idx="8">
                        <c:v>21401</c:v>
                      </c:pt>
                      <c:pt idx="9">
                        <c:v>21510</c:v>
                      </c:pt>
                      <c:pt idx="10">
                        <c:v>21619</c:v>
                      </c:pt>
                      <c:pt idx="11">
                        <c:v>21728</c:v>
                      </c:pt>
                      <c:pt idx="12">
                        <c:v>21837</c:v>
                      </c:pt>
                      <c:pt idx="13">
                        <c:v>21946</c:v>
                      </c:pt>
                      <c:pt idx="14">
                        <c:v>22055</c:v>
                      </c:pt>
                      <c:pt idx="15">
                        <c:v>22164</c:v>
                      </c:pt>
                      <c:pt idx="16">
                        <c:v>22273</c:v>
                      </c:pt>
                      <c:pt idx="17">
                        <c:v>22382</c:v>
                      </c:pt>
                      <c:pt idx="18">
                        <c:v>22491</c:v>
                      </c:pt>
                      <c:pt idx="19">
                        <c:v>26000</c:v>
                      </c:pt>
                      <c:pt idx="20">
                        <c:v>26109</c:v>
                      </c:pt>
                      <c:pt idx="21">
                        <c:v>26218</c:v>
                      </c:pt>
                      <c:pt idx="22">
                        <c:v>26327</c:v>
                      </c:pt>
                      <c:pt idx="23">
                        <c:v>26436</c:v>
                      </c:pt>
                      <c:pt idx="24">
                        <c:v>26545</c:v>
                      </c:pt>
                      <c:pt idx="25">
                        <c:v>26654</c:v>
                      </c:pt>
                      <c:pt idx="26">
                        <c:v>26763</c:v>
                      </c:pt>
                      <c:pt idx="27">
                        <c:v>26872</c:v>
                      </c:pt>
                      <c:pt idx="28">
                        <c:v>26981</c:v>
                      </c:pt>
                      <c:pt idx="29">
                        <c:v>27090</c:v>
                      </c:pt>
                      <c:pt idx="30">
                        <c:v>27199</c:v>
                      </c:pt>
                      <c:pt idx="31">
                        <c:v>27308</c:v>
                      </c:pt>
                      <c:pt idx="32">
                        <c:v>27417</c:v>
                      </c:pt>
                      <c:pt idx="33">
                        <c:v>27526</c:v>
                      </c:pt>
                      <c:pt idx="34">
                        <c:v>27635</c:v>
                      </c:pt>
                      <c:pt idx="35">
                        <c:v>27744</c:v>
                      </c:pt>
                      <c:pt idx="36">
                        <c:v>27853</c:v>
                      </c:pt>
                      <c:pt idx="37">
                        <c:v>31362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068-4F5F-B1F5-28C0C56AB308}"/>
                  </c:ext>
                </c:extLst>
              </c15:ser>
            </c15:filteredScatterSeries>
            <c15:filteredScatterSeries>
              <c15:ser>
                <c:idx val="5"/>
                <c:order val="6"/>
                <c:tx>
                  <c:v>90% Reusables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Sheet1!$I$6:$I$43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Sheet1!$AA$6:$AA$43</c15:sqref>
                        </c15:formulaRef>
                      </c:ext>
                    </c:extLst>
                    <c:numCache>
                      <c:formatCode>"$"#,##0.00_);[Red]\("$"#,##0.00\)</c:formatCode>
                      <c:ptCount val="3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068-4F5F-B1F5-28C0C56AB308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10% Reusabled (Rented)</c:v>
                </c:tx>
                <c:spPr>
                  <a:ln w="19050" cap="rnd">
                    <a:solidFill>
                      <a:schemeClr val="accent2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Sheet1!$Y$6:$Y$43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Sheet1!$AE$6:$AE$43</c15:sqref>
                        </c15:formulaRef>
                      </c:ext>
                    </c:extLst>
                    <c:numCache>
                      <c:formatCode>"$"#,##0.00_);[Red]\("$"#,##0.00\)</c:formatCode>
                      <c:ptCount val="38"/>
                      <c:pt idx="0">
                        <c:v>6563.18</c:v>
                      </c:pt>
                      <c:pt idx="1">
                        <c:v>9995.36</c:v>
                      </c:pt>
                      <c:pt idx="2">
                        <c:v>13427.54</c:v>
                      </c:pt>
                      <c:pt idx="3">
                        <c:v>16859.72</c:v>
                      </c:pt>
                      <c:pt idx="4">
                        <c:v>20291.900000000001</c:v>
                      </c:pt>
                      <c:pt idx="5">
                        <c:v>23724.080000000002</c:v>
                      </c:pt>
                      <c:pt idx="6">
                        <c:v>27156.26</c:v>
                      </c:pt>
                      <c:pt idx="7">
                        <c:v>30588.44</c:v>
                      </c:pt>
                      <c:pt idx="8">
                        <c:v>34020.619999999995</c:v>
                      </c:pt>
                      <c:pt idx="9">
                        <c:v>37452.800000000003</c:v>
                      </c:pt>
                      <c:pt idx="10">
                        <c:v>40884.979999999996</c:v>
                      </c:pt>
                      <c:pt idx="11">
                        <c:v>44317.16</c:v>
                      </c:pt>
                      <c:pt idx="12">
                        <c:v>47749.34</c:v>
                      </c:pt>
                      <c:pt idx="13">
                        <c:v>51181.52</c:v>
                      </c:pt>
                      <c:pt idx="14">
                        <c:v>54613.7</c:v>
                      </c:pt>
                      <c:pt idx="15">
                        <c:v>58045.88</c:v>
                      </c:pt>
                      <c:pt idx="16">
                        <c:v>61478.06</c:v>
                      </c:pt>
                      <c:pt idx="17">
                        <c:v>64910.239999999998</c:v>
                      </c:pt>
                      <c:pt idx="18">
                        <c:v>68342.42</c:v>
                      </c:pt>
                      <c:pt idx="19">
                        <c:v>72114.600000000006</c:v>
                      </c:pt>
                      <c:pt idx="20">
                        <c:v>75546.78</c:v>
                      </c:pt>
                      <c:pt idx="21">
                        <c:v>78978.959999999992</c:v>
                      </c:pt>
                      <c:pt idx="22">
                        <c:v>82411.14</c:v>
                      </c:pt>
                      <c:pt idx="23">
                        <c:v>85843.32</c:v>
                      </c:pt>
                      <c:pt idx="24">
                        <c:v>89275.5</c:v>
                      </c:pt>
                      <c:pt idx="25">
                        <c:v>92707.68</c:v>
                      </c:pt>
                      <c:pt idx="26">
                        <c:v>96139.86</c:v>
                      </c:pt>
                      <c:pt idx="27">
                        <c:v>99572.04</c:v>
                      </c:pt>
                      <c:pt idx="28">
                        <c:v>103004.22</c:v>
                      </c:pt>
                      <c:pt idx="29">
                        <c:v>106436.4</c:v>
                      </c:pt>
                      <c:pt idx="30">
                        <c:v>109868.58</c:v>
                      </c:pt>
                      <c:pt idx="31">
                        <c:v>113300.76</c:v>
                      </c:pt>
                      <c:pt idx="32">
                        <c:v>116732.94</c:v>
                      </c:pt>
                      <c:pt idx="33">
                        <c:v>120165.12</c:v>
                      </c:pt>
                      <c:pt idx="34">
                        <c:v>123597.3</c:v>
                      </c:pt>
                      <c:pt idx="35">
                        <c:v>127029.48</c:v>
                      </c:pt>
                      <c:pt idx="36">
                        <c:v>130461.66</c:v>
                      </c:pt>
                      <c:pt idx="37">
                        <c:v>134233.84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13B-4CCF-80D5-1214B27A09EE}"/>
                  </c:ext>
                </c:extLst>
              </c15:ser>
            </c15:filteredScatterSeries>
          </c:ext>
        </c:extLst>
      </c:scatterChart>
      <c:valAx>
        <c:axId val="486890528"/>
        <c:scaling>
          <c:orientation val="minMax"/>
          <c:max val="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Time (Months)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890856"/>
        <c:crosses val="autoZero"/>
        <c:crossBetween val="midCat"/>
        <c:majorUnit val="6"/>
        <c:minorUnit val="6"/>
      </c:valAx>
      <c:valAx>
        <c:axId val="486890856"/>
        <c:scaling>
          <c:orientation val="minMax"/>
          <c:max val="2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Compounded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6890528"/>
        <c:crosses val="autoZero"/>
        <c:crossBetween val="midCat"/>
        <c:majorUnit val="25000"/>
        <c:minorUnit val="2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Prevented</a:t>
            </a:r>
            <a:r>
              <a:rPr lang="en-US" baseline="0"/>
              <a:t> Pounds</a:t>
            </a:r>
            <a:r>
              <a:rPr lang="en-US"/>
              <a:t> of Waste and Cost of Hauling</a:t>
            </a:r>
            <a:r>
              <a:rPr lang="en-US" baseline="0"/>
              <a:t> per M</a:t>
            </a:r>
            <a:r>
              <a:rPr lang="en-US"/>
              <a:t>onths vs </a:t>
            </a:r>
          </a:p>
          <a:p>
            <a:pPr>
              <a:defRPr/>
            </a:pPr>
            <a:r>
              <a:rPr lang="en-US"/>
              <a:t>Percentage of WPI Community Participation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Sheet1!$BF$5</c:f>
              <c:strCache>
                <c:ptCount val="1"/>
                <c:pt idx="0">
                  <c:v>Pounds of Waste Prevented per 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Sheet1!$BE$6:$BE$10</c:f>
              <c:numCache>
                <c:formatCode>0%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Sheet1!$BF$6:$BF$10</c:f>
              <c:numCache>
                <c:formatCode>0</c:formatCode>
                <c:ptCount val="5"/>
                <c:pt idx="0">
                  <c:v>112.7</c:v>
                </c:pt>
                <c:pt idx="1">
                  <c:v>281.75</c:v>
                </c:pt>
                <c:pt idx="2">
                  <c:v>563.5</c:v>
                </c:pt>
                <c:pt idx="3">
                  <c:v>845.25</c:v>
                </c:pt>
                <c:pt idx="4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F-4A2B-9AAD-865D5872D9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34260224"/>
        <c:axId val="634261536"/>
      </c:barChart>
      <c:lineChart>
        <c:grouping val="standard"/>
        <c:varyColors val="0"/>
        <c:ser>
          <c:idx val="1"/>
          <c:order val="1"/>
          <c:tx>
            <c:strRef>
              <c:f>Sheet1!$BG$5</c:f>
              <c:strCache>
                <c:ptCount val="1"/>
                <c:pt idx="0">
                  <c:v>Money Saved From Waste Managment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3654582239720038E-2"/>
                  <c:y val="-3.6289096675415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D3-49B3-AE92-5A855B49BDB7}"/>
                </c:ext>
              </c:extLst>
            </c:dLbl>
            <c:dLbl>
              <c:idx val="2"/>
              <c:layout>
                <c:manualLayout>
                  <c:x val="-3.4169582968795652E-2"/>
                  <c:y val="-3.9761318897637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D3-49B3-AE92-5A855B49BDB7}"/>
                </c:ext>
              </c:extLst>
            </c:dLbl>
            <c:dLbl>
              <c:idx val="3"/>
              <c:layout>
                <c:manualLayout>
                  <c:x val="-3.185476815398075E-2"/>
                  <c:y val="-4.3233541119860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D3-49B3-AE92-5A855B49BDB7}"/>
                </c:ext>
              </c:extLst>
            </c:dLbl>
            <c:dLbl>
              <c:idx val="4"/>
              <c:layout>
                <c:manualLayout>
                  <c:x val="-3.6983811541019658E-2"/>
                  <c:y val="-5.2104166280155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D3-49B3-AE92-5A855B49BD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Sheet1!$BE$6:$BE$10</c:f>
              <c:numCache>
                <c:formatCode>0%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Sheet1!$BG$6:$BG$10</c:f>
              <c:numCache>
                <c:formatCode>_("$"* #,##0.00_);_("$"* \(#,##0.00\);_("$"* "-"??_);_(@_)</c:formatCode>
                <c:ptCount val="5"/>
                <c:pt idx="0">
                  <c:v>4.508</c:v>
                </c:pt>
                <c:pt idx="1">
                  <c:v>11.27</c:v>
                </c:pt>
                <c:pt idx="2">
                  <c:v>22.54</c:v>
                </c:pt>
                <c:pt idx="3">
                  <c:v>33.809999999999995</c:v>
                </c:pt>
                <c:pt idx="4">
                  <c:v>45.08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3-49B3-AE92-5A855B49B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863192"/>
        <c:axId val="545865488"/>
      </c:lineChart>
      <c:catAx>
        <c:axId val="63426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/>
                  <a:t>Percentage Participating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261536"/>
        <c:crosses val="autoZero"/>
        <c:auto val="1"/>
        <c:lblAlgn val="ctr"/>
        <c:lblOffset val="100"/>
        <c:noMultiLvlLbl val="0"/>
      </c:catAx>
      <c:valAx>
        <c:axId val="63426153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260224"/>
        <c:crosses val="autoZero"/>
        <c:crossBetween val="between"/>
      </c:valAx>
      <c:valAx>
        <c:axId val="545865488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5863192"/>
        <c:crosses val="max"/>
        <c:crossBetween val="between"/>
      </c:valAx>
      <c:catAx>
        <c:axId val="545863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545865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Current Conditions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Sheet1!$I$73:$I$133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Sheet1!$L$73:$L$133</c:f>
              <c:numCache>
                <c:formatCode>"$"#,##0.00_);[Red]\("$"#,##0.00\)</c:formatCode>
                <c:ptCount val="61"/>
                <c:pt idx="0">
                  <c:v>0</c:v>
                </c:pt>
                <c:pt idx="1">
                  <c:v>2691.5260000000003</c:v>
                </c:pt>
                <c:pt idx="2">
                  <c:v>5383.0520000000006</c:v>
                </c:pt>
                <c:pt idx="3">
                  <c:v>8074.5780000000013</c:v>
                </c:pt>
                <c:pt idx="4">
                  <c:v>10766.104000000001</c:v>
                </c:pt>
                <c:pt idx="5">
                  <c:v>13457.630000000001</c:v>
                </c:pt>
                <c:pt idx="6">
                  <c:v>16149.156000000001</c:v>
                </c:pt>
                <c:pt idx="7">
                  <c:v>18840.682000000001</c:v>
                </c:pt>
                <c:pt idx="8">
                  <c:v>21532.208000000002</c:v>
                </c:pt>
                <c:pt idx="9">
                  <c:v>24223.734000000004</c:v>
                </c:pt>
                <c:pt idx="10">
                  <c:v>26915.260000000006</c:v>
                </c:pt>
                <c:pt idx="11">
                  <c:v>29606.786000000007</c:v>
                </c:pt>
                <c:pt idx="12">
                  <c:v>32298.312000000009</c:v>
                </c:pt>
                <c:pt idx="13">
                  <c:v>34989.838000000011</c:v>
                </c:pt>
                <c:pt idx="14">
                  <c:v>37681.364000000009</c:v>
                </c:pt>
                <c:pt idx="15">
                  <c:v>40372.890000000007</c:v>
                </c:pt>
                <c:pt idx="16">
                  <c:v>43064.416000000005</c:v>
                </c:pt>
                <c:pt idx="17">
                  <c:v>45755.942000000003</c:v>
                </c:pt>
                <c:pt idx="18">
                  <c:v>48447.468000000001</c:v>
                </c:pt>
                <c:pt idx="19">
                  <c:v>51138.993999999999</c:v>
                </c:pt>
                <c:pt idx="20">
                  <c:v>53830.52</c:v>
                </c:pt>
                <c:pt idx="21">
                  <c:v>56522.045999999995</c:v>
                </c:pt>
                <c:pt idx="22">
                  <c:v>59213.571999999993</c:v>
                </c:pt>
                <c:pt idx="23">
                  <c:v>61905.097999999991</c:v>
                </c:pt>
                <c:pt idx="24">
                  <c:v>64596.623999999989</c:v>
                </c:pt>
                <c:pt idx="25">
                  <c:v>67288.149999999994</c:v>
                </c:pt>
                <c:pt idx="26">
                  <c:v>69979.675999999992</c:v>
                </c:pt>
                <c:pt idx="27">
                  <c:v>72671.20199999999</c:v>
                </c:pt>
                <c:pt idx="28">
                  <c:v>75362.727999999988</c:v>
                </c:pt>
                <c:pt idx="29">
                  <c:v>78054.253999999986</c:v>
                </c:pt>
                <c:pt idx="30">
                  <c:v>80745.779999999984</c:v>
                </c:pt>
                <c:pt idx="31">
                  <c:v>83437.305999999982</c:v>
                </c:pt>
                <c:pt idx="32">
                  <c:v>86128.83199999998</c:v>
                </c:pt>
                <c:pt idx="33">
                  <c:v>88820.357999999978</c:v>
                </c:pt>
                <c:pt idx="34">
                  <c:v>91511.883999999976</c:v>
                </c:pt>
                <c:pt idx="35">
                  <c:v>94203.409999999974</c:v>
                </c:pt>
                <c:pt idx="36">
                  <c:v>96894.935999999972</c:v>
                </c:pt>
                <c:pt idx="37">
                  <c:v>99586.46199999997</c:v>
                </c:pt>
                <c:pt idx="38">
                  <c:v>102277.98799999997</c:v>
                </c:pt>
                <c:pt idx="39">
                  <c:v>104969.51399999997</c:v>
                </c:pt>
                <c:pt idx="40">
                  <c:v>107661.03999999996</c:v>
                </c:pt>
                <c:pt idx="41">
                  <c:v>110352.56599999996</c:v>
                </c:pt>
                <c:pt idx="42">
                  <c:v>113044.09199999996</c:v>
                </c:pt>
                <c:pt idx="43">
                  <c:v>115735.61799999996</c:v>
                </c:pt>
                <c:pt idx="44">
                  <c:v>118427.14399999996</c:v>
                </c:pt>
                <c:pt idx="45">
                  <c:v>121118.66999999995</c:v>
                </c:pt>
                <c:pt idx="46">
                  <c:v>123810.19599999995</c:v>
                </c:pt>
                <c:pt idx="47">
                  <c:v>126501.72199999995</c:v>
                </c:pt>
                <c:pt idx="48">
                  <c:v>129193.24799999995</c:v>
                </c:pt>
                <c:pt idx="49">
                  <c:v>131884.77399999995</c:v>
                </c:pt>
                <c:pt idx="50">
                  <c:v>134576.29999999996</c:v>
                </c:pt>
                <c:pt idx="51">
                  <c:v>137267.82599999997</c:v>
                </c:pt>
                <c:pt idx="52">
                  <c:v>139959.35199999998</c:v>
                </c:pt>
                <c:pt idx="53">
                  <c:v>142650.878</c:v>
                </c:pt>
                <c:pt idx="54">
                  <c:v>145342.40400000001</c:v>
                </c:pt>
                <c:pt idx="55">
                  <c:v>148033.93000000002</c:v>
                </c:pt>
                <c:pt idx="56">
                  <c:v>150725.45600000003</c:v>
                </c:pt>
                <c:pt idx="57">
                  <c:v>153416.98200000005</c:v>
                </c:pt>
                <c:pt idx="58">
                  <c:v>156108.50800000006</c:v>
                </c:pt>
                <c:pt idx="59">
                  <c:v>158800.03400000007</c:v>
                </c:pt>
                <c:pt idx="60">
                  <c:v>161491.56000000008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10-4FD2-AACD-EDC4A010DEAA}"/>
            </c:ext>
          </c:extLst>
        </c:ser>
        <c:ser>
          <c:idx val="1"/>
          <c:order val="1"/>
          <c:tx>
            <c:v>25% Participation (Purchased)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Sheet1!$I$73:$I$133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Sheet1!$O$73:$O$133</c:f>
              <c:numCache>
                <c:formatCode>"$"#,##0.00_);[Red]\("$"#,##0.00\)</c:formatCode>
                <c:ptCount val="61"/>
                <c:pt idx="0">
                  <c:v>21726</c:v>
                </c:pt>
                <c:pt idx="1">
                  <c:v>23878.287499999999</c:v>
                </c:pt>
                <c:pt idx="2">
                  <c:v>26030.575000000001</c:v>
                </c:pt>
                <c:pt idx="3">
                  <c:v>28182.862499999999</c:v>
                </c:pt>
                <c:pt idx="4">
                  <c:v>30335.15</c:v>
                </c:pt>
                <c:pt idx="5">
                  <c:v>32487.4375</c:v>
                </c:pt>
                <c:pt idx="6">
                  <c:v>34639.724999999999</c:v>
                </c:pt>
                <c:pt idx="7">
                  <c:v>36792.012499999997</c:v>
                </c:pt>
                <c:pt idx="8">
                  <c:v>38944.300000000003</c:v>
                </c:pt>
                <c:pt idx="9">
                  <c:v>41096.587500000001</c:v>
                </c:pt>
                <c:pt idx="10">
                  <c:v>43248.875</c:v>
                </c:pt>
                <c:pt idx="11">
                  <c:v>45401.162499999999</c:v>
                </c:pt>
                <c:pt idx="12">
                  <c:v>47553.45</c:v>
                </c:pt>
                <c:pt idx="13">
                  <c:v>49705.737499999996</c:v>
                </c:pt>
                <c:pt idx="14">
                  <c:v>51858.024999999994</c:v>
                </c:pt>
                <c:pt idx="15">
                  <c:v>54010.312499999993</c:v>
                </c:pt>
                <c:pt idx="16">
                  <c:v>56162.599999999991</c:v>
                </c:pt>
                <c:pt idx="17">
                  <c:v>58314.88749999999</c:v>
                </c:pt>
                <c:pt idx="18">
                  <c:v>60467.174999999988</c:v>
                </c:pt>
                <c:pt idx="19">
                  <c:v>62619.462499999987</c:v>
                </c:pt>
                <c:pt idx="20">
                  <c:v>64771.749999999985</c:v>
                </c:pt>
                <c:pt idx="21">
                  <c:v>66924.037499999977</c:v>
                </c:pt>
                <c:pt idx="22">
                  <c:v>69076.324999999983</c:v>
                </c:pt>
                <c:pt idx="23">
                  <c:v>71228.612499999988</c:v>
                </c:pt>
                <c:pt idx="24">
                  <c:v>73380.89999999998</c:v>
                </c:pt>
                <c:pt idx="25">
                  <c:v>75533.187499999971</c:v>
                </c:pt>
                <c:pt idx="26">
                  <c:v>77685.474999999977</c:v>
                </c:pt>
                <c:pt idx="27">
                  <c:v>79837.762499999983</c:v>
                </c:pt>
                <c:pt idx="28">
                  <c:v>81990.049999999974</c:v>
                </c:pt>
                <c:pt idx="29">
                  <c:v>84142.337499999965</c:v>
                </c:pt>
                <c:pt idx="30">
                  <c:v>86294.624999999971</c:v>
                </c:pt>
                <c:pt idx="31">
                  <c:v>88446.912499999977</c:v>
                </c:pt>
                <c:pt idx="32">
                  <c:v>90599.199999999968</c:v>
                </c:pt>
                <c:pt idx="33">
                  <c:v>92751.487499999974</c:v>
                </c:pt>
                <c:pt idx="34">
                  <c:v>94903.77499999998</c:v>
                </c:pt>
                <c:pt idx="35">
                  <c:v>97056.062499999985</c:v>
                </c:pt>
                <c:pt idx="36">
                  <c:v>99208.349999999991</c:v>
                </c:pt>
                <c:pt idx="37">
                  <c:v>101360.6375</c:v>
                </c:pt>
                <c:pt idx="38">
                  <c:v>103512.925</c:v>
                </c:pt>
                <c:pt idx="39">
                  <c:v>105665.21250000001</c:v>
                </c:pt>
                <c:pt idx="40">
                  <c:v>107817.50000000001</c:v>
                </c:pt>
                <c:pt idx="41">
                  <c:v>109969.78750000002</c:v>
                </c:pt>
                <c:pt idx="42">
                  <c:v>112122.07500000003</c:v>
                </c:pt>
                <c:pt idx="43">
                  <c:v>114274.36250000003</c:v>
                </c:pt>
                <c:pt idx="44">
                  <c:v>116426.65000000004</c:v>
                </c:pt>
                <c:pt idx="45">
                  <c:v>118578.93750000004</c:v>
                </c:pt>
                <c:pt idx="46">
                  <c:v>120731.22500000005</c:v>
                </c:pt>
                <c:pt idx="47">
                  <c:v>122883.51250000006</c:v>
                </c:pt>
                <c:pt idx="48">
                  <c:v>125035.80000000006</c:v>
                </c:pt>
                <c:pt idx="49">
                  <c:v>127188.08750000007</c:v>
                </c:pt>
                <c:pt idx="50">
                  <c:v>129340.37500000007</c:v>
                </c:pt>
                <c:pt idx="51">
                  <c:v>131492.66250000009</c:v>
                </c:pt>
                <c:pt idx="52">
                  <c:v>133644.95000000007</c:v>
                </c:pt>
                <c:pt idx="53">
                  <c:v>135797.2375000001</c:v>
                </c:pt>
                <c:pt idx="54">
                  <c:v>137949.52500000008</c:v>
                </c:pt>
                <c:pt idx="55">
                  <c:v>140101.81250000012</c:v>
                </c:pt>
                <c:pt idx="56">
                  <c:v>142254.10000000009</c:v>
                </c:pt>
                <c:pt idx="57">
                  <c:v>144406.38750000013</c:v>
                </c:pt>
                <c:pt idx="58">
                  <c:v>146558.6750000001</c:v>
                </c:pt>
                <c:pt idx="59">
                  <c:v>148710.96250000014</c:v>
                </c:pt>
                <c:pt idx="60">
                  <c:v>150863.25000000012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10-4FD2-AACD-EDC4A010DEAA}"/>
            </c:ext>
          </c:extLst>
        </c:ser>
        <c:ser>
          <c:idx val="4"/>
          <c:order val="2"/>
          <c:tx>
            <c:v>25% Participation (Leased)</c:v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Sheet1!$I$73:$I$133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Sheet1!$AE$73:$AE$133</c:f>
              <c:numCache>
                <c:formatCode>"$"#,##0.00_);[Red]\("$"#,##0.00\)</c:formatCode>
                <c:ptCount val="61"/>
                <c:pt idx="0">
                  <c:v>7727</c:v>
                </c:pt>
                <c:pt idx="1">
                  <c:v>10269.2875</c:v>
                </c:pt>
                <c:pt idx="2">
                  <c:v>12811.575000000001</c:v>
                </c:pt>
                <c:pt idx="3">
                  <c:v>15353.862499999999</c:v>
                </c:pt>
                <c:pt idx="4">
                  <c:v>17896.150000000001</c:v>
                </c:pt>
                <c:pt idx="5">
                  <c:v>20438.4375</c:v>
                </c:pt>
                <c:pt idx="6">
                  <c:v>22980.724999999999</c:v>
                </c:pt>
                <c:pt idx="7">
                  <c:v>25523.012500000001</c:v>
                </c:pt>
                <c:pt idx="8">
                  <c:v>28065.300000000003</c:v>
                </c:pt>
                <c:pt idx="9">
                  <c:v>30607.587500000001</c:v>
                </c:pt>
                <c:pt idx="10">
                  <c:v>33149.875</c:v>
                </c:pt>
                <c:pt idx="11">
                  <c:v>35692.162499999999</c:v>
                </c:pt>
                <c:pt idx="12">
                  <c:v>38234.449999999997</c:v>
                </c:pt>
                <c:pt idx="13">
                  <c:v>40776.737499999996</c:v>
                </c:pt>
                <c:pt idx="14">
                  <c:v>43319.024999999994</c:v>
                </c:pt>
                <c:pt idx="15">
                  <c:v>45861.312499999993</c:v>
                </c:pt>
                <c:pt idx="16">
                  <c:v>48403.599999999991</c:v>
                </c:pt>
                <c:pt idx="17">
                  <c:v>50945.88749999999</c:v>
                </c:pt>
                <c:pt idx="18">
                  <c:v>53488.174999999988</c:v>
                </c:pt>
                <c:pt idx="19">
                  <c:v>56030.462499999987</c:v>
                </c:pt>
                <c:pt idx="20">
                  <c:v>58572.749999999985</c:v>
                </c:pt>
                <c:pt idx="21">
                  <c:v>61115.037499999984</c:v>
                </c:pt>
                <c:pt idx="22">
                  <c:v>63657.324999999983</c:v>
                </c:pt>
                <c:pt idx="23">
                  <c:v>66199.612499999988</c:v>
                </c:pt>
                <c:pt idx="24">
                  <c:v>68741.89999999998</c:v>
                </c:pt>
                <c:pt idx="25">
                  <c:v>71284.187499999971</c:v>
                </c:pt>
                <c:pt idx="26">
                  <c:v>73826.474999999977</c:v>
                </c:pt>
                <c:pt idx="27">
                  <c:v>76368.762499999983</c:v>
                </c:pt>
                <c:pt idx="28">
                  <c:v>78911.049999999974</c:v>
                </c:pt>
                <c:pt idx="29">
                  <c:v>81453.337499999965</c:v>
                </c:pt>
                <c:pt idx="30">
                  <c:v>83995.624999999971</c:v>
                </c:pt>
                <c:pt idx="31">
                  <c:v>86537.912499999977</c:v>
                </c:pt>
                <c:pt idx="32">
                  <c:v>89080.199999999968</c:v>
                </c:pt>
                <c:pt idx="33">
                  <c:v>91622.487499999974</c:v>
                </c:pt>
                <c:pt idx="34">
                  <c:v>94164.77499999998</c:v>
                </c:pt>
                <c:pt idx="35">
                  <c:v>96707.062499999985</c:v>
                </c:pt>
                <c:pt idx="36">
                  <c:v>99249.349999999991</c:v>
                </c:pt>
                <c:pt idx="37">
                  <c:v>101791.6375</c:v>
                </c:pt>
                <c:pt idx="38">
                  <c:v>104333.925</c:v>
                </c:pt>
                <c:pt idx="39">
                  <c:v>106876.21250000001</c:v>
                </c:pt>
                <c:pt idx="40">
                  <c:v>109418.50000000001</c:v>
                </c:pt>
                <c:pt idx="41">
                  <c:v>111960.78750000002</c:v>
                </c:pt>
                <c:pt idx="42">
                  <c:v>114503.07500000003</c:v>
                </c:pt>
                <c:pt idx="43">
                  <c:v>117045.36250000003</c:v>
                </c:pt>
                <c:pt idx="44">
                  <c:v>119587.65000000004</c:v>
                </c:pt>
                <c:pt idx="45">
                  <c:v>122129.93750000004</c:v>
                </c:pt>
                <c:pt idx="46">
                  <c:v>124672.22500000005</c:v>
                </c:pt>
                <c:pt idx="47">
                  <c:v>127214.51250000006</c:v>
                </c:pt>
                <c:pt idx="48">
                  <c:v>129756.80000000006</c:v>
                </c:pt>
                <c:pt idx="49">
                  <c:v>132299.08750000008</c:v>
                </c:pt>
                <c:pt idx="50">
                  <c:v>134841.37500000006</c:v>
                </c:pt>
                <c:pt idx="51">
                  <c:v>137383.66250000009</c:v>
                </c:pt>
                <c:pt idx="52">
                  <c:v>139925.95000000007</c:v>
                </c:pt>
                <c:pt idx="53">
                  <c:v>142468.2375000001</c:v>
                </c:pt>
                <c:pt idx="54">
                  <c:v>145010.52500000008</c:v>
                </c:pt>
                <c:pt idx="55">
                  <c:v>147552.81250000012</c:v>
                </c:pt>
                <c:pt idx="56">
                  <c:v>150095.10000000009</c:v>
                </c:pt>
                <c:pt idx="57">
                  <c:v>152637.38750000013</c:v>
                </c:pt>
                <c:pt idx="58">
                  <c:v>155179.6750000001</c:v>
                </c:pt>
                <c:pt idx="59">
                  <c:v>157721.96250000014</c:v>
                </c:pt>
                <c:pt idx="60">
                  <c:v>160264.25000000012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10-4FD2-AACD-EDC4A010DEAA}"/>
            </c:ext>
          </c:extLst>
        </c:ser>
        <c:ser>
          <c:idx val="2"/>
          <c:order val="3"/>
          <c:tx>
            <c:v>50% Participation (Purchased)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Sheet1!$I$73:$I$133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Sheet1!$R$73:$R$133</c:f>
              <c:numCache>
                <c:formatCode>"$"#,##0.00_);[Red]\("$"#,##0.00\)</c:formatCode>
                <c:ptCount val="61"/>
                <c:pt idx="0">
                  <c:v>21726</c:v>
                </c:pt>
                <c:pt idx="1">
                  <c:v>23265.525000000001</c:v>
                </c:pt>
                <c:pt idx="2">
                  <c:v>24805.05</c:v>
                </c:pt>
                <c:pt idx="3">
                  <c:v>26344.575000000001</c:v>
                </c:pt>
                <c:pt idx="4">
                  <c:v>27884.1</c:v>
                </c:pt>
                <c:pt idx="5">
                  <c:v>29423.625</c:v>
                </c:pt>
                <c:pt idx="6">
                  <c:v>30963.15</c:v>
                </c:pt>
                <c:pt idx="7">
                  <c:v>32502.674999999999</c:v>
                </c:pt>
                <c:pt idx="8">
                  <c:v>34042.199999999997</c:v>
                </c:pt>
                <c:pt idx="9">
                  <c:v>35581.724999999999</c:v>
                </c:pt>
                <c:pt idx="10">
                  <c:v>37121.25</c:v>
                </c:pt>
                <c:pt idx="11">
                  <c:v>38660.774999999994</c:v>
                </c:pt>
                <c:pt idx="12">
                  <c:v>40200.299999999996</c:v>
                </c:pt>
                <c:pt idx="13">
                  <c:v>41739.824999999997</c:v>
                </c:pt>
                <c:pt idx="14">
                  <c:v>43279.35</c:v>
                </c:pt>
                <c:pt idx="15">
                  <c:v>44818.875</c:v>
                </c:pt>
                <c:pt idx="16">
                  <c:v>46358.400000000001</c:v>
                </c:pt>
                <c:pt idx="17">
                  <c:v>47897.925000000003</c:v>
                </c:pt>
                <c:pt idx="18">
                  <c:v>49437.450000000004</c:v>
                </c:pt>
                <c:pt idx="19">
                  <c:v>50976.975000000006</c:v>
                </c:pt>
                <c:pt idx="20">
                  <c:v>52516.500000000007</c:v>
                </c:pt>
                <c:pt idx="21">
                  <c:v>54056.025000000009</c:v>
                </c:pt>
                <c:pt idx="22">
                  <c:v>55595.55000000001</c:v>
                </c:pt>
                <c:pt idx="23">
                  <c:v>57135.075000000012</c:v>
                </c:pt>
                <c:pt idx="24">
                  <c:v>58674.600000000013</c:v>
                </c:pt>
                <c:pt idx="25">
                  <c:v>60214.125000000015</c:v>
                </c:pt>
                <c:pt idx="26">
                  <c:v>61753.650000000016</c:v>
                </c:pt>
                <c:pt idx="27">
                  <c:v>63293.175000000017</c:v>
                </c:pt>
                <c:pt idx="28">
                  <c:v>64832.700000000019</c:v>
                </c:pt>
                <c:pt idx="29">
                  <c:v>66372.22500000002</c:v>
                </c:pt>
                <c:pt idx="30">
                  <c:v>67911.750000000029</c:v>
                </c:pt>
                <c:pt idx="31">
                  <c:v>69451.275000000023</c:v>
                </c:pt>
                <c:pt idx="32">
                  <c:v>70990.800000000017</c:v>
                </c:pt>
                <c:pt idx="33">
                  <c:v>72530.325000000026</c:v>
                </c:pt>
                <c:pt idx="34">
                  <c:v>74069.850000000035</c:v>
                </c:pt>
                <c:pt idx="35">
                  <c:v>75609.375000000029</c:v>
                </c:pt>
                <c:pt idx="36">
                  <c:v>77148.900000000023</c:v>
                </c:pt>
                <c:pt idx="37">
                  <c:v>78688.425000000032</c:v>
                </c:pt>
                <c:pt idx="38">
                  <c:v>80227.950000000041</c:v>
                </c:pt>
                <c:pt idx="39">
                  <c:v>81767.475000000035</c:v>
                </c:pt>
                <c:pt idx="40">
                  <c:v>83307.000000000029</c:v>
                </c:pt>
                <c:pt idx="41">
                  <c:v>84846.525000000038</c:v>
                </c:pt>
                <c:pt idx="42">
                  <c:v>86386.050000000047</c:v>
                </c:pt>
                <c:pt idx="43">
                  <c:v>87925.575000000041</c:v>
                </c:pt>
                <c:pt idx="44">
                  <c:v>89465.100000000035</c:v>
                </c:pt>
                <c:pt idx="45">
                  <c:v>91004.625000000044</c:v>
                </c:pt>
                <c:pt idx="46">
                  <c:v>92544.150000000052</c:v>
                </c:pt>
                <c:pt idx="47">
                  <c:v>94083.675000000047</c:v>
                </c:pt>
                <c:pt idx="48">
                  <c:v>95623.200000000041</c:v>
                </c:pt>
                <c:pt idx="49">
                  <c:v>97162.725000000049</c:v>
                </c:pt>
                <c:pt idx="50">
                  <c:v>98702.250000000044</c:v>
                </c:pt>
                <c:pt idx="51">
                  <c:v>100241.77500000004</c:v>
                </c:pt>
                <c:pt idx="52">
                  <c:v>101781.30000000003</c:v>
                </c:pt>
                <c:pt idx="53">
                  <c:v>103320.82500000003</c:v>
                </c:pt>
                <c:pt idx="54">
                  <c:v>104860.35000000002</c:v>
                </c:pt>
                <c:pt idx="55">
                  <c:v>106399.87500000001</c:v>
                </c:pt>
                <c:pt idx="56">
                  <c:v>107939.40000000001</c:v>
                </c:pt>
                <c:pt idx="57">
                  <c:v>109478.925</c:v>
                </c:pt>
                <c:pt idx="58">
                  <c:v>111018.45</c:v>
                </c:pt>
                <c:pt idx="59">
                  <c:v>112557.97499999999</c:v>
                </c:pt>
                <c:pt idx="60">
                  <c:v>114097.49999999999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10-4FD2-AACD-EDC4A010DEAA}"/>
            </c:ext>
          </c:extLst>
        </c:ser>
        <c:ser>
          <c:idx val="7"/>
          <c:order val="4"/>
          <c:tx>
            <c:v>75% Participation (Purchased)</c:v>
          </c:tx>
          <c:spPr>
            <a:ln w="28575" cap="rnd">
              <a:solidFill>
                <a:srgbClr val="A22EA5"/>
              </a:solidFill>
              <a:round/>
            </a:ln>
            <a:effectLst/>
          </c:spPr>
          <c:marker>
            <c:symbol val="none"/>
          </c:marker>
          <c:xVal>
            <c:numRef>
              <c:f>Sheet1!$I$73:$I$133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Sheet1!$U$73:$U$133</c:f>
              <c:numCache>
                <c:formatCode>_("$"* #,##0_);_("$"* \(#,##0\);_("$"* "-"??_);_(@_)</c:formatCode>
                <c:ptCount val="61"/>
                <c:pt idx="0">
                  <c:v>21726</c:v>
                </c:pt>
                <c:pt idx="1">
                  <c:v>22652.762500000001</c:v>
                </c:pt>
                <c:pt idx="2">
                  <c:v>23579.525000000001</c:v>
                </c:pt>
                <c:pt idx="3">
                  <c:v>24506.287499999999</c:v>
                </c:pt>
                <c:pt idx="4">
                  <c:v>25433.05</c:v>
                </c:pt>
                <c:pt idx="5">
                  <c:v>26359.8125</c:v>
                </c:pt>
                <c:pt idx="6">
                  <c:v>27286.575000000001</c:v>
                </c:pt>
                <c:pt idx="7">
                  <c:v>28213.337500000001</c:v>
                </c:pt>
                <c:pt idx="8">
                  <c:v>29140.1</c:v>
                </c:pt>
                <c:pt idx="9">
                  <c:v>30066.862499999999</c:v>
                </c:pt>
                <c:pt idx="10">
                  <c:v>30993.625</c:v>
                </c:pt>
                <c:pt idx="11">
                  <c:v>31920.387499999997</c:v>
                </c:pt>
                <c:pt idx="12">
                  <c:v>32847.15</c:v>
                </c:pt>
                <c:pt idx="13">
                  <c:v>33773.912499999999</c:v>
                </c:pt>
                <c:pt idx="14">
                  <c:v>34700.675000000003</c:v>
                </c:pt>
                <c:pt idx="15">
                  <c:v>35627.4375</c:v>
                </c:pt>
                <c:pt idx="16">
                  <c:v>36554.199999999997</c:v>
                </c:pt>
                <c:pt idx="17">
                  <c:v>37480.962500000001</c:v>
                </c:pt>
                <c:pt idx="18">
                  <c:v>38407.725000000006</c:v>
                </c:pt>
                <c:pt idx="19">
                  <c:v>39334.487500000003</c:v>
                </c:pt>
                <c:pt idx="20">
                  <c:v>40261.25</c:v>
                </c:pt>
                <c:pt idx="21">
                  <c:v>41188.012500000004</c:v>
                </c:pt>
                <c:pt idx="22">
                  <c:v>42114.775000000009</c:v>
                </c:pt>
                <c:pt idx="23">
                  <c:v>43041.537500000006</c:v>
                </c:pt>
                <c:pt idx="24">
                  <c:v>43968.3</c:v>
                </c:pt>
                <c:pt idx="25">
                  <c:v>44895.062500000007</c:v>
                </c:pt>
                <c:pt idx="26">
                  <c:v>45821.825000000012</c:v>
                </c:pt>
                <c:pt idx="27">
                  <c:v>46748.587500000009</c:v>
                </c:pt>
                <c:pt idx="28">
                  <c:v>47675.350000000006</c:v>
                </c:pt>
                <c:pt idx="29">
                  <c:v>48602.11250000001</c:v>
                </c:pt>
                <c:pt idx="30">
                  <c:v>49528.875000000015</c:v>
                </c:pt>
                <c:pt idx="31">
                  <c:v>50455.637500000012</c:v>
                </c:pt>
                <c:pt idx="32">
                  <c:v>51382.400000000009</c:v>
                </c:pt>
                <c:pt idx="33">
                  <c:v>52309.162500000013</c:v>
                </c:pt>
                <c:pt idx="34">
                  <c:v>53235.925000000017</c:v>
                </c:pt>
                <c:pt idx="35">
                  <c:v>54162.687500000015</c:v>
                </c:pt>
                <c:pt idx="36">
                  <c:v>55089.450000000012</c:v>
                </c:pt>
                <c:pt idx="37">
                  <c:v>56016.212500000016</c:v>
                </c:pt>
                <c:pt idx="38">
                  <c:v>56942.97500000002</c:v>
                </c:pt>
                <c:pt idx="39">
                  <c:v>57869.737500000017</c:v>
                </c:pt>
                <c:pt idx="40">
                  <c:v>58796.500000000015</c:v>
                </c:pt>
                <c:pt idx="41">
                  <c:v>59723.262500000019</c:v>
                </c:pt>
                <c:pt idx="42">
                  <c:v>60650.025000000023</c:v>
                </c:pt>
                <c:pt idx="43">
                  <c:v>61576.78750000002</c:v>
                </c:pt>
                <c:pt idx="44">
                  <c:v>62503.550000000017</c:v>
                </c:pt>
                <c:pt idx="45">
                  <c:v>63430.312500000022</c:v>
                </c:pt>
                <c:pt idx="46">
                  <c:v>64357.075000000026</c:v>
                </c:pt>
                <c:pt idx="47">
                  <c:v>65283.837500000023</c:v>
                </c:pt>
                <c:pt idx="48">
                  <c:v>66210.60000000002</c:v>
                </c:pt>
                <c:pt idx="49">
                  <c:v>67137.362500000017</c:v>
                </c:pt>
                <c:pt idx="50">
                  <c:v>68064.125000000029</c:v>
                </c:pt>
                <c:pt idx="51">
                  <c:v>68990.887500000012</c:v>
                </c:pt>
                <c:pt idx="52">
                  <c:v>69917.650000000023</c:v>
                </c:pt>
                <c:pt idx="53">
                  <c:v>70844.412500000006</c:v>
                </c:pt>
                <c:pt idx="54">
                  <c:v>71771.175000000017</c:v>
                </c:pt>
                <c:pt idx="55">
                  <c:v>72697.9375</c:v>
                </c:pt>
                <c:pt idx="56">
                  <c:v>73624.700000000012</c:v>
                </c:pt>
                <c:pt idx="57">
                  <c:v>74551.462499999994</c:v>
                </c:pt>
                <c:pt idx="58">
                  <c:v>75478.225000000006</c:v>
                </c:pt>
                <c:pt idx="59">
                  <c:v>76404.987499999988</c:v>
                </c:pt>
                <c:pt idx="60">
                  <c:v>77331.75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43-42C6-B20F-E852B60FED36}"/>
            </c:ext>
          </c:extLst>
        </c:ser>
        <c:ser>
          <c:idx val="3"/>
          <c:order val="5"/>
          <c:tx>
            <c:v>100% Participation (Purchased)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Sheet1!$I$73:$I$133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Sheet1!$X$73:$X$133</c:f>
              <c:numCache>
                <c:formatCode>"$"#,##0.00_);[Red]\("$"#,##0.00\)</c:formatCode>
                <c:ptCount val="61"/>
                <c:pt idx="0">
                  <c:v>21726</c:v>
                </c:pt>
                <c:pt idx="1">
                  <c:v>22040</c:v>
                </c:pt>
                <c:pt idx="2">
                  <c:v>22354</c:v>
                </c:pt>
                <c:pt idx="3">
                  <c:v>22668</c:v>
                </c:pt>
                <c:pt idx="4">
                  <c:v>22982</c:v>
                </c:pt>
                <c:pt idx="5">
                  <c:v>23296</c:v>
                </c:pt>
                <c:pt idx="6">
                  <c:v>23610</c:v>
                </c:pt>
                <c:pt idx="7">
                  <c:v>23924</c:v>
                </c:pt>
                <c:pt idx="8">
                  <c:v>24238</c:v>
                </c:pt>
                <c:pt idx="9">
                  <c:v>24552</c:v>
                </c:pt>
                <c:pt idx="10">
                  <c:v>24866</c:v>
                </c:pt>
                <c:pt idx="11">
                  <c:v>25180</c:v>
                </c:pt>
                <c:pt idx="12">
                  <c:v>25494</c:v>
                </c:pt>
                <c:pt idx="13">
                  <c:v>25808</c:v>
                </c:pt>
                <c:pt idx="14">
                  <c:v>26122</c:v>
                </c:pt>
                <c:pt idx="15">
                  <c:v>26436</c:v>
                </c:pt>
                <c:pt idx="16">
                  <c:v>26750</c:v>
                </c:pt>
                <c:pt idx="17">
                  <c:v>27064</c:v>
                </c:pt>
                <c:pt idx="18">
                  <c:v>27378</c:v>
                </c:pt>
                <c:pt idx="19">
                  <c:v>27692</c:v>
                </c:pt>
                <c:pt idx="20">
                  <c:v>28006</c:v>
                </c:pt>
                <c:pt idx="21">
                  <c:v>28320</c:v>
                </c:pt>
                <c:pt idx="22">
                  <c:v>28634</c:v>
                </c:pt>
                <c:pt idx="23">
                  <c:v>28948</c:v>
                </c:pt>
                <c:pt idx="24">
                  <c:v>29262</c:v>
                </c:pt>
                <c:pt idx="25">
                  <c:v>29576</c:v>
                </c:pt>
                <c:pt idx="26">
                  <c:v>29890</c:v>
                </c:pt>
                <c:pt idx="27">
                  <c:v>30204</c:v>
                </c:pt>
                <c:pt idx="28">
                  <c:v>30518</c:v>
                </c:pt>
                <c:pt idx="29">
                  <c:v>30832</c:v>
                </c:pt>
                <c:pt idx="30">
                  <c:v>31146</c:v>
                </c:pt>
                <c:pt idx="31">
                  <c:v>31460</c:v>
                </c:pt>
                <c:pt idx="32">
                  <c:v>31774</c:v>
                </c:pt>
                <c:pt idx="33">
                  <c:v>32088</c:v>
                </c:pt>
                <c:pt idx="34">
                  <c:v>32402</c:v>
                </c:pt>
                <c:pt idx="35">
                  <c:v>32716</c:v>
                </c:pt>
                <c:pt idx="36">
                  <c:v>33030</c:v>
                </c:pt>
                <c:pt idx="37">
                  <c:v>33344</c:v>
                </c:pt>
                <c:pt idx="38">
                  <c:v>33658</c:v>
                </c:pt>
                <c:pt idx="39">
                  <c:v>33972</c:v>
                </c:pt>
                <c:pt idx="40">
                  <c:v>34286</c:v>
                </c:pt>
                <c:pt idx="41">
                  <c:v>34600</c:v>
                </c:pt>
                <c:pt idx="42">
                  <c:v>34914</c:v>
                </c:pt>
                <c:pt idx="43">
                  <c:v>35228</c:v>
                </c:pt>
                <c:pt idx="44">
                  <c:v>35542</c:v>
                </c:pt>
                <c:pt idx="45">
                  <c:v>35856</c:v>
                </c:pt>
                <c:pt idx="46">
                  <c:v>36170</c:v>
                </c:pt>
                <c:pt idx="47">
                  <c:v>36484</c:v>
                </c:pt>
                <c:pt idx="48">
                  <c:v>36798</c:v>
                </c:pt>
                <c:pt idx="49">
                  <c:v>37112</c:v>
                </c:pt>
                <c:pt idx="50">
                  <c:v>37426</c:v>
                </c:pt>
                <c:pt idx="51">
                  <c:v>37740</c:v>
                </c:pt>
                <c:pt idx="52">
                  <c:v>38054</c:v>
                </c:pt>
                <c:pt idx="53">
                  <c:v>38368</c:v>
                </c:pt>
                <c:pt idx="54">
                  <c:v>38682</c:v>
                </c:pt>
                <c:pt idx="55">
                  <c:v>38996</c:v>
                </c:pt>
                <c:pt idx="56">
                  <c:v>39310</c:v>
                </c:pt>
                <c:pt idx="57">
                  <c:v>39624</c:v>
                </c:pt>
                <c:pt idx="58">
                  <c:v>39938</c:v>
                </c:pt>
                <c:pt idx="59">
                  <c:v>40252</c:v>
                </c:pt>
                <c:pt idx="60">
                  <c:v>40566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10-4FD2-AACD-EDC4A010DEAA}"/>
            </c:ext>
          </c:extLst>
        </c:ser>
        <c:ser>
          <c:idx val="5"/>
          <c:order val="6"/>
          <c:tx>
            <c:v>50% Participation (Leased)</c:v>
          </c:tx>
          <c:spPr>
            <a:ln w="285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Sheet1!$I$73:$I$133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Sheet1!$AH$73:$AH$133</c:f>
              <c:numCache>
                <c:formatCode>"$"#,##0.00_);[Red]\("$"#,##0.00\)</c:formatCode>
                <c:ptCount val="61"/>
                <c:pt idx="0">
                  <c:v>7727</c:v>
                </c:pt>
                <c:pt idx="1">
                  <c:v>9656.5249999999996</c:v>
                </c:pt>
                <c:pt idx="2">
                  <c:v>11586.05</c:v>
                </c:pt>
                <c:pt idx="3">
                  <c:v>13515.575000000001</c:v>
                </c:pt>
                <c:pt idx="4">
                  <c:v>15445.1</c:v>
                </c:pt>
                <c:pt idx="5">
                  <c:v>17374.625</c:v>
                </c:pt>
                <c:pt idx="6">
                  <c:v>19304.150000000001</c:v>
                </c:pt>
                <c:pt idx="7">
                  <c:v>21233.674999999999</c:v>
                </c:pt>
                <c:pt idx="8">
                  <c:v>23163.199999999997</c:v>
                </c:pt>
                <c:pt idx="9">
                  <c:v>25092.724999999999</c:v>
                </c:pt>
                <c:pt idx="10">
                  <c:v>27022.25</c:v>
                </c:pt>
                <c:pt idx="11">
                  <c:v>28951.774999999998</c:v>
                </c:pt>
                <c:pt idx="12">
                  <c:v>30881.299999999996</c:v>
                </c:pt>
                <c:pt idx="13">
                  <c:v>32810.824999999997</c:v>
                </c:pt>
                <c:pt idx="14">
                  <c:v>34740.35</c:v>
                </c:pt>
                <c:pt idx="15">
                  <c:v>36669.875</c:v>
                </c:pt>
                <c:pt idx="16">
                  <c:v>38599.4</c:v>
                </c:pt>
                <c:pt idx="17">
                  <c:v>40528.925000000003</c:v>
                </c:pt>
                <c:pt idx="18">
                  <c:v>42458.450000000004</c:v>
                </c:pt>
                <c:pt idx="19">
                  <c:v>44387.975000000006</c:v>
                </c:pt>
                <c:pt idx="20">
                  <c:v>46317.500000000007</c:v>
                </c:pt>
                <c:pt idx="21">
                  <c:v>48247.025000000009</c:v>
                </c:pt>
                <c:pt idx="22">
                  <c:v>50176.55000000001</c:v>
                </c:pt>
                <c:pt idx="23">
                  <c:v>52106.075000000012</c:v>
                </c:pt>
                <c:pt idx="24">
                  <c:v>54035.600000000013</c:v>
                </c:pt>
                <c:pt idx="25">
                  <c:v>55965.125000000015</c:v>
                </c:pt>
                <c:pt idx="26">
                  <c:v>57894.650000000016</c:v>
                </c:pt>
                <c:pt idx="27">
                  <c:v>59824.175000000017</c:v>
                </c:pt>
                <c:pt idx="28">
                  <c:v>61753.700000000019</c:v>
                </c:pt>
                <c:pt idx="29">
                  <c:v>63683.22500000002</c:v>
                </c:pt>
                <c:pt idx="30">
                  <c:v>65612.750000000029</c:v>
                </c:pt>
                <c:pt idx="31">
                  <c:v>67542.275000000023</c:v>
                </c:pt>
                <c:pt idx="32">
                  <c:v>69471.800000000017</c:v>
                </c:pt>
                <c:pt idx="33">
                  <c:v>71401.325000000026</c:v>
                </c:pt>
                <c:pt idx="34">
                  <c:v>73330.850000000035</c:v>
                </c:pt>
                <c:pt idx="35">
                  <c:v>75260.375000000029</c:v>
                </c:pt>
                <c:pt idx="36">
                  <c:v>77189.900000000023</c:v>
                </c:pt>
                <c:pt idx="37">
                  <c:v>79119.425000000032</c:v>
                </c:pt>
                <c:pt idx="38">
                  <c:v>81048.950000000041</c:v>
                </c:pt>
                <c:pt idx="39">
                  <c:v>82978.475000000035</c:v>
                </c:pt>
                <c:pt idx="40">
                  <c:v>84908.000000000029</c:v>
                </c:pt>
                <c:pt idx="41">
                  <c:v>86837.525000000038</c:v>
                </c:pt>
                <c:pt idx="42">
                  <c:v>88767.050000000047</c:v>
                </c:pt>
                <c:pt idx="43">
                  <c:v>90696.575000000041</c:v>
                </c:pt>
                <c:pt idx="44">
                  <c:v>92626.100000000035</c:v>
                </c:pt>
                <c:pt idx="45">
                  <c:v>94555.625000000044</c:v>
                </c:pt>
                <c:pt idx="46">
                  <c:v>96485.150000000052</c:v>
                </c:pt>
                <c:pt idx="47">
                  <c:v>98414.675000000047</c:v>
                </c:pt>
                <c:pt idx="48">
                  <c:v>100344.20000000004</c:v>
                </c:pt>
                <c:pt idx="49">
                  <c:v>102273.72500000005</c:v>
                </c:pt>
                <c:pt idx="50">
                  <c:v>104203.25000000004</c:v>
                </c:pt>
                <c:pt idx="51">
                  <c:v>106132.77500000004</c:v>
                </c:pt>
                <c:pt idx="52">
                  <c:v>108062.30000000003</c:v>
                </c:pt>
                <c:pt idx="53">
                  <c:v>109991.82500000003</c:v>
                </c:pt>
                <c:pt idx="54">
                  <c:v>111921.35000000002</c:v>
                </c:pt>
                <c:pt idx="55">
                  <c:v>113850.87500000001</c:v>
                </c:pt>
                <c:pt idx="56">
                  <c:v>115780.40000000001</c:v>
                </c:pt>
                <c:pt idx="57">
                  <c:v>117709.925</c:v>
                </c:pt>
                <c:pt idx="58">
                  <c:v>119639.45</c:v>
                </c:pt>
                <c:pt idx="59">
                  <c:v>121568.97499999999</c:v>
                </c:pt>
                <c:pt idx="60">
                  <c:v>123498.49999999999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10-4FD2-AACD-EDC4A010DEAA}"/>
            </c:ext>
          </c:extLst>
        </c:ser>
        <c:ser>
          <c:idx val="8"/>
          <c:order val="7"/>
          <c:tx>
            <c:v>75% Participation (Leased)</c:v>
          </c:tx>
          <c:spPr>
            <a:ln w="28575" cap="rnd">
              <a:solidFill>
                <a:srgbClr val="A22EA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Sheet1!$I$73:$I$133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Sheet1!$AK$73:$AK$133</c:f>
              <c:numCache>
                <c:formatCode>"$"#,##0.00_);[Red]\("$"#,##0.00\)</c:formatCode>
                <c:ptCount val="61"/>
                <c:pt idx="0">
                  <c:v>7727</c:v>
                </c:pt>
                <c:pt idx="1">
                  <c:v>9043.7625000000007</c:v>
                </c:pt>
                <c:pt idx="2">
                  <c:v>10360.525</c:v>
                </c:pt>
                <c:pt idx="3">
                  <c:v>11677.2875</c:v>
                </c:pt>
                <c:pt idx="4">
                  <c:v>12994.05</c:v>
                </c:pt>
                <c:pt idx="5">
                  <c:v>14310.8125</c:v>
                </c:pt>
                <c:pt idx="6">
                  <c:v>15627.575000000001</c:v>
                </c:pt>
                <c:pt idx="7">
                  <c:v>16944.337500000001</c:v>
                </c:pt>
                <c:pt idx="8">
                  <c:v>18261.099999999999</c:v>
                </c:pt>
                <c:pt idx="9">
                  <c:v>19577.862499999999</c:v>
                </c:pt>
                <c:pt idx="10">
                  <c:v>20894.625</c:v>
                </c:pt>
                <c:pt idx="11">
                  <c:v>22211.387499999997</c:v>
                </c:pt>
                <c:pt idx="12">
                  <c:v>23528.149999999998</c:v>
                </c:pt>
                <c:pt idx="13">
                  <c:v>24844.912499999999</c:v>
                </c:pt>
                <c:pt idx="14">
                  <c:v>26161.674999999999</c:v>
                </c:pt>
                <c:pt idx="15">
                  <c:v>27478.4375</c:v>
                </c:pt>
                <c:pt idx="16">
                  <c:v>28795.200000000001</c:v>
                </c:pt>
                <c:pt idx="17">
                  <c:v>30111.962500000001</c:v>
                </c:pt>
                <c:pt idx="18">
                  <c:v>31428.725000000002</c:v>
                </c:pt>
                <c:pt idx="19">
                  <c:v>32745.487500000003</c:v>
                </c:pt>
                <c:pt idx="20">
                  <c:v>34062.25</c:v>
                </c:pt>
                <c:pt idx="21">
                  <c:v>35379.012500000004</c:v>
                </c:pt>
                <c:pt idx="22">
                  <c:v>36695.775000000009</c:v>
                </c:pt>
                <c:pt idx="23">
                  <c:v>38012.537500000006</c:v>
                </c:pt>
                <c:pt idx="24">
                  <c:v>39329.300000000003</c:v>
                </c:pt>
                <c:pt idx="25">
                  <c:v>40646.062500000007</c:v>
                </c:pt>
                <c:pt idx="26">
                  <c:v>41962.825000000012</c:v>
                </c:pt>
                <c:pt idx="27">
                  <c:v>43279.587500000009</c:v>
                </c:pt>
                <c:pt idx="28">
                  <c:v>44596.350000000006</c:v>
                </c:pt>
                <c:pt idx="29">
                  <c:v>45913.11250000001</c:v>
                </c:pt>
                <c:pt idx="30">
                  <c:v>47229.875000000015</c:v>
                </c:pt>
                <c:pt idx="31">
                  <c:v>48546.637500000012</c:v>
                </c:pt>
                <c:pt idx="32">
                  <c:v>49863.400000000009</c:v>
                </c:pt>
                <c:pt idx="33">
                  <c:v>51180.162500000013</c:v>
                </c:pt>
                <c:pt idx="34">
                  <c:v>52496.925000000017</c:v>
                </c:pt>
                <c:pt idx="35">
                  <c:v>53813.687500000015</c:v>
                </c:pt>
                <c:pt idx="36">
                  <c:v>55130.450000000012</c:v>
                </c:pt>
                <c:pt idx="37">
                  <c:v>56447.212500000016</c:v>
                </c:pt>
                <c:pt idx="38">
                  <c:v>57763.97500000002</c:v>
                </c:pt>
                <c:pt idx="39">
                  <c:v>59080.737500000017</c:v>
                </c:pt>
                <c:pt idx="40">
                  <c:v>60397.500000000015</c:v>
                </c:pt>
                <c:pt idx="41">
                  <c:v>61714.262500000019</c:v>
                </c:pt>
                <c:pt idx="42">
                  <c:v>63031.025000000023</c:v>
                </c:pt>
                <c:pt idx="43">
                  <c:v>64347.78750000002</c:v>
                </c:pt>
                <c:pt idx="44">
                  <c:v>65664.550000000017</c:v>
                </c:pt>
                <c:pt idx="45">
                  <c:v>66981.312500000029</c:v>
                </c:pt>
                <c:pt idx="46">
                  <c:v>68298.075000000026</c:v>
                </c:pt>
                <c:pt idx="47">
                  <c:v>69614.837500000023</c:v>
                </c:pt>
                <c:pt idx="48">
                  <c:v>70931.60000000002</c:v>
                </c:pt>
                <c:pt idx="49">
                  <c:v>72248.362500000017</c:v>
                </c:pt>
                <c:pt idx="50">
                  <c:v>73565.125000000029</c:v>
                </c:pt>
                <c:pt idx="51">
                  <c:v>74881.887500000012</c:v>
                </c:pt>
                <c:pt idx="52">
                  <c:v>76198.650000000023</c:v>
                </c:pt>
                <c:pt idx="53">
                  <c:v>77515.412500000006</c:v>
                </c:pt>
                <c:pt idx="54">
                  <c:v>78832.175000000017</c:v>
                </c:pt>
                <c:pt idx="55">
                  <c:v>80148.9375</c:v>
                </c:pt>
                <c:pt idx="56">
                  <c:v>81465.700000000012</c:v>
                </c:pt>
                <c:pt idx="57">
                  <c:v>82782.462499999994</c:v>
                </c:pt>
                <c:pt idx="58">
                  <c:v>84099.225000000006</c:v>
                </c:pt>
                <c:pt idx="59">
                  <c:v>85415.987499999988</c:v>
                </c:pt>
                <c:pt idx="60">
                  <c:v>86732.75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43-42C6-B20F-E852B60FED36}"/>
            </c:ext>
          </c:extLst>
        </c:ser>
        <c:ser>
          <c:idx val="6"/>
          <c:order val="8"/>
          <c:tx>
            <c:v>100% Participation (Leased)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Sheet1!$I$73:$I$133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Sheet1!$AN$73:$AN$133</c:f>
              <c:numCache>
                <c:formatCode>"$"#,##0.00_);[Red]\("$"#,##0.00\)</c:formatCode>
                <c:ptCount val="61"/>
                <c:pt idx="0">
                  <c:v>7727</c:v>
                </c:pt>
                <c:pt idx="1">
                  <c:v>8431</c:v>
                </c:pt>
                <c:pt idx="2">
                  <c:v>9135</c:v>
                </c:pt>
                <c:pt idx="3">
                  <c:v>9839</c:v>
                </c:pt>
                <c:pt idx="4">
                  <c:v>10543</c:v>
                </c:pt>
                <c:pt idx="5">
                  <c:v>11247</c:v>
                </c:pt>
                <c:pt idx="6">
                  <c:v>11951</c:v>
                </c:pt>
                <c:pt idx="7">
                  <c:v>12655</c:v>
                </c:pt>
                <c:pt idx="8">
                  <c:v>13359</c:v>
                </c:pt>
                <c:pt idx="9">
                  <c:v>14063</c:v>
                </c:pt>
                <c:pt idx="10">
                  <c:v>14767</c:v>
                </c:pt>
                <c:pt idx="11">
                  <c:v>15471</c:v>
                </c:pt>
                <c:pt idx="12">
                  <c:v>16175</c:v>
                </c:pt>
                <c:pt idx="13">
                  <c:v>16879</c:v>
                </c:pt>
                <c:pt idx="14">
                  <c:v>17583</c:v>
                </c:pt>
                <c:pt idx="15">
                  <c:v>18287</c:v>
                </c:pt>
                <c:pt idx="16">
                  <c:v>18991</c:v>
                </c:pt>
                <c:pt idx="17">
                  <c:v>19695</c:v>
                </c:pt>
                <c:pt idx="18">
                  <c:v>20399</c:v>
                </c:pt>
                <c:pt idx="19">
                  <c:v>21103</c:v>
                </c:pt>
                <c:pt idx="20">
                  <c:v>21807</c:v>
                </c:pt>
                <c:pt idx="21">
                  <c:v>22511</c:v>
                </c:pt>
                <c:pt idx="22">
                  <c:v>23215</c:v>
                </c:pt>
                <c:pt idx="23">
                  <c:v>23919</c:v>
                </c:pt>
                <c:pt idx="24">
                  <c:v>24623</c:v>
                </c:pt>
                <c:pt idx="25">
                  <c:v>25327</c:v>
                </c:pt>
                <c:pt idx="26">
                  <c:v>26031</c:v>
                </c:pt>
                <c:pt idx="27">
                  <c:v>26735</c:v>
                </c:pt>
                <c:pt idx="28">
                  <c:v>27439</c:v>
                </c:pt>
                <c:pt idx="29">
                  <c:v>28143</c:v>
                </c:pt>
                <c:pt idx="30">
                  <c:v>28847</c:v>
                </c:pt>
                <c:pt idx="31">
                  <c:v>29551</c:v>
                </c:pt>
                <c:pt idx="32">
                  <c:v>30255</c:v>
                </c:pt>
                <c:pt idx="33">
                  <c:v>30959</c:v>
                </c:pt>
                <c:pt idx="34">
                  <c:v>31663</c:v>
                </c:pt>
                <c:pt idx="35">
                  <c:v>32367</c:v>
                </c:pt>
                <c:pt idx="36">
                  <c:v>33071</c:v>
                </c:pt>
                <c:pt idx="37">
                  <c:v>33775</c:v>
                </c:pt>
                <c:pt idx="38">
                  <c:v>34479</c:v>
                </c:pt>
                <c:pt idx="39">
                  <c:v>35183</c:v>
                </c:pt>
                <c:pt idx="40">
                  <c:v>35887</c:v>
                </c:pt>
                <c:pt idx="41">
                  <c:v>36591</c:v>
                </c:pt>
                <c:pt idx="42">
                  <c:v>37295</c:v>
                </c:pt>
                <c:pt idx="43">
                  <c:v>37999</c:v>
                </c:pt>
                <c:pt idx="44">
                  <c:v>38703</c:v>
                </c:pt>
                <c:pt idx="45">
                  <c:v>39407</c:v>
                </c:pt>
                <c:pt idx="46">
                  <c:v>40111</c:v>
                </c:pt>
                <c:pt idx="47">
                  <c:v>40815</c:v>
                </c:pt>
                <c:pt idx="48">
                  <c:v>41519</c:v>
                </c:pt>
                <c:pt idx="49">
                  <c:v>42223</c:v>
                </c:pt>
                <c:pt idx="50">
                  <c:v>42927</c:v>
                </c:pt>
                <c:pt idx="51">
                  <c:v>43631</c:v>
                </c:pt>
                <c:pt idx="52">
                  <c:v>44335</c:v>
                </c:pt>
                <c:pt idx="53">
                  <c:v>45039</c:v>
                </c:pt>
                <c:pt idx="54">
                  <c:v>45743</c:v>
                </c:pt>
                <c:pt idx="55">
                  <c:v>46447</c:v>
                </c:pt>
                <c:pt idx="56">
                  <c:v>47151</c:v>
                </c:pt>
                <c:pt idx="57">
                  <c:v>47855</c:v>
                </c:pt>
                <c:pt idx="58">
                  <c:v>48559</c:v>
                </c:pt>
                <c:pt idx="59">
                  <c:v>49263</c:v>
                </c:pt>
                <c:pt idx="60">
                  <c:v>49967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10-4FD2-AACD-EDC4A010D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103744"/>
        <c:axId val="599098496"/>
      </c:scatterChart>
      <c:valAx>
        <c:axId val="599103744"/>
        <c:scaling>
          <c:orientation val="minMax"/>
          <c:max val="6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Time (Months)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098496"/>
        <c:crosses val="autoZero"/>
        <c:crossBetween val="midCat"/>
        <c:majorUnit val="6"/>
        <c:minorUnit val="6"/>
      </c:valAx>
      <c:valAx>
        <c:axId val="599098496"/>
        <c:scaling>
          <c:orientation val="minMax"/>
          <c:max val="17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Compounded Costs of Disposables and Reusables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103744"/>
        <c:crosses val="autoZero"/>
        <c:crossBetween val="midCat"/>
        <c:majorUnit val="25000"/>
        <c:minorUnit val="25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2069491035533798E-2"/>
          <c:y val="7.3076700997091668E-3"/>
          <c:w val="0.89708749003704902"/>
          <c:h val="7.92559343821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Prevented Pounds of Waste and Cost of Hauling per Month vs </a:t>
            </a:r>
          </a:p>
          <a:p>
            <a:pPr>
              <a:defRPr/>
            </a:pPr>
            <a:r>
              <a:rPr lang="en-US"/>
              <a:t>Percentage of WPI Community Participation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Sheet1!$BK$5</c:f>
              <c:strCache>
                <c:ptCount val="1"/>
                <c:pt idx="0">
                  <c:v>Pounds of Waste Prevented per Month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Sheet1!$BJ$6:$BJ$10</c:f>
              <c:numCache>
                <c:formatCode>0%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Sheet1!$BK$6:$BK$10</c:f>
              <c:numCache>
                <c:formatCode>0</c:formatCode>
                <c:ptCount val="5"/>
                <c:pt idx="0">
                  <c:v>129.01</c:v>
                </c:pt>
                <c:pt idx="1">
                  <c:v>322.52499999999998</c:v>
                </c:pt>
                <c:pt idx="2">
                  <c:v>645.04999999999995</c:v>
                </c:pt>
                <c:pt idx="3">
                  <c:v>967.57499999999993</c:v>
                </c:pt>
                <c:pt idx="4">
                  <c:v>1290.0999999999999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6-46AE-9301-B7FC8FBD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527768"/>
        <c:axId val="133524488"/>
      </c:barChart>
      <c:lineChart>
        <c:grouping val="standard"/>
        <c:varyColors val="0"/>
        <c:ser>
          <c:idx val="1"/>
          <c:order val="1"/>
          <c:tx>
            <c:strRef>
              <c:f>Sheet1!$BL$5</c:f>
              <c:strCache>
                <c:ptCount val="1"/>
                <c:pt idx="0">
                  <c:v>Money Saved From Waste Managment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4076716972878389E-2"/>
                  <c:y val="-4.118246937882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C6-46AE-9301-B7FC8FBDAA47}"/>
                </c:ext>
              </c:extLst>
            </c:dLbl>
            <c:dLbl>
              <c:idx val="2"/>
              <c:layout>
                <c:manualLayout>
                  <c:x val="-3.0232939632545933E-2"/>
                  <c:y val="-5.279937664042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C6-46AE-9301-B7FC8FBDAA47}"/>
                </c:ext>
              </c:extLst>
            </c:dLbl>
            <c:dLbl>
              <c:idx val="3"/>
              <c:layout>
                <c:manualLayout>
                  <c:x val="-3.1390347039953338E-2"/>
                  <c:y val="-6.5661225940507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C6-46AE-9301-B7FC8FBDAA47}"/>
                </c:ext>
              </c:extLst>
            </c:dLbl>
            <c:dLbl>
              <c:idx val="4"/>
              <c:layout>
                <c:manualLayout>
                  <c:x val="-3.1390347039953512E-2"/>
                  <c:y val="-8.6788057742782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C6-46AE-9301-B7FC8FBDAA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Sheet1!$BJ$6:$BJ$10</c:f>
              <c:numCache>
                <c:formatCode>0%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cat>
          <c:val>
            <c:numRef>
              <c:f>Sheet1!$BL$6:$BL$10</c:f>
              <c:numCache>
                <c:formatCode>_("$"* #,##0.00_);_("$"* \(#,##0.00\);_("$"* "-"??_);_(@_)</c:formatCode>
                <c:ptCount val="5"/>
                <c:pt idx="0">
                  <c:v>5.1603999999999992</c:v>
                </c:pt>
                <c:pt idx="1">
                  <c:v>12.900999999999998</c:v>
                </c:pt>
                <c:pt idx="2">
                  <c:v>25.801999999999996</c:v>
                </c:pt>
                <c:pt idx="3">
                  <c:v>38.702999999999996</c:v>
                </c:pt>
                <c:pt idx="4">
                  <c:v>51.603999999999992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6-46AE-9301-B7FC8FBD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54312"/>
        <c:axId val="296152672"/>
      </c:lineChart>
      <c:catAx>
        <c:axId val="133527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Percentage Participating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24488"/>
        <c:crosses val="autoZero"/>
        <c:auto val="1"/>
        <c:lblAlgn val="ctr"/>
        <c:lblOffset val="100"/>
        <c:noMultiLvlLbl val="0"/>
      </c:catAx>
      <c:valAx>
        <c:axId val="13352448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527768"/>
        <c:crosses val="autoZero"/>
        <c:crossBetween val="between"/>
      </c:valAx>
      <c:valAx>
        <c:axId val="296152672"/>
        <c:scaling>
          <c:orientation val="minMax"/>
        </c:scaling>
        <c:delete val="0"/>
        <c:axPos val="r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6154312"/>
        <c:crosses val="max"/>
        <c:crossBetween val="between"/>
      </c:valAx>
      <c:catAx>
        <c:axId val="2961543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96152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0% Reusables (Current Conditions)</c:v>
          </c:tx>
          <c:spPr>
            <a:ln w="571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Sheet1!$Y$142:$Y$160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Sheet1!$L$142:$L$202</c:f>
              <c:numCache>
                <c:formatCode>"$"#,##0.00_);[Red]\("$"#,##0.00\)</c:formatCode>
                <c:ptCount val="61"/>
                <c:pt idx="0">
                  <c:v>2691.05</c:v>
                </c:pt>
                <c:pt idx="1">
                  <c:v>5382.1</c:v>
                </c:pt>
                <c:pt idx="2">
                  <c:v>8073.1500000000005</c:v>
                </c:pt>
                <c:pt idx="3">
                  <c:v>10764.2</c:v>
                </c:pt>
                <c:pt idx="4">
                  <c:v>13455.25</c:v>
                </c:pt>
                <c:pt idx="5">
                  <c:v>16146.3</c:v>
                </c:pt>
                <c:pt idx="6">
                  <c:v>18837.349999999999</c:v>
                </c:pt>
                <c:pt idx="7">
                  <c:v>21528.399999999998</c:v>
                </c:pt>
                <c:pt idx="8">
                  <c:v>24219.449999999997</c:v>
                </c:pt>
                <c:pt idx="9">
                  <c:v>26910.499999999996</c:v>
                </c:pt>
                <c:pt idx="10">
                  <c:v>29601.549999999996</c:v>
                </c:pt>
                <c:pt idx="11">
                  <c:v>32292.599999999995</c:v>
                </c:pt>
                <c:pt idx="12">
                  <c:v>34983.649999999994</c:v>
                </c:pt>
                <c:pt idx="13">
                  <c:v>37674.699999999997</c:v>
                </c:pt>
                <c:pt idx="14">
                  <c:v>40365.75</c:v>
                </c:pt>
                <c:pt idx="15">
                  <c:v>43056.800000000003</c:v>
                </c:pt>
                <c:pt idx="16">
                  <c:v>45747.850000000006</c:v>
                </c:pt>
                <c:pt idx="17">
                  <c:v>48438.900000000009</c:v>
                </c:pt>
                <c:pt idx="18">
                  <c:v>51129.950000000012</c:v>
                </c:pt>
                <c:pt idx="19">
                  <c:v>53821.000000000015</c:v>
                </c:pt>
                <c:pt idx="20">
                  <c:v>56512.050000000017</c:v>
                </c:pt>
                <c:pt idx="21">
                  <c:v>59203.10000000002</c:v>
                </c:pt>
                <c:pt idx="22">
                  <c:v>61894.150000000023</c:v>
                </c:pt>
                <c:pt idx="23">
                  <c:v>64585.200000000026</c:v>
                </c:pt>
                <c:pt idx="24">
                  <c:v>67276.250000000029</c:v>
                </c:pt>
                <c:pt idx="25">
                  <c:v>69967.300000000032</c:v>
                </c:pt>
                <c:pt idx="26">
                  <c:v>72658.350000000035</c:v>
                </c:pt>
                <c:pt idx="27">
                  <c:v>75349.400000000038</c:v>
                </c:pt>
                <c:pt idx="28">
                  <c:v>78040.450000000041</c:v>
                </c:pt>
                <c:pt idx="29">
                  <c:v>80731.500000000044</c:v>
                </c:pt>
                <c:pt idx="30">
                  <c:v>83422.550000000047</c:v>
                </c:pt>
                <c:pt idx="31">
                  <c:v>86113.600000000049</c:v>
                </c:pt>
                <c:pt idx="32">
                  <c:v>88804.650000000052</c:v>
                </c:pt>
                <c:pt idx="33">
                  <c:v>91495.700000000055</c:v>
                </c:pt>
                <c:pt idx="34">
                  <c:v>94186.750000000058</c:v>
                </c:pt>
                <c:pt idx="35">
                  <c:v>96877.800000000061</c:v>
                </c:pt>
                <c:pt idx="36">
                  <c:v>99568.850000000064</c:v>
                </c:pt>
                <c:pt idx="37">
                  <c:v>102259.90000000007</c:v>
                </c:pt>
                <c:pt idx="38">
                  <c:v>104950.95000000007</c:v>
                </c:pt>
                <c:pt idx="39">
                  <c:v>107642.00000000007</c:v>
                </c:pt>
                <c:pt idx="40">
                  <c:v>110333.05000000008</c:v>
                </c:pt>
                <c:pt idx="41">
                  <c:v>113024.10000000008</c:v>
                </c:pt>
                <c:pt idx="42">
                  <c:v>115715.15000000008</c:v>
                </c:pt>
                <c:pt idx="43">
                  <c:v>118406.20000000008</c:v>
                </c:pt>
                <c:pt idx="44">
                  <c:v>121097.25000000009</c:v>
                </c:pt>
                <c:pt idx="45">
                  <c:v>123788.30000000009</c:v>
                </c:pt>
                <c:pt idx="46">
                  <c:v>126479.35000000009</c:v>
                </c:pt>
                <c:pt idx="47">
                  <c:v>129170.4000000001</c:v>
                </c:pt>
                <c:pt idx="48">
                  <c:v>131861.4500000001</c:v>
                </c:pt>
                <c:pt idx="49">
                  <c:v>134552.50000000009</c:v>
                </c:pt>
                <c:pt idx="50">
                  <c:v>137243.55000000008</c:v>
                </c:pt>
                <c:pt idx="51">
                  <c:v>139934.60000000006</c:v>
                </c:pt>
                <c:pt idx="52">
                  <c:v>142625.65000000005</c:v>
                </c:pt>
                <c:pt idx="53">
                  <c:v>145316.70000000004</c:v>
                </c:pt>
                <c:pt idx="54">
                  <c:v>148007.75000000003</c:v>
                </c:pt>
                <c:pt idx="55">
                  <c:v>150698.80000000002</c:v>
                </c:pt>
                <c:pt idx="56">
                  <c:v>153389.85</c:v>
                </c:pt>
                <c:pt idx="57">
                  <c:v>156080.9</c:v>
                </c:pt>
                <c:pt idx="58">
                  <c:v>158771.94999999998</c:v>
                </c:pt>
                <c:pt idx="59">
                  <c:v>161462.99999999997</c:v>
                </c:pt>
                <c:pt idx="60">
                  <c:v>164154.04999999996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C1-4E1E-988A-7FA9560EF02A}"/>
            </c:ext>
          </c:extLst>
        </c:ser>
        <c:ser>
          <c:idx val="2"/>
          <c:order val="2"/>
          <c:tx>
            <c:v>50% Reusables</c:v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Sheet1!$Y$142:$Y$160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Sheet1!$R$142:$R$202</c:f>
              <c:numCache>
                <c:formatCode>"$"#,##0.00_);[Red]\("$"#,##0.00\)</c:formatCode>
                <c:ptCount val="61"/>
                <c:pt idx="0">
                  <c:v>9072.5249999999996</c:v>
                </c:pt>
                <c:pt idx="1">
                  <c:v>11019.55</c:v>
                </c:pt>
                <c:pt idx="2">
                  <c:v>12966.575000000001</c:v>
                </c:pt>
                <c:pt idx="3">
                  <c:v>14913.6</c:v>
                </c:pt>
                <c:pt idx="4">
                  <c:v>16860.625</c:v>
                </c:pt>
                <c:pt idx="5">
                  <c:v>18807.650000000001</c:v>
                </c:pt>
                <c:pt idx="6">
                  <c:v>20754.674999999999</c:v>
                </c:pt>
                <c:pt idx="7">
                  <c:v>22701.699999999997</c:v>
                </c:pt>
                <c:pt idx="8">
                  <c:v>24648.724999999999</c:v>
                </c:pt>
                <c:pt idx="9">
                  <c:v>26595.75</c:v>
                </c:pt>
                <c:pt idx="10">
                  <c:v>28542.774999999998</c:v>
                </c:pt>
                <c:pt idx="11">
                  <c:v>30489.799999999996</c:v>
                </c:pt>
                <c:pt idx="12">
                  <c:v>32436.824999999997</c:v>
                </c:pt>
                <c:pt idx="13">
                  <c:v>34383.85</c:v>
                </c:pt>
                <c:pt idx="14">
                  <c:v>36330.875</c:v>
                </c:pt>
                <c:pt idx="15">
                  <c:v>38277.9</c:v>
                </c:pt>
                <c:pt idx="16">
                  <c:v>40224.925000000003</c:v>
                </c:pt>
                <c:pt idx="17">
                  <c:v>42171.950000000004</c:v>
                </c:pt>
                <c:pt idx="18">
                  <c:v>44118.975000000006</c:v>
                </c:pt>
                <c:pt idx="19">
                  <c:v>46066.000000000007</c:v>
                </c:pt>
                <c:pt idx="20">
                  <c:v>48013.025000000009</c:v>
                </c:pt>
                <c:pt idx="21">
                  <c:v>49960.05000000001</c:v>
                </c:pt>
                <c:pt idx="22">
                  <c:v>51907.075000000012</c:v>
                </c:pt>
                <c:pt idx="23">
                  <c:v>53854.100000000013</c:v>
                </c:pt>
                <c:pt idx="24">
                  <c:v>55801.125000000015</c:v>
                </c:pt>
                <c:pt idx="25">
                  <c:v>57748.150000000016</c:v>
                </c:pt>
                <c:pt idx="26">
                  <c:v>59695.175000000017</c:v>
                </c:pt>
                <c:pt idx="27">
                  <c:v>61642.200000000019</c:v>
                </c:pt>
                <c:pt idx="28">
                  <c:v>63589.22500000002</c:v>
                </c:pt>
                <c:pt idx="29">
                  <c:v>65536.250000000029</c:v>
                </c:pt>
                <c:pt idx="30">
                  <c:v>67483.275000000023</c:v>
                </c:pt>
                <c:pt idx="31">
                  <c:v>69430.300000000017</c:v>
                </c:pt>
                <c:pt idx="32">
                  <c:v>71377.325000000026</c:v>
                </c:pt>
                <c:pt idx="33">
                  <c:v>73324.350000000035</c:v>
                </c:pt>
                <c:pt idx="34">
                  <c:v>75271.375000000029</c:v>
                </c:pt>
                <c:pt idx="35">
                  <c:v>77218.400000000023</c:v>
                </c:pt>
                <c:pt idx="36">
                  <c:v>79165.425000000032</c:v>
                </c:pt>
                <c:pt idx="37">
                  <c:v>81112.450000000041</c:v>
                </c:pt>
                <c:pt idx="38">
                  <c:v>83059.475000000035</c:v>
                </c:pt>
                <c:pt idx="39">
                  <c:v>85006.500000000029</c:v>
                </c:pt>
                <c:pt idx="40">
                  <c:v>86953.525000000038</c:v>
                </c:pt>
                <c:pt idx="41">
                  <c:v>88900.550000000047</c:v>
                </c:pt>
                <c:pt idx="42">
                  <c:v>90847.575000000041</c:v>
                </c:pt>
                <c:pt idx="43">
                  <c:v>92794.600000000035</c:v>
                </c:pt>
                <c:pt idx="44">
                  <c:v>94741.625000000044</c:v>
                </c:pt>
                <c:pt idx="45">
                  <c:v>96688.650000000052</c:v>
                </c:pt>
                <c:pt idx="46">
                  <c:v>98635.675000000047</c:v>
                </c:pt>
                <c:pt idx="47">
                  <c:v>100582.70000000004</c:v>
                </c:pt>
                <c:pt idx="48">
                  <c:v>102529.72500000005</c:v>
                </c:pt>
                <c:pt idx="49">
                  <c:v>104476.75000000004</c:v>
                </c:pt>
                <c:pt idx="50">
                  <c:v>106423.77500000004</c:v>
                </c:pt>
                <c:pt idx="51">
                  <c:v>108370.80000000003</c:v>
                </c:pt>
                <c:pt idx="52">
                  <c:v>110317.82500000003</c:v>
                </c:pt>
                <c:pt idx="53">
                  <c:v>112264.85000000002</c:v>
                </c:pt>
                <c:pt idx="54">
                  <c:v>114211.87500000001</c:v>
                </c:pt>
                <c:pt idx="55">
                  <c:v>116158.90000000001</c:v>
                </c:pt>
                <c:pt idx="56">
                  <c:v>118105.925</c:v>
                </c:pt>
                <c:pt idx="57">
                  <c:v>120052.95</c:v>
                </c:pt>
                <c:pt idx="58">
                  <c:v>121999.97499999999</c:v>
                </c:pt>
                <c:pt idx="59">
                  <c:v>123946.99999999999</c:v>
                </c:pt>
                <c:pt idx="60">
                  <c:v>125894.02499999998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C1-4E1E-988A-7FA9560EF02A}"/>
            </c:ext>
          </c:extLst>
        </c:ser>
        <c:ser>
          <c:idx val="3"/>
          <c:order val="3"/>
          <c:tx>
            <c:v>75% Reusables</c:v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Sheet1!$Y$142:$Y$160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Sheet1!$U$142:$U$202</c:f>
              <c:numCache>
                <c:formatCode>"$"#,##0.00_);[Red]\("$"#,##0.00\)</c:formatCode>
                <c:ptCount val="61"/>
                <c:pt idx="0">
                  <c:v>8399.7625000000007</c:v>
                </c:pt>
                <c:pt idx="1">
                  <c:v>9725.2749999999996</c:v>
                </c:pt>
                <c:pt idx="2">
                  <c:v>11050.7875</c:v>
                </c:pt>
                <c:pt idx="3">
                  <c:v>12376.3</c:v>
                </c:pt>
                <c:pt idx="4">
                  <c:v>13701.8125</c:v>
                </c:pt>
                <c:pt idx="5">
                  <c:v>15027.325000000001</c:v>
                </c:pt>
                <c:pt idx="6">
                  <c:v>16352.8375</c:v>
                </c:pt>
                <c:pt idx="7">
                  <c:v>17678.349999999999</c:v>
                </c:pt>
                <c:pt idx="8">
                  <c:v>19003.862499999999</c:v>
                </c:pt>
                <c:pt idx="9">
                  <c:v>20329.375</c:v>
                </c:pt>
                <c:pt idx="10">
                  <c:v>21654.887499999997</c:v>
                </c:pt>
                <c:pt idx="11">
                  <c:v>22980.399999999998</c:v>
                </c:pt>
                <c:pt idx="12">
                  <c:v>24305.912499999999</c:v>
                </c:pt>
                <c:pt idx="13">
                  <c:v>25631.424999999999</c:v>
                </c:pt>
                <c:pt idx="14">
                  <c:v>26956.9375</c:v>
                </c:pt>
                <c:pt idx="15">
                  <c:v>28282.45</c:v>
                </c:pt>
                <c:pt idx="16">
                  <c:v>29607.962500000001</c:v>
                </c:pt>
                <c:pt idx="17">
                  <c:v>30933.475000000002</c:v>
                </c:pt>
                <c:pt idx="18">
                  <c:v>32258.987500000003</c:v>
                </c:pt>
                <c:pt idx="19">
                  <c:v>33584.5</c:v>
                </c:pt>
                <c:pt idx="20">
                  <c:v>34910.012500000004</c:v>
                </c:pt>
                <c:pt idx="21">
                  <c:v>36235.525000000009</c:v>
                </c:pt>
                <c:pt idx="22">
                  <c:v>37561.037500000006</c:v>
                </c:pt>
                <c:pt idx="23">
                  <c:v>38886.550000000003</c:v>
                </c:pt>
                <c:pt idx="24">
                  <c:v>40212.062500000007</c:v>
                </c:pt>
                <c:pt idx="25">
                  <c:v>41537.575000000012</c:v>
                </c:pt>
                <c:pt idx="26">
                  <c:v>42863.087500000009</c:v>
                </c:pt>
                <c:pt idx="27">
                  <c:v>44188.600000000006</c:v>
                </c:pt>
                <c:pt idx="28">
                  <c:v>45514.11250000001</c:v>
                </c:pt>
                <c:pt idx="29">
                  <c:v>46839.625000000015</c:v>
                </c:pt>
                <c:pt idx="30">
                  <c:v>48165.137500000012</c:v>
                </c:pt>
                <c:pt idx="31">
                  <c:v>49490.650000000009</c:v>
                </c:pt>
                <c:pt idx="32">
                  <c:v>50816.162500000013</c:v>
                </c:pt>
                <c:pt idx="33">
                  <c:v>52141.675000000017</c:v>
                </c:pt>
                <c:pt idx="34">
                  <c:v>53467.187500000015</c:v>
                </c:pt>
                <c:pt idx="35">
                  <c:v>54792.700000000012</c:v>
                </c:pt>
                <c:pt idx="36">
                  <c:v>56118.212500000016</c:v>
                </c:pt>
                <c:pt idx="37">
                  <c:v>57443.72500000002</c:v>
                </c:pt>
                <c:pt idx="38">
                  <c:v>58769.237500000017</c:v>
                </c:pt>
                <c:pt idx="39">
                  <c:v>60094.750000000015</c:v>
                </c:pt>
                <c:pt idx="40">
                  <c:v>61420.262500000019</c:v>
                </c:pt>
                <c:pt idx="41">
                  <c:v>62745.775000000023</c:v>
                </c:pt>
                <c:pt idx="42">
                  <c:v>64071.28750000002</c:v>
                </c:pt>
                <c:pt idx="43">
                  <c:v>65396.800000000017</c:v>
                </c:pt>
                <c:pt idx="44">
                  <c:v>66722.312500000029</c:v>
                </c:pt>
                <c:pt idx="45">
                  <c:v>68047.825000000026</c:v>
                </c:pt>
                <c:pt idx="46">
                  <c:v>69373.337500000023</c:v>
                </c:pt>
                <c:pt idx="47">
                  <c:v>70698.85000000002</c:v>
                </c:pt>
                <c:pt idx="48">
                  <c:v>72024.362500000017</c:v>
                </c:pt>
                <c:pt idx="49">
                  <c:v>73349.875000000029</c:v>
                </c:pt>
                <c:pt idx="50">
                  <c:v>74675.387500000012</c:v>
                </c:pt>
                <c:pt idx="51">
                  <c:v>76000.900000000023</c:v>
                </c:pt>
                <c:pt idx="52">
                  <c:v>77326.412500000006</c:v>
                </c:pt>
                <c:pt idx="53">
                  <c:v>78651.925000000017</c:v>
                </c:pt>
                <c:pt idx="54">
                  <c:v>79977.4375</c:v>
                </c:pt>
                <c:pt idx="55">
                  <c:v>81302.950000000012</c:v>
                </c:pt>
                <c:pt idx="56">
                  <c:v>82628.462499999994</c:v>
                </c:pt>
                <c:pt idx="57">
                  <c:v>83953.975000000006</c:v>
                </c:pt>
                <c:pt idx="58">
                  <c:v>85279.487499999988</c:v>
                </c:pt>
                <c:pt idx="59">
                  <c:v>86605</c:v>
                </c:pt>
                <c:pt idx="60">
                  <c:v>87930.512499999983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C1-4E1E-988A-7FA9560EF02A}"/>
            </c:ext>
          </c:extLst>
        </c:ser>
        <c:ser>
          <c:idx val="4"/>
          <c:order val="4"/>
          <c:tx>
            <c:v>100% Reusables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Sheet1!$Y$142:$Y$160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Sheet1!$X$142:$X$202</c:f>
              <c:numCache>
                <c:formatCode>"$"#,##0.00_);[Red]\("$"#,##0.00\)</c:formatCode>
                <c:ptCount val="61"/>
                <c:pt idx="0">
                  <c:v>7727</c:v>
                </c:pt>
                <c:pt idx="1">
                  <c:v>8431</c:v>
                </c:pt>
                <c:pt idx="2">
                  <c:v>9135</c:v>
                </c:pt>
                <c:pt idx="3">
                  <c:v>9839</c:v>
                </c:pt>
                <c:pt idx="4">
                  <c:v>10543</c:v>
                </c:pt>
                <c:pt idx="5">
                  <c:v>11247</c:v>
                </c:pt>
                <c:pt idx="6">
                  <c:v>11951</c:v>
                </c:pt>
                <c:pt idx="7">
                  <c:v>12655</c:v>
                </c:pt>
                <c:pt idx="8">
                  <c:v>13359</c:v>
                </c:pt>
                <c:pt idx="9">
                  <c:v>14063</c:v>
                </c:pt>
                <c:pt idx="10">
                  <c:v>14767</c:v>
                </c:pt>
                <c:pt idx="11">
                  <c:v>15471</c:v>
                </c:pt>
                <c:pt idx="12">
                  <c:v>16175</c:v>
                </c:pt>
                <c:pt idx="13">
                  <c:v>16879</c:v>
                </c:pt>
                <c:pt idx="14">
                  <c:v>17583</c:v>
                </c:pt>
                <c:pt idx="15">
                  <c:v>18287</c:v>
                </c:pt>
                <c:pt idx="16">
                  <c:v>18991</c:v>
                </c:pt>
                <c:pt idx="17">
                  <c:v>19695</c:v>
                </c:pt>
                <c:pt idx="18">
                  <c:v>20399</c:v>
                </c:pt>
                <c:pt idx="19">
                  <c:v>21103</c:v>
                </c:pt>
                <c:pt idx="20">
                  <c:v>21807</c:v>
                </c:pt>
                <c:pt idx="21">
                  <c:v>22511</c:v>
                </c:pt>
                <c:pt idx="22">
                  <c:v>23215</c:v>
                </c:pt>
                <c:pt idx="23">
                  <c:v>23919</c:v>
                </c:pt>
                <c:pt idx="24">
                  <c:v>24623</c:v>
                </c:pt>
                <c:pt idx="25">
                  <c:v>25327</c:v>
                </c:pt>
                <c:pt idx="26">
                  <c:v>26031</c:v>
                </c:pt>
                <c:pt idx="27">
                  <c:v>26735</c:v>
                </c:pt>
                <c:pt idx="28">
                  <c:v>27439</c:v>
                </c:pt>
                <c:pt idx="29">
                  <c:v>28143</c:v>
                </c:pt>
                <c:pt idx="30">
                  <c:v>28847</c:v>
                </c:pt>
                <c:pt idx="31">
                  <c:v>29551</c:v>
                </c:pt>
                <c:pt idx="32">
                  <c:v>30255</c:v>
                </c:pt>
                <c:pt idx="33">
                  <c:v>30959</c:v>
                </c:pt>
                <c:pt idx="34">
                  <c:v>31663</c:v>
                </c:pt>
                <c:pt idx="35">
                  <c:v>32367</c:v>
                </c:pt>
                <c:pt idx="36">
                  <c:v>33071</c:v>
                </c:pt>
                <c:pt idx="37">
                  <c:v>33775</c:v>
                </c:pt>
                <c:pt idx="38">
                  <c:v>34479</c:v>
                </c:pt>
                <c:pt idx="39">
                  <c:v>35183</c:v>
                </c:pt>
                <c:pt idx="40">
                  <c:v>35887</c:v>
                </c:pt>
                <c:pt idx="41">
                  <c:v>36591</c:v>
                </c:pt>
                <c:pt idx="42">
                  <c:v>37295</c:v>
                </c:pt>
                <c:pt idx="43">
                  <c:v>37999</c:v>
                </c:pt>
                <c:pt idx="44">
                  <c:v>38703</c:v>
                </c:pt>
                <c:pt idx="45">
                  <c:v>39407</c:v>
                </c:pt>
                <c:pt idx="46">
                  <c:v>40111</c:v>
                </c:pt>
                <c:pt idx="47">
                  <c:v>40815</c:v>
                </c:pt>
                <c:pt idx="48">
                  <c:v>41519</c:v>
                </c:pt>
                <c:pt idx="49">
                  <c:v>42223</c:v>
                </c:pt>
                <c:pt idx="50">
                  <c:v>42927</c:v>
                </c:pt>
                <c:pt idx="51">
                  <c:v>43631</c:v>
                </c:pt>
                <c:pt idx="52">
                  <c:v>44335</c:v>
                </c:pt>
                <c:pt idx="53">
                  <c:v>45039</c:v>
                </c:pt>
                <c:pt idx="54">
                  <c:v>45743</c:v>
                </c:pt>
                <c:pt idx="55">
                  <c:v>46447</c:v>
                </c:pt>
                <c:pt idx="56">
                  <c:v>47151</c:v>
                </c:pt>
                <c:pt idx="57">
                  <c:v>47855</c:v>
                </c:pt>
                <c:pt idx="58">
                  <c:v>48559</c:v>
                </c:pt>
                <c:pt idx="59">
                  <c:v>49263</c:v>
                </c:pt>
                <c:pt idx="60">
                  <c:v>49967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C1-4E1E-988A-7FA9560EF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272472"/>
        <c:axId val="69727280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25% Reusables</c:v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Sheet1!$Y$142:$Y$160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Sheet1!$O$142:$O$202</c15:sqref>
                        </c15:formulaRef>
                      </c:ext>
                    </c:extLst>
                    <c:numCache>
                      <c:formatCode>"$"#,##0.00_);[Red]\("$"#,##0.00\)</c:formatCode>
                      <c:ptCount val="61"/>
                      <c:pt idx="0">
                        <c:v>9745.2875000000004</c:v>
                      </c:pt>
                      <c:pt idx="1">
                        <c:v>12313.825000000001</c:v>
                      </c:pt>
                      <c:pt idx="2">
                        <c:v>14882.362499999999</c:v>
                      </c:pt>
                      <c:pt idx="3">
                        <c:v>17450.900000000001</c:v>
                      </c:pt>
                      <c:pt idx="4">
                        <c:v>20019.4375</c:v>
                      </c:pt>
                      <c:pt idx="5">
                        <c:v>22587.974999999999</c:v>
                      </c:pt>
                      <c:pt idx="6">
                        <c:v>25156.512500000001</c:v>
                      </c:pt>
                      <c:pt idx="7">
                        <c:v>27725.050000000003</c:v>
                      </c:pt>
                      <c:pt idx="8">
                        <c:v>30293.587500000001</c:v>
                      </c:pt>
                      <c:pt idx="9">
                        <c:v>32862.125</c:v>
                      </c:pt>
                      <c:pt idx="10">
                        <c:v>35430.662499999999</c:v>
                      </c:pt>
                      <c:pt idx="11">
                        <c:v>37999.199999999997</c:v>
                      </c:pt>
                      <c:pt idx="12">
                        <c:v>40567.737499999996</c:v>
                      </c:pt>
                      <c:pt idx="13">
                        <c:v>43136.274999999994</c:v>
                      </c:pt>
                      <c:pt idx="14">
                        <c:v>45704.812499999993</c:v>
                      </c:pt>
                      <c:pt idx="15">
                        <c:v>48273.349999999991</c:v>
                      </c:pt>
                      <c:pt idx="16">
                        <c:v>50841.88749999999</c:v>
                      </c:pt>
                      <c:pt idx="17">
                        <c:v>53410.424999999988</c:v>
                      </c:pt>
                      <c:pt idx="18">
                        <c:v>55978.962499999987</c:v>
                      </c:pt>
                      <c:pt idx="19">
                        <c:v>58547.499999999985</c:v>
                      </c:pt>
                      <c:pt idx="20">
                        <c:v>61116.037499999984</c:v>
                      </c:pt>
                      <c:pt idx="21">
                        <c:v>63684.574999999983</c:v>
                      </c:pt>
                      <c:pt idx="22">
                        <c:v>66253.112499999988</c:v>
                      </c:pt>
                      <c:pt idx="23">
                        <c:v>68821.64999999998</c:v>
                      </c:pt>
                      <c:pt idx="24">
                        <c:v>71390.187499999971</c:v>
                      </c:pt>
                      <c:pt idx="25">
                        <c:v>73958.724999999977</c:v>
                      </c:pt>
                      <c:pt idx="26">
                        <c:v>76527.262499999983</c:v>
                      </c:pt>
                      <c:pt idx="27">
                        <c:v>79095.799999999974</c:v>
                      </c:pt>
                      <c:pt idx="28">
                        <c:v>81664.337499999965</c:v>
                      </c:pt>
                      <c:pt idx="29">
                        <c:v>84232.874999999971</c:v>
                      </c:pt>
                      <c:pt idx="30">
                        <c:v>86801.412499999977</c:v>
                      </c:pt>
                      <c:pt idx="31">
                        <c:v>89369.949999999968</c:v>
                      </c:pt>
                      <c:pt idx="32">
                        <c:v>91938.487499999974</c:v>
                      </c:pt>
                      <c:pt idx="33">
                        <c:v>94507.02499999998</c:v>
                      </c:pt>
                      <c:pt idx="34">
                        <c:v>97075.562499999985</c:v>
                      </c:pt>
                      <c:pt idx="35">
                        <c:v>99644.099999999991</c:v>
                      </c:pt>
                      <c:pt idx="36">
                        <c:v>102212.6375</c:v>
                      </c:pt>
                      <c:pt idx="37">
                        <c:v>104781.175</c:v>
                      </c:pt>
                      <c:pt idx="38">
                        <c:v>107349.71250000001</c:v>
                      </c:pt>
                      <c:pt idx="39">
                        <c:v>109918.25000000001</c:v>
                      </c:pt>
                      <c:pt idx="40">
                        <c:v>112486.78750000002</c:v>
                      </c:pt>
                      <c:pt idx="41">
                        <c:v>115055.32500000003</c:v>
                      </c:pt>
                      <c:pt idx="42">
                        <c:v>117623.86250000003</c:v>
                      </c:pt>
                      <c:pt idx="43">
                        <c:v>120192.40000000004</c:v>
                      </c:pt>
                      <c:pt idx="44">
                        <c:v>122760.93750000004</c:v>
                      </c:pt>
                      <c:pt idx="45">
                        <c:v>125329.47500000005</c:v>
                      </c:pt>
                      <c:pt idx="46">
                        <c:v>127898.01250000006</c:v>
                      </c:pt>
                      <c:pt idx="47">
                        <c:v>130466.55000000006</c:v>
                      </c:pt>
                      <c:pt idx="48">
                        <c:v>133035.08750000008</c:v>
                      </c:pt>
                      <c:pt idx="49">
                        <c:v>135603.62500000006</c:v>
                      </c:pt>
                      <c:pt idx="50">
                        <c:v>138172.16250000009</c:v>
                      </c:pt>
                      <c:pt idx="51">
                        <c:v>140740.70000000007</c:v>
                      </c:pt>
                      <c:pt idx="52">
                        <c:v>143309.2375000001</c:v>
                      </c:pt>
                      <c:pt idx="53">
                        <c:v>145877.77500000008</c:v>
                      </c:pt>
                      <c:pt idx="54">
                        <c:v>148446.31250000012</c:v>
                      </c:pt>
                      <c:pt idx="55">
                        <c:v>151014.85000000009</c:v>
                      </c:pt>
                      <c:pt idx="56">
                        <c:v>153583.38750000013</c:v>
                      </c:pt>
                      <c:pt idx="57">
                        <c:v>156151.9250000001</c:v>
                      </c:pt>
                      <c:pt idx="58">
                        <c:v>158720.46250000014</c:v>
                      </c:pt>
                      <c:pt idx="59">
                        <c:v>161289.00000000012</c:v>
                      </c:pt>
                      <c:pt idx="60">
                        <c:v>163857.53750000015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B2C1-4E1E-988A-7FA9560EF02A}"/>
                  </c:ext>
                </c:extLst>
              </c15:ser>
            </c15:filteredScatterSeries>
          </c:ext>
        </c:extLst>
      </c:scatterChart>
      <c:valAx>
        <c:axId val="697272472"/>
        <c:scaling>
          <c:orientation val="minMax"/>
          <c:max val="18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/>
                  <a:t>Time (Months)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7272800"/>
        <c:crosses val="autoZero"/>
        <c:crossBetween val="midCat"/>
        <c:majorUnit val="3"/>
        <c:minorUnit val="3"/>
      </c:valAx>
      <c:valAx>
        <c:axId val="69727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/>
                  <a:t>Compounded Costs of Disposables and Reusables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_);[Red]\(&quot;$&quot;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7272472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>
                <a:latin typeface="Arial" panose="020B0604020202020204" pitchFamily="34" charset="0"/>
                <a:cs typeface="Arial" panose="020B0604020202020204" pitchFamily="34" charset="0"/>
              </a:rPr>
              <a:t>Savings vs</a:t>
            </a:r>
            <a:r>
              <a:rPr lang="en-US" sz="3000" baseline="0">
                <a:latin typeface="Arial" panose="020B0604020202020204" pitchFamily="34" charset="0"/>
                <a:cs typeface="Arial" panose="020B0604020202020204" pitchFamily="34" charset="0"/>
              </a:rPr>
              <a:t> Disposables Over 60 Months</a:t>
            </a:r>
            <a:endParaRPr lang="en-US" sz="3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Sheet1!$AU$115</c:f>
              <c:strCache>
                <c:ptCount val="1"/>
                <c:pt idx="0">
                  <c:v>Purchased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Sheet1!$AT$116:$AT$119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cat>
          <c:val>
            <c:numRef>
              <c:f>Sheet1!$AU$116:$AU$119</c:f>
              <c:numCache>
                <c:formatCode>"$"#,##0_);[Red]\("$"#,##0\)</c:formatCode>
                <c:ptCount val="4"/>
                <c:pt idx="0">
                  <c:v>10628.309999999969</c:v>
                </c:pt>
                <c:pt idx="1">
                  <c:v>47394.0600000001</c:v>
                </c:pt>
                <c:pt idx="2">
                  <c:v>84159.810000000085</c:v>
                </c:pt>
                <c:pt idx="3">
                  <c:v>120925.56000000008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6-40CB-9D7B-81600A165905}"/>
            </c:ext>
          </c:extLst>
        </c:ser>
        <c:ser>
          <c:idx val="1"/>
          <c:order val="1"/>
          <c:tx>
            <c:strRef>
              <c:f>Sheet1!$AV$115</c:f>
              <c:strCache>
                <c:ptCount val="1"/>
                <c:pt idx="0">
                  <c:v>Leased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Sheet1!$AT$116:$AT$119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cat>
          <c:val>
            <c:numRef>
              <c:f>Sheet1!$AV$116:$AV$119</c:f>
              <c:numCache>
                <c:formatCode>"$"#,##0_);[Red]\("$"#,##0\)</c:formatCode>
                <c:ptCount val="4"/>
                <c:pt idx="0">
                  <c:v>1227.3099999999686</c:v>
                </c:pt>
                <c:pt idx="1">
                  <c:v>37993.0600000001</c:v>
                </c:pt>
                <c:pt idx="2">
                  <c:v>74758.810000000085</c:v>
                </c:pt>
                <c:pt idx="3">
                  <c:v>111524.56000000008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6-40CB-9D7B-81600A165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0431704"/>
        <c:axId val="800432032"/>
      </c:barChart>
      <c:catAx>
        <c:axId val="80043170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0432032"/>
        <c:crosses val="autoZero"/>
        <c:auto val="1"/>
        <c:lblAlgn val="ctr"/>
        <c:lblOffset val="100"/>
        <c:noMultiLvlLbl val="0"/>
      </c:catAx>
      <c:valAx>
        <c:axId val="800432032"/>
        <c:scaling>
          <c:orientation val="minMax"/>
        </c:scaling>
        <c:delete val="1"/>
        <c:axPos val="l"/>
        <c:numFmt formatCode="&quot;$&quot;#,##0_);[Red]\(&quot;$&quot;#,##0\)" sourceLinked="1"/>
        <c:majorTickMark val="none"/>
        <c:minorTickMark val="none"/>
        <c:tickLblPos val="nextTo"/>
        <c:crossAx val="80043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513230</xdr:colOff>
      <xdr:row>7</xdr:row>
      <xdr:rowOff>3735</xdr:rowOff>
    </xdr:from>
    <xdr:to>
      <xdr:col>24</xdr:col>
      <xdr:colOff>233830</xdr:colOff>
      <xdr:row>49</xdr:row>
      <xdr:rowOff>29135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0822DD-72B2-429D-A88F-5568B7EEEA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544286</xdr:colOff>
      <xdr:row>54</xdr:row>
      <xdr:rowOff>130627</xdr:rowOff>
    </xdr:from>
    <xdr:to>
      <xdr:col>24</xdr:col>
      <xdr:colOff>264886</xdr:colOff>
      <xdr:row>94</xdr:row>
      <xdr:rowOff>43541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890612-171D-4B22-862D-14EFABC6A6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591098</xdr:colOff>
      <xdr:row>31</xdr:row>
      <xdr:rowOff>84630</xdr:rowOff>
    </xdr:from>
    <xdr:to>
      <xdr:col>52</xdr:col>
      <xdr:colOff>83098</xdr:colOff>
      <xdr:row>65</xdr:row>
      <xdr:rowOff>287830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190C1F-CA48-441A-B6BE-E6A26D1DD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329761</xdr:colOff>
      <xdr:row>27</xdr:row>
      <xdr:rowOff>118239</xdr:rowOff>
    </xdr:from>
    <xdr:to>
      <xdr:col>68</xdr:col>
      <xdr:colOff>63061</xdr:colOff>
      <xdr:row>64</xdr:row>
      <xdr:rowOff>143639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C9E09CA-D313-48AF-922E-6561BEBF5A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571500</xdr:colOff>
      <xdr:row>68</xdr:row>
      <xdr:rowOff>10160</xdr:rowOff>
    </xdr:from>
    <xdr:to>
      <xdr:col>52</xdr:col>
      <xdr:colOff>63500</xdr:colOff>
      <xdr:row>107</xdr:row>
      <xdr:rowOff>35560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FBEF4EF-5735-4D2C-BCA3-7C7CDCEE4A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55</xdr:col>
      <xdr:colOff>228600</xdr:colOff>
      <xdr:row>65</xdr:row>
      <xdr:rowOff>241300</xdr:rowOff>
    </xdr:from>
    <xdr:to>
      <xdr:col>67</xdr:col>
      <xdr:colOff>571500</xdr:colOff>
      <xdr:row>103</xdr:row>
      <xdr:rowOff>165100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1CA41D6-9D1F-4921-BDC6-832BFC1F6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12700</xdr:colOff>
      <xdr:row>36</xdr:row>
      <xdr:rowOff>139700</xdr:rowOff>
    </xdr:from>
    <xdr:to>
      <xdr:col>44</xdr:col>
      <xdr:colOff>12700</xdr:colOff>
      <xdr:row>64</xdr:row>
      <xdr:rowOff>279400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7F146CE4-8AB2-415D-B0CB-3EBF457F6614}"/>
            </a:ext>
          </a:extLst>
        </xdr:cNvPr>
        <xdr:cNvCxnSpPr/>
      </xdr:nvCxnSpPr>
      <xdr:spPr>
        <a:xfrm flipV="1">
          <a:off x="43980100" y="6972300"/>
          <a:ext cx="0" cy="5829300"/>
        </a:xfrm>
        <a:prstGeom prst="line">
          <a:avLst/>
        </a:prstGeom>
        <a:ln w="38100">
          <a:solidFill>
            <a:schemeClr val="accent2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977901</xdr:colOff>
      <xdr:row>36</xdr:row>
      <xdr:rowOff>88900</xdr:rowOff>
    </xdr:from>
    <xdr:to>
      <xdr:col>51</xdr:col>
      <xdr:colOff>685803</xdr:colOff>
      <xdr:row>64</xdr:row>
      <xdr:rowOff>266700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F1684155-C878-495C-A5D3-2F5EBF6EE1EA}"/>
            </a:ext>
          </a:extLst>
        </xdr:cNvPr>
        <xdr:cNvGrpSpPr/>
      </xdr:nvGrpSpPr>
      <xdr:grpSpPr>
        <a:xfrm>
          <a:off x="45108587" y="7142843"/>
          <a:ext cx="9167587" cy="5221151"/>
          <a:chOff x="43514088" y="6973794"/>
          <a:chExt cx="9159014" cy="5915212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E0B47CB9-8662-4E54-8977-A4EC36234F73}"/>
              </a:ext>
            </a:extLst>
          </xdr:cNvPr>
          <xdr:cNvCxnSpPr/>
        </xdr:nvCxnSpPr>
        <xdr:spPr>
          <a:xfrm flipV="1">
            <a:off x="45481688" y="6999194"/>
            <a:ext cx="0" cy="5877112"/>
          </a:xfrm>
          <a:prstGeom prst="line">
            <a:avLst/>
          </a:prstGeom>
          <a:ln w="38100">
            <a:solidFill>
              <a:schemeClr val="accent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C7B832DE-D1C5-4020-818F-26CE8047D220}"/>
              </a:ext>
            </a:extLst>
          </xdr:cNvPr>
          <xdr:cNvSpPr txBox="1"/>
        </xdr:nvSpPr>
        <xdr:spPr>
          <a:xfrm>
            <a:off x="44883604" y="9347194"/>
            <a:ext cx="1231900" cy="974165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With</a:t>
            </a:r>
            <a:r>
              <a:rPr lang="en-US" sz="1100" baseline="0"/>
              <a:t> 50% participation, buying an O2GO pays for itself after 12 months</a:t>
            </a:r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3AF64F7E-5A3D-4152-9637-A9948B838EBB}"/>
              </a:ext>
            </a:extLst>
          </xdr:cNvPr>
          <xdr:cNvCxnSpPr/>
        </xdr:nvCxnSpPr>
        <xdr:spPr>
          <a:xfrm flipV="1">
            <a:off x="48998841" y="6973794"/>
            <a:ext cx="0" cy="5877112"/>
          </a:xfrm>
          <a:prstGeom prst="line">
            <a:avLst/>
          </a:prstGeom>
          <a:ln w="38100">
            <a:solidFill>
              <a:srgbClr val="00B050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9AA978C5-C092-424E-935E-2B91DFF678B1}"/>
              </a:ext>
            </a:extLst>
          </xdr:cNvPr>
          <xdr:cNvSpPr txBox="1"/>
        </xdr:nvSpPr>
        <xdr:spPr>
          <a:xfrm>
            <a:off x="43514088" y="10407782"/>
            <a:ext cx="1233394" cy="972671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accent2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With</a:t>
            </a:r>
            <a:r>
              <a:rPr lang="en-US" sz="1100" baseline="0"/>
              <a:t> 100% participation, buying an O2GO pays for itself after 5 months</a:t>
            </a:r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6D6FB5BB-3911-4EB3-8CCD-13CA330F0724}"/>
              </a:ext>
            </a:extLst>
          </xdr:cNvPr>
          <xdr:cNvCxnSpPr/>
        </xdr:nvCxnSpPr>
        <xdr:spPr>
          <a:xfrm flipV="1">
            <a:off x="51659865" y="7011894"/>
            <a:ext cx="0" cy="5877112"/>
          </a:xfrm>
          <a:prstGeom prst="line">
            <a:avLst/>
          </a:prstGeom>
          <a:ln w="38100">
            <a:solidFill>
              <a:srgbClr val="7030A0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D8906AE4-2C55-473E-91E7-F90DE32952AD}"/>
              </a:ext>
            </a:extLst>
          </xdr:cNvPr>
          <xdr:cNvSpPr txBox="1"/>
        </xdr:nvSpPr>
        <xdr:spPr>
          <a:xfrm>
            <a:off x="50513648" y="10604732"/>
            <a:ext cx="2159454" cy="851962"/>
          </a:xfrm>
          <a:prstGeom prst="rect">
            <a:avLst/>
          </a:prstGeom>
          <a:solidFill>
            <a:schemeClr val="lt1"/>
          </a:solidFill>
          <a:ln w="12700" cmpd="sng">
            <a:solidFill>
              <a:srgbClr val="7030A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Regardless</a:t>
            </a:r>
            <a:r>
              <a:rPr lang="en-US" sz="1100" baseline="0"/>
              <a:t> of participation, after 43 months, buying an O2GO machine would be cheaper than renting one for 60 months </a:t>
            </a:r>
            <a:endParaRPr lang="en-US" sz="1100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47C9D066-CA5C-4EE1-BCB4-5E39CAAD6C66}"/>
              </a:ext>
            </a:extLst>
          </xdr:cNvPr>
          <xdr:cNvSpPr txBox="1"/>
        </xdr:nvSpPr>
        <xdr:spPr>
          <a:xfrm>
            <a:off x="48376892" y="7671232"/>
            <a:ext cx="1172882" cy="998070"/>
          </a:xfrm>
          <a:prstGeom prst="rect">
            <a:avLst/>
          </a:prstGeom>
          <a:solidFill>
            <a:schemeClr val="lt1"/>
          </a:solidFill>
          <a:ln w="12700" cmpd="sng">
            <a:solidFill>
              <a:srgbClr val="00B05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/>
              <a:t>With</a:t>
            </a:r>
            <a:r>
              <a:rPr lang="en-US" sz="1100" baseline="0"/>
              <a:t> 25% participation, buying an O2GO pays for itself after 30 months</a:t>
            </a:r>
            <a:endParaRPr lang="en-US" sz="1100"/>
          </a:p>
        </xdr:txBody>
      </xdr:sp>
    </xdr:grpSp>
    <xdr:clientData/>
  </xdr:twoCellAnchor>
  <xdr:twoCellAnchor>
    <xdr:from>
      <xdr:col>43</xdr:col>
      <xdr:colOff>1422433</xdr:colOff>
      <xdr:row>71</xdr:row>
      <xdr:rowOff>238125</xdr:rowOff>
    </xdr:from>
    <xdr:to>
      <xdr:col>43</xdr:col>
      <xdr:colOff>1422433</xdr:colOff>
      <xdr:row>104</xdr:row>
      <xdr:rowOff>22038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4C079637-677B-4787-A468-74B13DF5E4FF}"/>
            </a:ext>
          </a:extLst>
        </xdr:cNvPr>
        <xdr:cNvCxnSpPr/>
      </xdr:nvCxnSpPr>
      <xdr:spPr>
        <a:xfrm flipV="1">
          <a:off x="45561283" y="13687425"/>
          <a:ext cx="0" cy="6908613"/>
        </a:xfrm>
        <a:prstGeom prst="line">
          <a:avLst/>
        </a:prstGeom>
        <a:ln w="38100">
          <a:solidFill>
            <a:srgbClr val="A22EA5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464767</xdr:colOff>
      <xdr:row>71</xdr:row>
      <xdr:rowOff>228600</xdr:rowOff>
    </xdr:from>
    <xdr:to>
      <xdr:col>44</xdr:col>
      <xdr:colOff>464767</xdr:colOff>
      <xdr:row>103</xdr:row>
      <xdr:rowOff>171799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A61D6E34-C456-4B87-9876-D22A713A1578}"/>
            </a:ext>
          </a:extLst>
        </xdr:cNvPr>
        <xdr:cNvCxnSpPr/>
      </xdr:nvCxnSpPr>
      <xdr:spPr>
        <a:xfrm flipV="1">
          <a:off x="46137142" y="13677900"/>
          <a:ext cx="0" cy="6886924"/>
        </a:xfrm>
        <a:prstGeom prst="line">
          <a:avLst/>
        </a:prstGeom>
        <a:ln w="38100">
          <a:solidFill>
            <a:srgbClr val="00B05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190499</xdr:colOff>
      <xdr:row>71</xdr:row>
      <xdr:rowOff>381000</xdr:rowOff>
    </xdr:from>
    <xdr:to>
      <xdr:col>48</xdr:col>
      <xdr:colOff>190499</xdr:colOff>
      <xdr:row>104</xdr:row>
      <xdr:rowOff>3628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6A7C41C8-A746-429F-94D2-DDC0678F190F}"/>
            </a:ext>
          </a:extLst>
        </xdr:cNvPr>
        <xdr:cNvCxnSpPr/>
      </xdr:nvCxnSpPr>
      <xdr:spPr>
        <a:xfrm flipV="1">
          <a:off x="50672999" y="13830300"/>
          <a:ext cx="0" cy="6747328"/>
        </a:xfrm>
        <a:prstGeom prst="line">
          <a:avLst/>
        </a:prstGeom>
        <a:ln w="381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1081768</xdr:colOff>
      <xdr:row>71</xdr:row>
      <xdr:rowOff>257175</xdr:rowOff>
    </xdr:from>
    <xdr:to>
      <xdr:col>43</xdr:col>
      <xdr:colOff>1081768</xdr:colOff>
      <xdr:row>104</xdr:row>
      <xdr:rowOff>16678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F1E6103C-3DA7-428D-932E-C45FE3BDDD52}"/>
            </a:ext>
          </a:extLst>
        </xdr:cNvPr>
        <xdr:cNvCxnSpPr/>
      </xdr:nvCxnSpPr>
      <xdr:spPr>
        <a:xfrm flipV="1">
          <a:off x="45220618" y="13706475"/>
          <a:ext cx="0" cy="6884203"/>
        </a:xfrm>
        <a:prstGeom prst="line">
          <a:avLst/>
        </a:prstGeom>
        <a:ln w="38100">
          <a:solidFill>
            <a:schemeClr val="accent2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389164</xdr:colOff>
      <xdr:row>143</xdr:row>
      <xdr:rowOff>100692</xdr:rowOff>
    </xdr:from>
    <xdr:to>
      <xdr:col>39</xdr:col>
      <xdr:colOff>781050</xdr:colOff>
      <xdr:row>193</xdr:row>
      <xdr:rowOff>62592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C56336D-99A6-406B-A9C0-691A207D2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146050</xdr:colOff>
      <xdr:row>146</xdr:row>
      <xdr:rowOff>146050</xdr:rowOff>
    </xdr:from>
    <xdr:to>
      <xdr:col>30</xdr:col>
      <xdr:colOff>146050</xdr:colOff>
      <xdr:row>189</xdr:row>
      <xdr:rowOff>31750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2C154EC-BF9A-4812-91B0-9DDE198A306D}"/>
            </a:ext>
          </a:extLst>
        </xdr:cNvPr>
        <xdr:cNvCxnSpPr/>
      </xdr:nvCxnSpPr>
      <xdr:spPr>
        <a:xfrm flipV="1">
          <a:off x="32045275" y="28463875"/>
          <a:ext cx="0" cy="7667625"/>
        </a:xfrm>
        <a:prstGeom prst="line">
          <a:avLst/>
        </a:prstGeom>
        <a:ln w="38100">
          <a:solidFill>
            <a:srgbClr val="FFC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146050</xdr:colOff>
      <xdr:row>146</xdr:row>
      <xdr:rowOff>120650</xdr:rowOff>
    </xdr:from>
    <xdr:to>
      <xdr:col>31</xdr:col>
      <xdr:colOff>146050</xdr:colOff>
      <xdr:row>189</xdr:row>
      <xdr:rowOff>69850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7826F35E-806E-4376-81D1-D3E94AC08C60}"/>
            </a:ext>
          </a:extLst>
        </xdr:cNvPr>
        <xdr:cNvCxnSpPr/>
      </xdr:nvCxnSpPr>
      <xdr:spPr>
        <a:xfrm flipV="1">
          <a:off x="33169225" y="28438475"/>
          <a:ext cx="0" cy="7731125"/>
        </a:xfrm>
        <a:prstGeom prst="line">
          <a:avLst/>
        </a:prstGeom>
        <a:ln w="38100">
          <a:solidFill>
            <a:schemeClr val="accent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763749</xdr:colOff>
      <xdr:row>146</xdr:row>
      <xdr:rowOff>174625</xdr:rowOff>
    </xdr:from>
    <xdr:to>
      <xdr:col>33</xdr:col>
      <xdr:colOff>806451</xdr:colOff>
      <xdr:row>189</xdr:row>
      <xdr:rowOff>31750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14A38BC4-79F4-497B-90DB-AEF8300208D0}"/>
            </a:ext>
          </a:extLst>
        </xdr:cNvPr>
        <xdr:cNvCxnSpPr/>
      </xdr:nvCxnSpPr>
      <xdr:spPr>
        <a:xfrm flipH="1" flipV="1">
          <a:off x="36015774" y="28492450"/>
          <a:ext cx="42702" cy="7639050"/>
        </a:xfrm>
        <a:prstGeom prst="line">
          <a:avLst/>
        </a:prstGeom>
        <a:ln w="38100">
          <a:solidFill>
            <a:srgbClr val="00B05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723900</xdr:colOff>
      <xdr:row>150</xdr:row>
      <xdr:rowOff>88900</xdr:rowOff>
    </xdr:from>
    <xdr:to>
      <xdr:col>30</xdr:col>
      <xdr:colOff>673100</xdr:colOff>
      <xdr:row>159</xdr:row>
      <xdr:rowOff>50800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DBCC438-3DD9-4AD2-ABAD-AF288A1A957A}"/>
            </a:ext>
          </a:extLst>
        </xdr:cNvPr>
        <xdr:cNvSpPr txBox="1"/>
      </xdr:nvSpPr>
      <xdr:spPr>
        <a:xfrm>
          <a:off x="30454600" y="27114500"/>
          <a:ext cx="1981200" cy="1562100"/>
        </a:xfrm>
        <a:prstGeom prst="rect">
          <a:avLst/>
        </a:prstGeom>
        <a:solidFill>
          <a:schemeClr val="bg1"/>
        </a:solidFill>
        <a:ln w="12700" cmpd="sng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With</a:t>
          </a:r>
          <a:r>
            <a:rPr lang="en-US" sz="2000" baseline="0">
              <a:latin typeface="Arial" panose="020B0604020202020204" pitchFamily="34" charset="0"/>
              <a:cs typeface="Arial" panose="020B0604020202020204" pitchFamily="34" charset="0"/>
            </a:rPr>
            <a:t> 100% participation, the program pays for itself after 3 months</a:t>
          </a:r>
          <a:endParaRPr lang="en-US" sz="2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279400</xdr:colOff>
      <xdr:row>137</xdr:row>
      <xdr:rowOff>25400</xdr:rowOff>
    </xdr:from>
    <xdr:to>
      <xdr:col>32</xdr:col>
      <xdr:colOff>76200</xdr:colOff>
      <xdr:row>145</xdr:row>
      <xdr:rowOff>50800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2376359-BFCB-4A5E-B81C-7D44E07EF170}"/>
            </a:ext>
          </a:extLst>
        </xdr:cNvPr>
        <xdr:cNvSpPr txBox="1"/>
      </xdr:nvSpPr>
      <xdr:spPr>
        <a:xfrm>
          <a:off x="32042100" y="24561800"/>
          <a:ext cx="2006600" cy="1625600"/>
        </a:xfrm>
        <a:prstGeom prst="rect">
          <a:avLst/>
        </a:prstGeom>
        <a:solidFill>
          <a:schemeClr val="bg1"/>
        </a:solidFill>
        <a:ln w="127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With</a:t>
          </a:r>
          <a:r>
            <a:rPr lang="en-US" sz="2000" baseline="0">
              <a:latin typeface="Arial" panose="020B0604020202020204" pitchFamily="34" charset="0"/>
              <a:cs typeface="Arial" panose="020B0604020202020204" pitchFamily="34" charset="0"/>
            </a:rPr>
            <a:t> 75% participation, the program pays for itself after 4 months</a:t>
          </a:r>
          <a:endParaRPr lang="en-US" sz="2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32</xdr:col>
      <xdr:colOff>946150</xdr:colOff>
      <xdr:row>140</xdr:row>
      <xdr:rowOff>292100</xdr:rowOff>
    </xdr:from>
    <xdr:to>
      <xdr:col>34</xdr:col>
      <xdr:colOff>717550</xdr:colOff>
      <xdr:row>149</xdr:row>
      <xdr:rowOff>47625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37A221E-F699-4E44-B9CB-6AEB8E6D7FE6}"/>
            </a:ext>
          </a:extLst>
        </xdr:cNvPr>
        <xdr:cNvSpPr txBox="1"/>
      </xdr:nvSpPr>
      <xdr:spPr>
        <a:xfrm>
          <a:off x="35064700" y="27343100"/>
          <a:ext cx="1876425" cy="1565275"/>
        </a:xfrm>
        <a:prstGeom prst="rect">
          <a:avLst/>
        </a:prstGeom>
        <a:solidFill>
          <a:schemeClr val="bg1"/>
        </a:solidFill>
        <a:ln w="127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With</a:t>
          </a:r>
          <a:r>
            <a:rPr lang="en-US" sz="2000" baseline="0">
              <a:latin typeface="Arial" panose="020B0604020202020204" pitchFamily="34" charset="0"/>
              <a:cs typeface="Arial" panose="020B0604020202020204" pitchFamily="34" charset="0"/>
            </a:rPr>
            <a:t> 50% participation, the program pays for itself after 9 months</a:t>
          </a:r>
          <a:endParaRPr lang="en-US" sz="2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51</xdr:col>
      <xdr:colOff>342900</xdr:colOff>
      <xdr:row>71</xdr:row>
      <xdr:rowOff>523875</xdr:rowOff>
    </xdr:from>
    <xdr:to>
      <xdr:col>51</xdr:col>
      <xdr:colOff>342900</xdr:colOff>
      <xdr:row>104</xdr:row>
      <xdr:rowOff>31647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26594C1C-BD57-4F9C-9673-1D35A28EAC1F}"/>
            </a:ext>
          </a:extLst>
        </xdr:cNvPr>
        <xdr:cNvCxnSpPr/>
      </xdr:nvCxnSpPr>
      <xdr:spPr>
        <a:xfrm flipV="1">
          <a:off x="53930550" y="13973175"/>
          <a:ext cx="0" cy="6632472"/>
        </a:xfrm>
        <a:prstGeom prst="line">
          <a:avLst/>
        </a:prstGeom>
        <a:ln w="38100">
          <a:solidFill>
            <a:srgbClr val="00B0F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647700</xdr:colOff>
      <xdr:row>71</xdr:row>
      <xdr:rowOff>495300</xdr:rowOff>
    </xdr:from>
    <xdr:to>
      <xdr:col>47</xdr:col>
      <xdr:colOff>1066800</xdr:colOff>
      <xdr:row>85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9E0CF49-0056-40CB-B71F-A787A45ED74F}"/>
            </a:ext>
          </a:extLst>
        </xdr:cNvPr>
        <xdr:cNvSpPr txBox="1"/>
      </xdr:nvSpPr>
      <xdr:spPr>
        <a:xfrm>
          <a:off x="46320075" y="13944600"/>
          <a:ext cx="3933825" cy="2438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Leasing</a:t>
          </a:r>
          <a:r>
            <a:rPr lang="en-US" sz="1400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machine with 100% participation, the program pays for itself after 3 months</a:t>
          </a:r>
          <a:endParaRPr lang="en-US" sz="1400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rgbClr val="7030A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Leasing</a:t>
          </a:r>
          <a:r>
            <a:rPr lang="en-US" sz="1400" baseline="0">
              <a:solidFill>
                <a:srgbClr val="7030A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machine with 75% participation, the program pays for itself after 4 months</a:t>
          </a:r>
          <a:endParaRPr lang="en-US" sz="1400">
            <a:solidFill>
              <a:srgbClr val="7030A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Leasing</a:t>
          </a:r>
          <a:r>
            <a:rPr lang="en-US" sz="1400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machine with 50% participation, the program pays for itself after 9 months</a:t>
          </a:r>
          <a:endParaRPr lang="en-US" sz="1400">
            <a:solidFill>
              <a:srgbClr val="00B05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Leasing</a:t>
          </a:r>
          <a:r>
            <a:rPr lang="en-US" sz="1400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machine with 25% participation, the program pays for itself after 58 months</a:t>
          </a:r>
          <a:endParaRPr lang="en-US" sz="1400">
            <a:solidFill>
              <a:srgbClr val="00B0F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>
            <a:solidFill>
              <a:srgbClr val="00B0F0"/>
            </a:solidFill>
          </a:endParaRPr>
        </a:p>
        <a:p>
          <a:endParaRPr lang="en-US" sz="1400"/>
        </a:p>
      </xdr:txBody>
    </xdr:sp>
    <xdr:clientData/>
  </xdr:twoCellAnchor>
  <xdr:twoCellAnchor>
    <xdr:from>
      <xdr:col>48</xdr:col>
      <xdr:colOff>304800</xdr:colOff>
      <xdr:row>72</xdr:row>
      <xdr:rowOff>9525</xdr:rowOff>
    </xdr:from>
    <xdr:to>
      <xdr:col>50</xdr:col>
      <xdr:colOff>1085850</xdr:colOff>
      <xdr:row>78</xdr:row>
      <xdr:rowOff>104775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7F581BA-0DB0-4FCE-962E-0A4D974F2888}"/>
            </a:ext>
          </a:extLst>
        </xdr:cNvPr>
        <xdr:cNvSpPr txBox="1"/>
      </xdr:nvSpPr>
      <xdr:spPr>
        <a:xfrm>
          <a:off x="50787300" y="13992225"/>
          <a:ext cx="2352675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Regardless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participation, after 36 months, buying an O2GO machine would have been cheaper than leasing one for 60 months 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>
    <xdr:from>
      <xdr:col>49</xdr:col>
      <xdr:colOff>368904</xdr:colOff>
      <xdr:row>113</xdr:row>
      <xdr:rowOff>25400</xdr:rowOff>
    </xdr:from>
    <xdr:to>
      <xdr:col>58</xdr:col>
      <xdr:colOff>746276</xdr:colOff>
      <xdr:row>152</xdr:row>
      <xdr:rowOff>131838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A3E9776-2BB4-4578-AE83-202F57C117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37F1D-556C-49CE-B6E4-B690E6156C63}">
  <dimension ref="B2:X26"/>
  <sheetViews>
    <sheetView workbookViewId="0">
      <selection activeCell="N17" sqref="N17"/>
    </sheetView>
  </sheetViews>
  <sheetFormatPr defaultRowHeight="14.4" x14ac:dyDescent="0.3"/>
  <cols>
    <col min="2" max="2" width="16.109375" customWidth="1"/>
    <col min="3" max="3" width="25.109375" bestFit="1" customWidth="1"/>
    <col min="4" max="4" width="6.109375" bestFit="1" customWidth="1"/>
    <col min="5" max="5" width="8.109375" bestFit="1" customWidth="1"/>
    <col min="6" max="6" width="8.6640625" bestFit="1" customWidth="1"/>
    <col min="7" max="7" width="2.77734375" customWidth="1"/>
    <col min="9" max="9" width="9.6640625" bestFit="1" customWidth="1"/>
    <col min="10" max="10" width="2.77734375" customWidth="1"/>
    <col min="11" max="11" width="10" customWidth="1"/>
    <col min="12" max="12" width="10" bestFit="1" customWidth="1"/>
    <col min="15" max="15" width="31.33203125" customWidth="1"/>
    <col min="16" max="16" width="10.33203125" customWidth="1"/>
    <col min="23" max="24" width="8.88671875" customWidth="1"/>
  </cols>
  <sheetData>
    <row r="2" spans="2:24" x14ac:dyDescent="0.3">
      <c r="O2" s="6" t="s">
        <v>91</v>
      </c>
    </row>
    <row r="3" spans="2:24" ht="39.6" x14ac:dyDescent="0.3">
      <c r="B3" s="77" t="s">
        <v>61</v>
      </c>
      <c r="C3" s="77" t="s">
        <v>62</v>
      </c>
      <c r="D3" s="78" t="s">
        <v>63</v>
      </c>
      <c r="E3" s="78" t="s">
        <v>64</v>
      </c>
      <c r="F3" s="78" t="s">
        <v>65</v>
      </c>
      <c r="G3" s="79"/>
      <c r="H3" s="79" t="s">
        <v>66</v>
      </c>
      <c r="I3" s="79" t="s">
        <v>67</v>
      </c>
      <c r="J3" s="79"/>
      <c r="K3" s="78" t="s">
        <v>68</v>
      </c>
      <c r="L3" s="78" t="s">
        <v>69</v>
      </c>
      <c r="P3" t="s">
        <v>92</v>
      </c>
    </row>
    <row r="4" spans="2:24" x14ac:dyDescent="0.3">
      <c r="B4" s="62" t="s">
        <v>70</v>
      </c>
      <c r="C4" s="63" t="s">
        <v>71</v>
      </c>
      <c r="D4" s="64">
        <v>1</v>
      </c>
      <c r="E4" s="64">
        <v>1000</v>
      </c>
      <c r="F4" s="64">
        <f>E4*D4</f>
        <v>1000</v>
      </c>
      <c r="G4" s="2"/>
      <c r="H4" s="65">
        <v>35.549999999999997</v>
      </c>
      <c r="I4" s="65">
        <f>H4*D4</f>
        <v>35.549999999999997</v>
      </c>
      <c r="J4" s="66"/>
      <c r="K4" s="67">
        <v>30</v>
      </c>
      <c r="L4" s="67">
        <f>K4*D4</f>
        <v>30</v>
      </c>
      <c r="P4" s="64">
        <v>83.36</v>
      </c>
      <c r="Q4" s="64"/>
      <c r="R4" s="64"/>
      <c r="S4" s="2"/>
      <c r="T4" s="65"/>
      <c r="U4" s="65"/>
      <c r="V4" s="66"/>
      <c r="W4" s="67"/>
      <c r="X4" s="67"/>
    </row>
    <row r="5" spans="2:24" x14ac:dyDescent="0.3">
      <c r="B5" s="66"/>
      <c r="C5" s="63" t="s">
        <v>72</v>
      </c>
      <c r="D5" s="64">
        <v>1</v>
      </c>
      <c r="E5" s="64">
        <v>1000</v>
      </c>
      <c r="F5" s="64">
        <f t="shared" ref="F5:F24" si="0">E5*D5</f>
        <v>1000</v>
      </c>
      <c r="G5" s="2"/>
      <c r="H5" s="65">
        <v>25.2</v>
      </c>
      <c r="I5" s="65">
        <f t="shared" ref="I5:I24" si="1">H5*D5</f>
        <v>25.2</v>
      </c>
      <c r="J5" s="66"/>
      <c r="K5" s="67">
        <v>10</v>
      </c>
      <c r="L5" s="67">
        <f t="shared" ref="L5:L18" si="2">K5*D5</f>
        <v>10</v>
      </c>
      <c r="P5">
        <v>45.98</v>
      </c>
    </row>
    <row r="6" spans="2:24" x14ac:dyDescent="0.3">
      <c r="B6" s="2"/>
      <c r="C6" s="63" t="s">
        <v>73</v>
      </c>
      <c r="D6" s="64">
        <v>2</v>
      </c>
      <c r="E6" s="64">
        <v>480</v>
      </c>
      <c r="F6" s="64">
        <f t="shared" si="0"/>
        <v>960</v>
      </c>
      <c r="G6" s="2"/>
      <c r="H6" s="65">
        <v>41.76</v>
      </c>
      <c r="I6" s="65">
        <f t="shared" si="1"/>
        <v>83.52</v>
      </c>
      <c r="J6" s="66"/>
      <c r="K6" s="67">
        <v>19.2</v>
      </c>
      <c r="L6" s="67">
        <f t="shared" si="2"/>
        <v>38.4</v>
      </c>
      <c r="P6" s="7">
        <f>I13/3</f>
        <v>4.3933333333333335</v>
      </c>
    </row>
    <row r="7" spans="2:24" x14ac:dyDescent="0.3">
      <c r="B7" s="2"/>
      <c r="C7" s="63" t="s">
        <v>74</v>
      </c>
      <c r="D7" s="64">
        <v>3</v>
      </c>
      <c r="E7" s="64">
        <v>1000</v>
      </c>
      <c r="F7" s="64">
        <f t="shared" si="0"/>
        <v>3000</v>
      </c>
      <c r="G7" s="2"/>
      <c r="H7" s="65">
        <v>63.97</v>
      </c>
      <c r="I7" s="65">
        <f t="shared" si="1"/>
        <v>191.91</v>
      </c>
      <c r="J7" s="66"/>
      <c r="K7" s="67">
        <v>30</v>
      </c>
      <c r="L7" s="67">
        <f t="shared" si="2"/>
        <v>90</v>
      </c>
      <c r="P7" s="7">
        <f>I21/3</f>
        <v>476</v>
      </c>
    </row>
    <row r="8" spans="2:24" x14ac:dyDescent="0.3">
      <c r="B8" s="2"/>
      <c r="C8" s="63" t="s">
        <v>75</v>
      </c>
      <c r="D8" s="64">
        <v>2</v>
      </c>
      <c r="E8" s="64">
        <v>1000</v>
      </c>
      <c r="F8" s="64">
        <f t="shared" si="0"/>
        <v>2000</v>
      </c>
      <c r="G8" s="2"/>
      <c r="H8" s="65">
        <v>41.68</v>
      </c>
      <c r="I8" s="65">
        <f t="shared" si="1"/>
        <v>83.36</v>
      </c>
      <c r="J8" s="66"/>
      <c r="K8" s="67">
        <v>20</v>
      </c>
      <c r="L8" s="67">
        <f t="shared" si="2"/>
        <v>40</v>
      </c>
      <c r="P8" s="7">
        <f>I22/3</f>
        <v>130.63999999999999</v>
      </c>
    </row>
    <row r="9" spans="2:24" x14ac:dyDescent="0.3">
      <c r="B9" s="2"/>
      <c r="C9" s="63" t="s">
        <v>76</v>
      </c>
      <c r="D9" s="64">
        <v>1</v>
      </c>
      <c r="E9" s="64">
        <v>1000</v>
      </c>
      <c r="F9" s="64">
        <f t="shared" si="0"/>
        <v>1000</v>
      </c>
      <c r="G9" s="2"/>
      <c r="H9" s="65">
        <v>25.99</v>
      </c>
      <c r="I9" s="65">
        <f t="shared" si="1"/>
        <v>25.99</v>
      </c>
      <c r="J9" s="66"/>
      <c r="K9" s="67">
        <v>5</v>
      </c>
      <c r="L9" s="67">
        <f t="shared" si="2"/>
        <v>5</v>
      </c>
      <c r="P9" s="7">
        <f>I23/3</f>
        <v>19.920000000000002</v>
      </c>
      <c r="Q9" s="7">
        <f>P9+P6</f>
        <v>24.313333333333336</v>
      </c>
    </row>
    <row r="10" spans="2:24" x14ac:dyDescent="0.3">
      <c r="B10" s="2"/>
      <c r="C10" s="63" t="s">
        <v>77</v>
      </c>
      <c r="D10" s="64">
        <v>3</v>
      </c>
      <c r="E10" s="64">
        <v>1000</v>
      </c>
      <c r="F10" s="64">
        <f t="shared" si="0"/>
        <v>3000</v>
      </c>
      <c r="G10" s="2"/>
      <c r="H10" s="65">
        <v>24.99</v>
      </c>
      <c r="I10" s="65">
        <f t="shared" si="1"/>
        <v>74.97</v>
      </c>
      <c r="J10" s="66"/>
      <c r="K10" s="67">
        <v>4</v>
      </c>
      <c r="L10" s="67">
        <f t="shared" si="2"/>
        <v>12</v>
      </c>
      <c r="O10" s="63" t="s">
        <v>93</v>
      </c>
      <c r="P10" s="80">
        <f>SUM(P4:P9)</f>
        <v>760.29333333333329</v>
      </c>
    </row>
    <row r="11" spans="2:24" x14ac:dyDescent="0.3">
      <c r="B11" s="2"/>
      <c r="C11" s="63" t="s">
        <v>78</v>
      </c>
      <c r="D11" s="64">
        <v>2</v>
      </c>
      <c r="E11" s="64">
        <v>1000</v>
      </c>
      <c r="F11" s="64">
        <f t="shared" si="0"/>
        <v>2000</v>
      </c>
      <c r="G11" s="2"/>
      <c r="H11" s="65">
        <v>22.99</v>
      </c>
      <c r="I11" s="65">
        <f t="shared" si="1"/>
        <v>45.98</v>
      </c>
      <c r="J11" s="66"/>
      <c r="K11" s="67">
        <v>3</v>
      </c>
      <c r="L11" s="67">
        <f t="shared" si="2"/>
        <v>6</v>
      </c>
    </row>
    <row r="12" spans="2:24" x14ac:dyDescent="0.3">
      <c r="B12" s="2"/>
      <c r="C12" s="63" t="s">
        <v>79</v>
      </c>
      <c r="D12" s="64">
        <v>24</v>
      </c>
      <c r="E12" s="64">
        <v>144</v>
      </c>
      <c r="F12" s="64">
        <f t="shared" si="0"/>
        <v>3456</v>
      </c>
      <c r="G12" s="2"/>
      <c r="H12" s="65">
        <v>24.99</v>
      </c>
      <c r="I12" s="65">
        <f t="shared" si="1"/>
        <v>599.76</v>
      </c>
      <c r="J12" s="66"/>
      <c r="K12" s="67">
        <v>8.6</v>
      </c>
      <c r="L12" s="67">
        <f t="shared" si="2"/>
        <v>206.39999999999998</v>
      </c>
    </row>
    <row r="13" spans="2:24" x14ac:dyDescent="0.3">
      <c r="B13" s="2"/>
      <c r="C13" s="63" t="s">
        <v>80</v>
      </c>
      <c r="D13" s="64">
        <v>2</v>
      </c>
      <c r="E13" s="64">
        <v>1800</v>
      </c>
      <c r="F13" s="64">
        <f t="shared" si="0"/>
        <v>3600</v>
      </c>
      <c r="G13" s="2"/>
      <c r="H13" s="65">
        <v>6.59</v>
      </c>
      <c r="I13" s="65">
        <f t="shared" si="1"/>
        <v>13.18</v>
      </c>
      <c r="J13" s="66"/>
      <c r="K13" s="67">
        <v>5.4</v>
      </c>
      <c r="L13" s="67">
        <f t="shared" si="2"/>
        <v>10.8</v>
      </c>
    </row>
    <row r="14" spans="2:24" x14ac:dyDescent="0.3">
      <c r="B14" s="2"/>
      <c r="C14" s="63" t="s">
        <v>31</v>
      </c>
      <c r="D14" s="64">
        <v>7</v>
      </c>
      <c r="E14" s="64">
        <v>252</v>
      </c>
      <c r="F14" s="64">
        <f t="shared" si="0"/>
        <v>1764</v>
      </c>
      <c r="G14" s="2"/>
      <c r="H14" s="65">
        <v>43.4</v>
      </c>
      <c r="I14" s="65">
        <f t="shared" si="1"/>
        <v>303.8</v>
      </c>
      <c r="J14" s="66"/>
      <c r="K14" s="67">
        <v>12.6</v>
      </c>
      <c r="L14" s="67">
        <f t="shared" si="2"/>
        <v>88.2</v>
      </c>
    </row>
    <row r="15" spans="2:24" x14ac:dyDescent="0.3">
      <c r="B15" s="2"/>
      <c r="C15" s="63" t="s">
        <v>81</v>
      </c>
      <c r="D15" s="64">
        <v>7</v>
      </c>
      <c r="E15" s="64">
        <v>252</v>
      </c>
      <c r="F15" s="64">
        <f t="shared" si="0"/>
        <v>1764</v>
      </c>
      <c r="G15" s="2"/>
      <c r="H15" s="65">
        <v>36.99</v>
      </c>
      <c r="I15" s="65">
        <f t="shared" si="1"/>
        <v>258.93</v>
      </c>
      <c r="J15" s="66"/>
      <c r="K15" s="67">
        <v>10.1</v>
      </c>
      <c r="L15" s="67">
        <f t="shared" si="2"/>
        <v>70.7</v>
      </c>
    </row>
    <row r="16" spans="2:24" x14ac:dyDescent="0.3">
      <c r="B16" s="2"/>
      <c r="C16" s="63" t="s">
        <v>82</v>
      </c>
      <c r="D16" s="64">
        <v>28</v>
      </c>
      <c r="E16" s="64">
        <v>200</v>
      </c>
      <c r="F16" s="64">
        <f t="shared" si="0"/>
        <v>5600</v>
      </c>
      <c r="G16" s="2"/>
      <c r="H16" s="65">
        <v>34.99</v>
      </c>
      <c r="I16" s="65">
        <f t="shared" si="1"/>
        <v>979.72</v>
      </c>
      <c r="J16" s="66"/>
      <c r="K16" s="67">
        <v>14</v>
      </c>
      <c r="L16" s="67">
        <f t="shared" si="2"/>
        <v>392</v>
      </c>
    </row>
    <row r="17" spans="2:12" x14ac:dyDescent="0.3">
      <c r="B17" s="2"/>
      <c r="C17" s="63" t="s">
        <v>83</v>
      </c>
      <c r="D17" s="64">
        <v>16</v>
      </c>
      <c r="E17" s="64">
        <v>500</v>
      </c>
      <c r="F17" s="64">
        <f t="shared" si="0"/>
        <v>8000</v>
      </c>
      <c r="G17" s="2"/>
      <c r="H17" s="65">
        <v>37.69</v>
      </c>
      <c r="I17" s="65">
        <f t="shared" si="1"/>
        <v>603.04</v>
      </c>
      <c r="J17" s="66"/>
      <c r="K17" s="67">
        <v>15</v>
      </c>
      <c r="L17" s="67">
        <f t="shared" si="2"/>
        <v>240</v>
      </c>
    </row>
    <row r="18" spans="2:12" x14ac:dyDescent="0.3">
      <c r="B18" s="2"/>
      <c r="C18" s="63" t="s">
        <v>84</v>
      </c>
      <c r="D18" s="64">
        <v>24</v>
      </c>
      <c r="E18" s="64">
        <v>200</v>
      </c>
      <c r="F18" s="64">
        <f t="shared" si="0"/>
        <v>4800</v>
      </c>
      <c r="G18" s="2"/>
      <c r="H18" s="65">
        <v>46.4</v>
      </c>
      <c r="I18" s="65">
        <f t="shared" si="1"/>
        <v>1113.5999999999999</v>
      </c>
      <c r="J18" s="66"/>
      <c r="K18" s="67">
        <v>14</v>
      </c>
      <c r="L18" s="67">
        <f t="shared" si="2"/>
        <v>336</v>
      </c>
    </row>
    <row r="19" spans="2:12" x14ac:dyDescent="0.3">
      <c r="B19" s="2"/>
      <c r="C19" s="72" t="s">
        <v>85</v>
      </c>
      <c r="D19" s="73"/>
      <c r="E19" s="73"/>
      <c r="F19" s="74"/>
      <c r="G19" s="73"/>
      <c r="H19" s="73"/>
      <c r="I19" s="71">
        <f>SUM(I4:I18)</f>
        <v>4438.51</v>
      </c>
      <c r="J19" s="73"/>
      <c r="K19" s="73"/>
      <c r="L19" s="75">
        <f>SUM(L4:L18)</f>
        <v>1575.5</v>
      </c>
    </row>
    <row r="20" spans="2:12" x14ac:dyDescent="0.3">
      <c r="B20" s="2"/>
      <c r="C20" s="66"/>
      <c r="D20" s="66"/>
      <c r="E20" s="66"/>
      <c r="F20" s="64"/>
      <c r="G20" s="66"/>
      <c r="H20" s="66"/>
      <c r="I20" s="65"/>
      <c r="J20" s="66"/>
      <c r="K20" s="67"/>
      <c r="L20" s="66"/>
    </row>
    <row r="21" spans="2:12" x14ac:dyDescent="0.3">
      <c r="B21" s="2" t="s">
        <v>86</v>
      </c>
      <c r="C21" s="63" t="s">
        <v>87</v>
      </c>
      <c r="D21" s="64">
        <v>24</v>
      </c>
      <c r="E21" s="64">
        <v>600</v>
      </c>
      <c r="F21" s="64">
        <f t="shared" si="0"/>
        <v>14400</v>
      </c>
      <c r="G21" s="2"/>
      <c r="H21" s="65">
        <v>59.5</v>
      </c>
      <c r="I21" s="65">
        <f t="shared" si="1"/>
        <v>1428</v>
      </c>
      <c r="J21" s="66"/>
      <c r="K21" s="67">
        <v>30</v>
      </c>
      <c r="L21" s="67">
        <f>K21*D21</f>
        <v>720</v>
      </c>
    </row>
    <row r="22" spans="2:12" x14ac:dyDescent="0.3">
      <c r="B22" s="2"/>
      <c r="C22" s="63" t="s">
        <v>88</v>
      </c>
      <c r="D22" s="64">
        <v>24</v>
      </c>
      <c r="E22" s="64">
        <v>600</v>
      </c>
      <c r="F22" s="64">
        <f t="shared" si="0"/>
        <v>14400</v>
      </c>
      <c r="G22" s="2"/>
      <c r="H22" s="65">
        <v>16.329999999999998</v>
      </c>
      <c r="I22" s="65">
        <f t="shared" si="1"/>
        <v>391.91999999999996</v>
      </c>
      <c r="J22" s="66"/>
      <c r="K22" s="67">
        <v>2.4</v>
      </c>
      <c r="L22" s="67">
        <f t="shared" ref="L22:L24" si="3">K22*D22</f>
        <v>57.599999999999994</v>
      </c>
    </row>
    <row r="23" spans="2:12" x14ac:dyDescent="0.3">
      <c r="B23" s="2"/>
      <c r="C23" s="63" t="s">
        <v>80</v>
      </c>
      <c r="D23" s="64">
        <v>24</v>
      </c>
      <c r="E23" s="64">
        <v>600</v>
      </c>
      <c r="F23" s="64">
        <f t="shared" si="0"/>
        <v>14400</v>
      </c>
      <c r="G23" s="2"/>
      <c r="H23" s="65">
        <v>2.4900000000000002</v>
      </c>
      <c r="I23" s="65">
        <f t="shared" si="1"/>
        <v>59.760000000000005</v>
      </c>
      <c r="J23" s="66"/>
      <c r="K23" s="67">
        <v>1.8</v>
      </c>
      <c r="L23" s="67">
        <f t="shared" si="3"/>
        <v>43.2</v>
      </c>
    </row>
    <row r="24" spans="2:12" x14ac:dyDescent="0.3">
      <c r="B24" s="2"/>
      <c r="C24" s="63" t="s">
        <v>89</v>
      </c>
      <c r="D24" s="64">
        <v>9</v>
      </c>
      <c r="E24" s="64">
        <v>500</v>
      </c>
      <c r="F24" s="64">
        <f t="shared" si="0"/>
        <v>4500</v>
      </c>
      <c r="G24" s="2"/>
      <c r="H24" s="65">
        <v>5.75</v>
      </c>
      <c r="I24" s="65">
        <f t="shared" si="1"/>
        <v>51.75</v>
      </c>
      <c r="J24" s="66"/>
      <c r="K24" s="67">
        <v>1.5</v>
      </c>
      <c r="L24" s="67">
        <f t="shared" si="3"/>
        <v>13.5</v>
      </c>
    </row>
    <row r="25" spans="2:12" x14ac:dyDescent="0.3">
      <c r="B25" s="2"/>
      <c r="C25" s="72" t="s">
        <v>85</v>
      </c>
      <c r="D25" s="66"/>
      <c r="E25" s="66"/>
      <c r="F25" s="66"/>
      <c r="G25" s="66"/>
      <c r="H25" s="66"/>
      <c r="I25" s="76">
        <f>SUM(I21:I24)</f>
        <v>1931.43</v>
      </c>
      <c r="J25" s="66"/>
      <c r="K25" s="67"/>
      <c r="L25" s="75">
        <f>SUM(L21:L24)</f>
        <v>834.30000000000007</v>
      </c>
    </row>
    <row r="26" spans="2:12" x14ac:dyDescent="0.3">
      <c r="B26" s="2"/>
      <c r="C26" s="68" t="s">
        <v>90</v>
      </c>
      <c r="D26" s="66"/>
      <c r="E26" s="66"/>
      <c r="F26" s="66"/>
      <c r="G26" s="66"/>
      <c r="H26" s="66"/>
      <c r="I26" s="69">
        <f>I25+I19</f>
        <v>6369.9400000000005</v>
      </c>
      <c r="J26" s="2"/>
      <c r="K26" s="2"/>
      <c r="L26" s="70">
        <f>L25+L19</f>
        <v>2409.8000000000002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ABBF9-19B4-4A84-AC64-30AC97FA3781}">
  <dimension ref="A2:V85"/>
  <sheetViews>
    <sheetView topLeftCell="B27" zoomScale="130" zoomScaleNormal="130" workbookViewId="0">
      <selection activeCell="C30" sqref="C30:J47"/>
    </sheetView>
  </sheetViews>
  <sheetFormatPr defaultRowHeight="13.8" x14ac:dyDescent="0.25"/>
  <cols>
    <col min="1" max="1" width="8.88671875" style="12"/>
    <col min="2" max="2" width="21.88671875" style="12" customWidth="1"/>
    <col min="3" max="3" width="25.5546875" style="12" bestFit="1" customWidth="1"/>
    <col min="4" max="4" width="11.44140625" style="81" bestFit="1" customWidth="1"/>
    <col min="5" max="5" width="10.77734375" style="12" customWidth="1"/>
    <col min="6" max="6" width="19.77734375" style="12" bestFit="1" customWidth="1"/>
    <col min="7" max="7" width="13.5546875" style="54" bestFit="1" customWidth="1"/>
    <col min="8" max="8" width="10.77734375" style="55" customWidth="1"/>
    <col min="9" max="9" width="20.109375" style="55" bestFit="1" customWidth="1"/>
    <col min="10" max="10" width="13" style="54" customWidth="1"/>
    <col min="11" max="11" width="11.21875" style="55" customWidth="1"/>
    <col min="12" max="12" width="8.88671875" style="12"/>
    <col min="13" max="13" width="36" style="12" bestFit="1" customWidth="1"/>
    <col min="14" max="14" width="16.5546875" style="99" bestFit="1" customWidth="1"/>
    <col min="15" max="15" width="21.21875" style="95" bestFit="1" customWidth="1"/>
    <col min="16" max="16" width="26.88671875" style="95" bestFit="1" customWidth="1"/>
    <col min="17" max="17" width="15.88671875" style="12" bestFit="1" customWidth="1"/>
    <col min="18" max="18" width="28.109375" style="12" bestFit="1" customWidth="1"/>
    <col min="19" max="19" width="10.109375" style="12" bestFit="1" customWidth="1"/>
    <col min="20" max="20" width="10.6640625" style="12" bestFit="1" customWidth="1"/>
    <col min="21" max="21" width="15.88671875" style="12" customWidth="1"/>
    <col min="22" max="16384" width="8.88671875" style="12"/>
  </cols>
  <sheetData>
    <row r="2" spans="1:16" x14ac:dyDescent="0.25">
      <c r="M2" s="187"/>
      <c r="N2" s="187"/>
      <c r="O2" s="187"/>
      <c r="P2" s="187"/>
    </row>
    <row r="3" spans="1:16" x14ac:dyDescent="0.25">
      <c r="M3" s="84"/>
      <c r="N3" s="100"/>
      <c r="O3" s="96"/>
      <c r="P3" s="96"/>
    </row>
    <row r="4" spans="1:16" x14ac:dyDescent="0.25">
      <c r="M4" s="20"/>
      <c r="N4" s="101"/>
      <c r="O4" s="97"/>
      <c r="P4" s="97"/>
    </row>
    <row r="5" spans="1:16" x14ac:dyDescent="0.25">
      <c r="M5" s="20"/>
      <c r="N5" s="101"/>
      <c r="O5" s="97"/>
      <c r="P5" s="97"/>
    </row>
    <row r="6" spans="1:16" x14ac:dyDescent="0.25">
      <c r="M6" s="20"/>
      <c r="N6" s="101"/>
      <c r="O6" s="97"/>
      <c r="P6" s="97"/>
    </row>
    <row r="7" spans="1:16" x14ac:dyDescent="0.25">
      <c r="M7" s="20"/>
      <c r="N7" s="101"/>
      <c r="O7" s="97"/>
      <c r="P7" s="97"/>
    </row>
    <row r="8" spans="1:16" x14ac:dyDescent="0.25">
      <c r="M8" s="20"/>
      <c r="N8" s="101"/>
      <c r="O8" s="97"/>
      <c r="P8" s="97"/>
    </row>
    <row r="9" spans="1:16" x14ac:dyDescent="0.25">
      <c r="A9" s="190" t="s">
        <v>44</v>
      </c>
      <c r="B9" s="190"/>
      <c r="C9" s="20"/>
      <c r="D9" s="83"/>
      <c r="E9" s="20"/>
      <c r="F9" s="20"/>
      <c r="G9" s="49"/>
      <c r="H9" s="45"/>
      <c r="I9" s="45"/>
      <c r="J9" s="49"/>
      <c r="M9" s="86"/>
      <c r="N9" s="102"/>
      <c r="O9" s="98"/>
      <c r="P9" s="98"/>
    </row>
    <row r="10" spans="1:16" ht="14.4" customHeight="1" x14ac:dyDescent="0.25">
      <c r="C10" s="188" t="s">
        <v>103</v>
      </c>
      <c r="D10" s="188"/>
      <c r="E10" s="188"/>
      <c r="F10" s="188"/>
      <c r="G10" s="188"/>
      <c r="H10" s="188"/>
      <c r="I10" s="188"/>
      <c r="J10" s="188"/>
    </row>
    <row r="11" spans="1:16" ht="14.4" customHeight="1" x14ac:dyDescent="0.25">
      <c r="C11" s="191" t="s">
        <v>40</v>
      </c>
      <c r="D11" s="192"/>
      <c r="E11" s="103"/>
      <c r="F11" s="192" t="s">
        <v>24</v>
      </c>
      <c r="G11" s="192"/>
      <c r="H11" s="103"/>
      <c r="I11" s="192" t="s">
        <v>12</v>
      </c>
      <c r="J11" s="193"/>
      <c r="K11" s="87"/>
      <c r="M11" s="187" t="s">
        <v>105</v>
      </c>
      <c r="N11" s="187"/>
      <c r="O11" s="187"/>
      <c r="P11" s="187"/>
    </row>
    <row r="12" spans="1:16" x14ac:dyDescent="0.25">
      <c r="C12" s="104" t="s">
        <v>25</v>
      </c>
      <c r="D12" s="94" t="s">
        <v>26</v>
      </c>
      <c r="E12" s="16"/>
      <c r="F12" s="16" t="s">
        <v>25</v>
      </c>
      <c r="G12" s="94" t="s">
        <v>26</v>
      </c>
      <c r="H12" s="16"/>
      <c r="I12" s="16" t="s">
        <v>25</v>
      </c>
      <c r="J12" s="105" t="s">
        <v>26</v>
      </c>
      <c r="K12" s="88"/>
      <c r="M12" s="84" t="s">
        <v>25</v>
      </c>
      <c r="N12" s="100" t="s">
        <v>30</v>
      </c>
      <c r="O12" s="96" t="s">
        <v>32</v>
      </c>
      <c r="P12" s="96" t="s">
        <v>33</v>
      </c>
    </row>
    <row r="13" spans="1:16" x14ac:dyDescent="0.25">
      <c r="C13" s="106" t="s">
        <v>35</v>
      </c>
      <c r="D13" s="107">
        <v>303.8</v>
      </c>
      <c r="E13" s="17"/>
      <c r="F13" s="17" t="s">
        <v>8</v>
      </c>
      <c r="G13" s="48">
        <v>13999</v>
      </c>
      <c r="H13" s="17"/>
      <c r="I13" s="17" t="s">
        <v>42</v>
      </c>
      <c r="J13" s="130">
        <f>G15</f>
        <v>1198</v>
      </c>
      <c r="K13" s="88"/>
      <c r="M13" s="20" t="s">
        <v>35</v>
      </c>
      <c r="N13" s="101">
        <v>7</v>
      </c>
      <c r="O13" s="97">
        <v>12.6</v>
      </c>
      <c r="P13" s="97">
        <f>O13*N13</f>
        <v>88.2</v>
      </c>
    </row>
    <row r="14" spans="1:16" x14ac:dyDescent="0.25">
      <c r="C14" s="106" t="s">
        <v>36</v>
      </c>
      <c r="D14" s="107">
        <v>258.93</v>
      </c>
      <c r="E14" s="17"/>
      <c r="F14" s="17" t="s">
        <v>99</v>
      </c>
      <c r="G14" s="46">
        <v>2900</v>
      </c>
      <c r="H14" s="17"/>
      <c r="I14" s="17" t="s">
        <v>27</v>
      </c>
      <c r="J14" s="130">
        <v>750</v>
      </c>
      <c r="K14" s="88"/>
      <c r="M14" s="20" t="s">
        <v>36</v>
      </c>
      <c r="N14" s="101">
        <v>7</v>
      </c>
      <c r="O14" s="97">
        <v>10.1</v>
      </c>
      <c r="P14" s="97">
        <f t="shared" ref="P14:P17" si="0">O14*N14</f>
        <v>70.7</v>
      </c>
    </row>
    <row r="15" spans="1:16" x14ac:dyDescent="0.25">
      <c r="C15" s="106" t="s">
        <v>37</v>
      </c>
      <c r="D15" s="107">
        <v>979.72</v>
      </c>
      <c r="E15" s="17"/>
      <c r="F15" s="17" t="s">
        <v>42</v>
      </c>
      <c r="G15" s="48">
        <v>1198</v>
      </c>
      <c r="H15" s="17"/>
      <c r="I15" s="17" t="s">
        <v>28</v>
      </c>
      <c r="J15" s="130">
        <f>150*4.1</f>
        <v>615</v>
      </c>
      <c r="K15" s="88"/>
      <c r="M15" s="20" t="s">
        <v>37</v>
      </c>
      <c r="N15" s="101">
        <v>28</v>
      </c>
      <c r="O15" s="97">
        <v>14</v>
      </c>
      <c r="P15" s="97">
        <f t="shared" si="0"/>
        <v>392</v>
      </c>
    </row>
    <row r="16" spans="1:16" x14ac:dyDescent="0.25">
      <c r="C16" s="106" t="s">
        <v>38</v>
      </c>
      <c r="D16" s="107">
        <v>1113.5999999999999</v>
      </c>
      <c r="E16" s="17"/>
      <c r="F16" s="17" t="s">
        <v>27</v>
      </c>
      <c r="G16" s="48">
        <v>750</v>
      </c>
      <c r="H16" s="17"/>
      <c r="I16" s="17" t="s">
        <v>10</v>
      </c>
      <c r="J16" s="130">
        <f>400*2.35</f>
        <v>940</v>
      </c>
      <c r="K16" s="88"/>
      <c r="M16" s="20" t="s">
        <v>38</v>
      </c>
      <c r="N16" s="101">
        <v>24</v>
      </c>
      <c r="O16" s="97">
        <v>14</v>
      </c>
      <c r="P16" s="97">
        <f t="shared" si="0"/>
        <v>336</v>
      </c>
    </row>
    <row r="17" spans="1:22" x14ac:dyDescent="0.25">
      <c r="C17" s="106" t="s">
        <v>39</v>
      </c>
      <c r="D17" s="107">
        <v>603.04</v>
      </c>
      <c r="E17" s="17"/>
      <c r="F17" s="17" t="s">
        <v>28</v>
      </c>
      <c r="G17" s="48">
        <f>100*4.1</f>
        <v>409.99999999999994</v>
      </c>
      <c r="H17" s="17"/>
      <c r="I17" s="17" t="s">
        <v>100</v>
      </c>
      <c r="J17" s="110">
        <v>230</v>
      </c>
      <c r="K17" s="89"/>
      <c r="M17" s="20" t="s">
        <v>39</v>
      </c>
      <c r="N17" s="101">
        <v>16</v>
      </c>
      <c r="O17" s="97">
        <v>15</v>
      </c>
      <c r="P17" s="97">
        <f t="shared" si="0"/>
        <v>240</v>
      </c>
    </row>
    <row r="18" spans="1:22" x14ac:dyDescent="0.25">
      <c r="C18" s="108" t="s">
        <v>41</v>
      </c>
      <c r="D18" s="109">
        <f>SUM(D13:D17)</f>
        <v>3259.09</v>
      </c>
      <c r="E18" s="17"/>
      <c r="F18" s="17" t="s">
        <v>10</v>
      </c>
      <c r="G18" s="48">
        <f>400*2.35</f>
        <v>940</v>
      </c>
      <c r="H18" s="17"/>
      <c r="I18" s="47" t="s">
        <v>43</v>
      </c>
      <c r="J18" s="131">
        <f>SUM(J13:J17)</f>
        <v>3733</v>
      </c>
      <c r="K18" s="90"/>
      <c r="M18" s="86" t="s">
        <v>34</v>
      </c>
      <c r="N18" s="102"/>
      <c r="O18" s="98"/>
      <c r="P18" s="98">
        <f>SUM(P13:P17)</f>
        <v>1126.9000000000001</v>
      </c>
    </row>
    <row r="19" spans="1:22" x14ac:dyDescent="0.25">
      <c r="C19" s="106"/>
      <c r="D19" s="107"/>
      <c r="E19" s="17"/>
      <c r="F19" s="17" t="s">
        <v>100</v>
      </c>
      <c r="G19" s="46">
        <v>230</v>
      </c>
      <c r="H19" s="17"/>
      <c r="I19" s="18"/>
      <c r="J19" s="110"/>
      <c r="K19" s="90"/>
    </row>
    <row r="20" spans="1:22" x14ac:dyDescent="0.25">
      <c r="C20" s="106"/>
      <c r="D20" s="107"/>
      <c r="E20" s="17"/>
      <c r="F20" s="47" t="s">
        <v>43</v>
      </c>
      <c r="G20" s="129">
        <f>SUM(G13:G19)</f>
        <v>20427</v>
      </c>
      <c r="H20" s="17"/>
      <c r="I20" s="17"/>
      <c r="J20" s="111"/>
      <c r="K20" s="91"/>
    </row>
    <row r="21" spans="1:22" x14ac:dyDescent="0.25">
      <c r="C21" s="106"/>
      <c r="D21" s="107"/>
      <c r="E21" s="17"/>
      <c r="F21" s="17"/>
      <c r="G21" s="48"/>
      <c r="H21" s="17"/>
      <c r="I21" s="17"/>
      <c r="J21" s="111"/>
      <c r="K21" s="91"/>
    </row>
    <row r="22" spans="1:22" x14ac:dyDescent="0.25">
      <c r="C22" s="106"/>
      <c r="D22" s="107"/>
      <c r="E22" s="17"/>
      <c r="F22" s="17" t="s">
        <v>9</v>
      </c>
      <c r="G22" s="107">
        <f>600*4.1</f>
        <v>2460</v>
      </c>
      <c r="H22" s="17"/>
      <c r="I22" s="17" t="s">
        <v>9</v>
      </c>
      <c r="J22" s="111">
        <f>600*4.1</f>
        <v>2460</v>
      </c>
      <c r="K22" s="92"/>
    </row>
    <row r="23" spans="1:22" x14ac:dyDescent="0.25">
      <c r="C23" s="106"/>
      <c r="D23" s="107"/>
      <c r="E23" s="17"/>
      <c r="F23" s="17" t="s">
        <v>10</v>
      </c>
      <c r="G23" s="107">
        <f>400*2.35</f>
        <v>940</v>
      </c>
      <c r="H23" s="17"/>
      <c r="I23" s="17" t="s">
        <v>10</v>
      </c>
      <c r="J23" s="111">
        <f>400*2.35</f>
        <v>940</v>
      </c>
      <c r="K23" s="88"/>
    </row>
    <row r="24" spans="1:22" x14ac:dyDescent="0.25">
      <c r="C24" s="106"/>
      <c r="D24" s="107"/>
      <c r="E24" s="17"/>
      <c r="F24" s="112" t="s">
        <v>29</v>
      </c>
      <c r="G24" s="113">
        <f>G22+G23</f>
        <v>3400</v>
      </c>
      <c r="H24" s="17"/>
      <c r="I24" s="112" t="s">
        <v>29</v>
      </c>
      <c r="J24" s="114">
        <f>J22+J23</f>
        <v>3400</v>
      </c>
      <c r="K24" s="93"/>
    </row>
    <row r="25" spans="1:22" x14ac:dyDescent="0.25">
      <c r="C25" s="106"/>
      <c r="D25" s="107"/>
      <c r="E25" s="17"/>
      <c r="F25" s="17"/>
      <c r="G25" s="107"/>
      <c r="H25" s="17"/>
      <c r="I25" s="17"/>
      <c r="J25" s="111"/>
      <c r="K25" s="90"/>
    </row>
    <row r="26" spans="1:22" x14ac:dyDescent="0.25">
      <c r="C26" s="104"/>
      <c r="D26" s="115"/>
      <c r="E26" s="16"/>
      <c r="F26" s="116" t="s">
        <v>15</v>
      </c>
      <c r="G26" s="117">
        <v>1308</v>
      </c>
      <c r="H26" s="16"/>
      <c r="I26" s="116" t="s">
        <v>15</v>
      </c>
      <c r="J26" s="118">
        <v>5988</v>
      </c>
      <c r="K26" s="88"/>
    </row>
    <row r="27" spans="1:22" x14ac:dyDescent="0.25">
      <c r="C27" s="19"/>
      <c r="D27" s="50"/>
      <c r="E27" s="19"/>
      <c r="F27" s="19"/>
      <c r="G27" s="50"/>
      <c r="H27" s="19"/>
      <c r="I27" s="19"/>
      <c r="J27" s="50"/>
    </row>
    <row r="28" spans="1:22" x14ac:dyDescent="0.25">
      <c r="A28" s="190" t="s">
        <v>60</v>
      </c>
      <c r="B28" s="190"/>
      <c r="C28" s="19"/>
      <c r="D28" s="50"/>
      <c r="E28" s="19"/>
      <c r="F28" s="19"/>
      <c r="G28" s="50"/>
      <c r="H28" s="19"/>
      <c r="I28" s="19"/>
      <c r="J28" s="50"/>
    </row>
    <row r="29" spans="1:22" x14ac:dyDescent="0.25">
      <c r="C29" s="189" t="s">
        <v>104</v>
      </c>
      <c r="D29" s="189"/>
      <c r="E29" s="189"/>
      <c r="F29" s="189"/>
      <c r="G29" s="189"/>
      <c r="H29" s="189"/>
      <c r="I29" s="189"/>
      <c r="J29" s="189"/>
      <c r="Q29" s="20"/>
      <c r="R29" s="20"/>
      <c r="S29" s="20"/>
      <c r="T29" s="20"/>
      <c r="U29" s="20"/>
      <c r="V29" s="20"/>
    </row>
    <row r="30" spans="1:22" x14ac:dyDescent="0.25">
      <c r="C30" s="191" t="s">
        <v>40</v>
      </c>
      <c r="D30" s="192"/>
      <c r="E30" s="103"/>
      <c r="F30" s="192" t="s">
        <v>24</v>
      </c>
      <c r="G30" s="192"/>
      <c r="H30" s="103"/>
      <c r="I30" s="192" t="s">
        <v>12</v>
      </c>
      <c r="J30" s="193"/>
      <c r="M30" s="187" t="s">
        <v>106</v>
      </c>
      <c r="N30" s="187"/>
      <c r="O30" s="187"/>
      <c r="P30" s="187"/>
      <c r="Q30" s="20"/>
      <c r="R30" s="187"/>
      <c r="S30" s="187"/>
      <c r="T30" s="187"/>
      <c r="U30" s="187"/>
      <c r="V30" s="20"/>
    </row>
    <row r="31" spans="1:22" x14ac:dyDescent="0.25">
      <c r="C31" s="104" t="s">
        <v>25</v>
      </c>
      <c r="D31" s="94" t="s">
        <v>26</v>
      </c>
      <c r="E31" s="16"/>
      <c r="F31" s="16" t="s">
        <v>25</v>
      </c>
      <c r="G31" s="94" t="s">
        <v>26</v>
      </c>
      <c r="H31" s="16"/>
      <c r="I31" s="16" t="s">
        <v>25</v>
      </c>
      <c r="J31" s="105" t="s">
        <v>26</v>
      </c>
      <c r="M31" s="84" t="s">
        <v>25</v>
      </c>
      <c r="N31" s="100" t="s">
        <v>30</v>
      </c>
      <c r="O31" s="96" t="s">
        <v>32</v>
      </c>
      <c r="P31" s="96" t="s">
        <v>33</v>
      </c>
      <c r="Q31" s="20"/>
      <c r="R31" s="84"/>
      <c r="S31" s="85"/>
      <c r="T31" s="85"/>
      <c r="U31" s="85"/>
      <c r="V31" s="20"/>
    </row>
    <row r="32" spans="1:22" x14ac:dyDescent="0.25">
      <c r="C32" s="106" t="s">
        <v>35</v>
      </c>
      <c r="D32" s="107">
        <v>303.8</v>
      </c>
      <c r="E32" s="17"/>
      <c r="F32" s="17" t="s">
        <v>8</v>
      </c>
      <c r="G32" s="48">
        <v>13999</v>
      </c>
      <c r="H32" s="17"/>
      <c r="I32" s="17" t="s">
        <v>42</v>
      </c>
      <c r="J32" s="130">
        <f>G34</f>
        <v>1198</v>
      </c>
      <c r="M32" s="20" t="s">
        <v>35</v>
      </c>
      <c r="N32" s="101">
        <v>7</v>
      </c>
      <c r="O32" s="97">
        <v>12.6</v>
      </c>
      <c r="P32" s="97">
        <f>O32*N32</f>
        <v>88.2</v>
      </c>
      <c r="Q32" s="20"/>
      <c r="R32" s="20"/>
      <c r="S32" s="20"/>
      <c r="T32" s="20"/>
      <c r="U32" s="20"/>
      <c r="V32" s="20"/>
    </row>
    <row r="33" spans="3:22" x14ac:dyDescent="0.25">
      <c r="C33" s="106" t="s">
        <v>36</v>
      </c>
      <c r="D33" s="107">
        <v>258.93</v>
      </c>
      <c r="E33" s="17"/>
      <c r="F33" s="17" t="s">
        <v>99</v>
      </c>
      <c r="G33" s="46">
        <v>2900</v>
      </c>
      <c r="H33" s="17"/>
      <c r="I33" s="17" t="s">
        <v>27</v>
      </c>
      <c r="J33" s="130">
        <v>750</v>
      </c>
      <c r="M33" s="20" t="s">
        <v>36</v>
      </c>
      <c r="N33" s="101">
        <v>7</v>
      </c>
      <c r="O33" s="97">
        <v>10.1</v>
      </c>
      <c r="P33" s="97">
        <f t="shared" ref="P33:P41" si="1">O33*N33</f>
        <v>70.7</v>
      </c>
      <c r="Q33" s="20"/>
      <c r="R33" s="20"/>
      <c r="S33" s="20"/>
      <c r="T33" s="20"/>
      <c r="U33" s="20"/>
      <c r="V33" s="20"/>
    </row>
    <row r="34" spans="3:22" x14ac:dyDescent="0.25">
      <c r="C34" s="106" t="s">
        <v>37</v>
      </c>
      <c r="D34" s="107">
        <v>979.72</v>
      </c>
      <c r="E34" s="17"/>
      <c r="F34" s="17" t="s">
        <v>42</v>
      </c>
      <c r="G34" s="48">
        <v>1198</v>
      </c>
      <c r="H34" s="17"/>
      <c r="I34" s="17" t="s">
        <v>28</v>
      </c>
      <c r="J34" s="130">
        <f>150*4.1</f>
        <v>615</v>
      </c>
      <c r="M34" s="20" t="s">
        <v>37</v>
      </c>
      <c r="N34" s="101">
        <v>28</v>
      </c>
      <c r="O34" s="97">
        <v>14</v>
      </c>
      <c r="P34" s="97">
        <f t="shared" si="1"/>
        <v>392</v>
      </c>
      <c r="Q34" s="20"/>
      <c r="R34" s="20"/>
      <c r="S34" s="20"/>
      <c r="T34" s="20"/>
      <c r="U34" s="20"/>
      <c r="V34" s="20"/>
    </row>
    <row r="35" spans="3:22" x14ac:dyDescent="0.25">
      <c r="C35" s="106" t="s">
        <v>38</v>
      </c>
      <c r="D35" s="107">
        <v>1113.5999999999999</v>
      </c>
      <c r="E35" s="17"/>
      <c r="F35" s="17" t="s">
        <v>27</v>
      </c>
      <c r="G35" s="48">
        <v>750</v>
      </c>
      <c r="H35" s="17"/>
      <c r="I35" s="17" t="s">
        <v>10</v>
      </c>
      <c r="J35" s="130">
        <f>400*2.35</f>
        <v>940</v>
      </c>
      <c r="M35" s="20" t="s">
        <v>38</v>
      </c>
      <c r="N35" s="101">
        <v>24</v>
      </c>
      <c r="O35" s="97">
        <v>14</v>
      </c>
      <c r="P35" s="97">
        <f t="shared" si="1"/>
        <v>336</v>
      </c>
      <c r="Q35" s="20"/>
      <c r="R35" s="20"/>
      <c r="S35" s="20"/>
      <c r="T35" s="20"/>
      <c r="U35" s="20"/>
      <c r="V35" s="20"/>
    </row>
    <row r="36" spans="3:22" x14ac:dyDescent="0.25">
      <c r="C36" s="106" t="s">
        <v>39</v>
      </c>
      <c r="D36" s="107">
        <v>603.04</v>
      </c>
      <c r="E36" s="17"/>
      <c r="F36" s="17" t="s">
        <v>28</v>
      </c>
      <c r="G36" s="48">
        <f>100*4.1</f>
        <v>409.99999999999994</v>
      </c>
      <c r="H36" s="17"/>
      <c r="I36" s="17" t="s">
        <v>98</v>
      </c>
      <c r="J36" s="130">
        <v>1396.5</v>
      </c>
      <c r="M36" s="20" t="s">
        <v>39</v>
      </c>
      <c r="N36" s="101">
        <v>16</v>
      </c>
      <c r="O36" s="97">
        <v>15</v>
      </c>
      <c r="P36" s="97">
        <f t="shared" si="1"/>
        <v>240</v>
      </c>
      <c r="Q36" s="20"/>
      <c r="R36" s="20"/>
      <c r="S36" s="20"/>
      <c r="T36" s="20"/>
      <c r="U36" s="20"/>
      <c r="V36" s="20"/>
    </row>
    <row r="37" spans="3:22" x14ac:dyDescent="0.25">
      <c r="C37" s="106" t="s">
        <v>94</v>
      </c>
      <c r="D37" s="107">
        <v>83.36</v>
      </c>
      <c r="E37" s="17"/>
      <c r="F37" s="17" t="s">
        <v>10</v>
      </c>
      <c r="G37" s="48">
        <f>400*2.35</f>
        <v>940</v>
      </c>
      <c r="H37" s="17"/>
      <c r="I37" s="17" t="s">
        <v>100</v>
      </c>
      <c r="J37" s="110">
        <v>230</v>
      </c>
      <c r="M37" s="20" t="s">
        <v>94</v>
      </c>
      <c r="N37" s="101">
        <v>2</v>
      </c>
      <c r="O37" s="97">
        <v>20</v>
      </c>
      <c r="P37" s="97">
        <f t="shared" si="1"/>
        <v>40</v>
      </c>
      <c r="Q37" s="20"/>
      <c r="R37" s="86"/>
      <c r="S37" s="86"/>
      <c r="T37" s="86"/>
      <c r="U37" s="86"/>
      <c r="V37" s="20"/>
    </row>
    <row r="38" spans="3:22" x14ac:dyDescent="0.25">
      <c r="C38" s="106" t="s">
        <v>95</v>
      </c>
      <c r="D38" s="107">
        <v>45.98</v>
      </c>
      <c r="E38" s="17"/>
      <c r="F38" s="17" t="s">
        <v>98</v>
      </c>
      <c r="G38" s="48">
        <v>1396.5</v>
      </c>
      <c r="H38" s="17"/>
      <c r="I38" s="47" t="s">
        <v>43</v>
      </c>
      <c r="J38" s="131">
        <f>SUM(J32:J37)</f>
        <v>5129.5</v>
      </c>
      <c r="M38" s="20" t="s">
        <v>95</v>
      </c>
      <c r="N38" s="101">
        <v>2</v>
      </c>
      <c r="O38" s="97">
        <v>3</v>
      </c>
      <c r="P38" s="97">
        <f t="shared" si="1"/>
        <v>6</v>
      </c>
      <c r="Q38" s="20"/>
      <c r="R38" s="20"/>
      <c r="S38" s="20"/>
      <c r="T38" s="20"/>
      <c r="U38" s="20"/>
      <c r="V38" s="20"/>
    </row>
    <row r="39" spans="3:22" ht="14.4" x14ac:dyDescent="0.3">
      <c r="C39" s="106" t="s">
        <v>96</v>
      </c>
      <c r="D39" s="107">
        <v>476</v>
      </c>
      <c r="E39" s="17"/>
      <c r="F39" s="17" t="s">
        <v>100</v>
      </c>
      <c r="G39" s="46">
        <v>230</v>
      </c>
      <c r="H39" s="17"/>
      <c r="I39" s="1"/>
      <c r="J39" s="130"/>
      <c r="M39" s="20" t="s">
        <v>96</v>
      </c>
      <c r="N39" s="101">
        <v>8</v>
      </c>
      <c r="O39" s="97">
        <v>10</v>
      </c>
      <c r="P39" s="97">
        <f t="shared" si="1"/>
        <v>80</v>
      </c>
      <c r="Q39" s="20"/>
      <c r="R39" s="20"/>
      <c r="S39" s="20"/>
      <c r="T39" s="20"/>
      <c r="U39" s="20"/>
      <c r="V39" s="20"/>
    </row>
    <row r="40" spans="3:22" x14ac:dyDescent="0.25">
      <c r="C40" s="106" t="s">
        <v>97</v>
      </c>
      <c r="D40" s="107">
        <v>130.63999999999999</v>
      </c>
      <c r="E40" s="17"/>
      <c r="F40" s="47" t="s">
        <v>43</v>
      </c>
      <c r="G40" s="129">
        <f>SUM(G32:G38)</f>
        <v>21593.5</v>
      </c>
      <c r="H40" s="17"/>
      <c r="I40" s="17" t="s">
        <v>9</v>
      </c>
      <c r="J40" s="111">
        <f>600*4.1</f>
        <v>2460</v>
      </c>
      <c r="M40" s="20" t="s">
        <v>97</v>
      </c>
      <c r="N40" s="101">
        <v>8</v>
      </c>
      <c r="O40" s="97">
        <v>2.4</v>
      </c>
      <c r="P40" s="97">
        <f t="shared" si="1"/>
        <v>19.2</v>
      </c>
    </row>
    <row r="41" spans="3:22" x14ac:dyDescent="0.25">
      <c r="C41" s="106" t="s">
        <v>80</v>
      </c>
      <c r="D41" s="107">
        <v>24.31</v>
      </c>
      <c r="E41" s="17"/>
      <c r="F41" s="17"/>
      <c r="G41" s="107"/>
      <c r="H41" s="21"/>
      <c r="I41" s="17" t="s">
        <v>10</v>
      </c>
      <c r="J41" s="111">
        <f>400*2.35</f>
        <v>940</v>
      </c>
      <c r="M41" s="20" t="s">
        <v>80</v>
      </c>
      <c r="N41" s="101">
        <v>3</v>
      </c>
      <c r="O41" s="97">
        <v>6</v>
      </c>
      <c r="P41" s="97">
        <f t="shared" si="1"/>
        <v>18</v>
      </c>
    </row>
    <row r="42" spans="3:22" x14ac:dyDescent="0.25">
      <c r="C42" s="108" t="s">
        <v>41</v>
      </c>
      <c r="D42" s="109">
        <f>SUM(D32:D41)</f>
        <v>4019.38</v>
      </c>
      <c r="E42" s="17"/>
      <c r="F42" s="17" t="s">
        <v>9</v>
      </c>
      <c r="G42" s="107">
        <f>600*4.1</f>
        <v>2460</v>
      </c>
      <c r="H42" s="17"/>
      <c r="I42" s="17" t="s">
        <v>98</v>
      </c>
      <c r="J42" s="111">
        <v>1396.5</v>
      </c>
      <c r="M42" s="125" t="s">
        <v>34</v>
      </c>
      <c r="N42" s="101"/>
      <c r="O42" s="97"/>
      <c r="P42" s="98">
        <f>SUM(P32:P41)</f>
        <v>1290.1000000000001</v>
      </c>
    </row>
    <row r="43" spans="3:22" x14ac:dyDescent="0.25">
      <c r="C43" s="106"/>
      <c r="D43" s="107"/>
      <c r="E43" s="17"/>
      <c r="F43" s="17" t="s">
        <v>10</v>
      </c>
      <c r="G43" s="107">
        <f>400*2.35</f>
        <v>940</v>
      </c>
      <c r="H43" s="17"/>
      <c r="I43" s="112" t="s">
        <v>29</v>
      </c>
      <c r="J43" s="114">
        <f>SUM(J40:J42)</f>
        <v>4796.5</v>
      </c>
    </row>
    <row r="44" spans="3:22" x14ac:dyDescent="0.25">
      <c r="C44" s="119"/>
      <c r="D44" s="120"/>
      <c r="E44" s="21"/>
      <c r="F44" s="17" t="s">
        <v>98</v>
      </c>
      <c r="G44" s="107">
        <v>1396.5</v>
      </c>
      <c r="H44" s="17"/>
      <c r="I44" s="17"/>
      <c r="J44" s="111"/>
    </row>
    <row r="45" spans="3:22" x14ac:dyDescent="0.25">
      <c r="C45" s="119"/>
      <c r="D45" s="120"/>
      <c r="E45" s="21"/>
      <c r="F45" s="112" t="s">
        <v>29</v>
      </c>
      <c r="G45" s="113">
        <f>SUM(G42:G44)</f>
        <v>4796.5</v>
      </c>
      <c r="H45" s="18"/>
      <c r="I45" s="121" t="s">
        <v>15</v>
      </c>
      <c r="J45" s="122">
        <v>5988</v>
      </c>
    </row>
    <row r="46" spans="3:22" x14ac:dyDescent="0.25">
      <c r="C46" s="119"/>
      <c r="D46" s="120"/>
      <c r="E46" s="21"/>
      <c r="F46" s="17"/>
      <c r="G46" s="107"/>
      <c r="H46" s="18"/>
      <c r="I46" s="18"/>
      <c r="J46" s="110"/>
    </row>
    <row r="47" spans="3:22" x14ac:dyDescent="0.25">
      <c r="C47" s="123"/>
      <c r="D47" s="82"/>
      <c r="E47" s="84"/>
      <c r="F47" s="116" t="s">
        <v>15</v>
      </c>
      <c r="G47" s="117">
        <v>1308</v>
      </c>
      <c r="H47" s="51"/>
      <c r="I47" s="51"/>
      <c r="J47" s="124"/>
    </row>
    <row r="49" spans="1:16" x14ac:dyDescent="0.25">
      <c r="M49" s="187" t="s">
        <v>106</v>
      </c>
      <c r="N49" s="187"/>
      <c r="O49" s="187"/>
      <c r="P49" s="187"/>
    </row>
    <row r="50" spans="1:16" x14ac:dyDescent="0.25">
      <c r="M50" s="84" t="s">
        <v>25</v>
      </c>
      <c r="N50" s="100" t="s">
        <v>30</v>
      </c>
      <c r="O50" s="96" t="s">
        <v>32</v>
      </c>
      <c r="P50" s="96" t="s">
        <v>33</v>
      </c>
    </row>
    <row r="51" spans="1:16" x14ac:dyDescent="0.25">
      <c r="A51" s="190" t="s">
        <v>110</v>
      </c>
      <c r="B51" s="190"/>
      <c r="C51" s="19"/>
      <c r="D51" s="50"/>
      <c r="E51" s="19"/>
      <c r="F51" s="19"/>
      <c r="G51" s="50"/>
      <c r="H51" s="19"/>
      <c r="I51" s="19"/>
      <c r="J51" s="50"/>
      <c r="M51" s="20" t="s">
        <v>35</v>
      </c>
      <c r="N51" s="101">
        <v>7</v>
      </c>
      <c r="O51" s="97">
        <v>12.6</v>
      </c>
      <c r="P51" s="97">
        <f>O51*N51</f>
        <v>88.2</v>
      </c>
    </row>
    <row r="52" spans="1:16" x14ac:dyDescent="0.25">
      <c r="C52" s="189" t="s">
        <v>112</v>
      </c>
      <c r="D52" s="189"/>
      <c r="E52" s="189"/>
      <c r="F52" s="189"/>
      <c r="G52" s="189"/>
      <c r="H52" s="189"/>
      <c r="I52" s="189"/>
      <c r="J52" s="189"/>
      <c r="M52" s="20" t="s">
        <v>36</v>
      </c>
      <c r="N52" s="101">
        <v>7</v>
      </c>
      <c r="O52" s="97">
        <v>10.1</v>
      </c>
      <c r="P52" s="97">
        <f t="shared" ref="P52:P55" si="2">O52*N52</f>
        <v>70.7</v>
      </c>
    </row>
    <row r="53" spans="1:16" x14ac:dyDescent="0.25">
      <c r="C53" s="191" t="s">
        <v>40</v>
      </c>
      <c r="D53" s="192"/>
      <c r="E53" s="103"/>
      <c r="F53" s="192" t="s">
        <v>138</v>
      </c>
      <c r="G53" s="192"/>
      <c r="H53" s="103"/>
      <c r="I53" s="133" t="s">
        <v>114</v>
      </c>
      <c r="J53" s="134"/>
      <c r="M53" s="20" t="s">
        <v>37</v>
      </c>
      <c r="N53" s="101">
        <v>28</v>
      </c>
      <c r="O53" s="97">
        <v>14</v>
      </c>
      <c r="P53" s="97">
        <f t="shared" si="2"/>
        <v>392</v>
      </c>
    </row>
    <row r="54" spans="1:16" x14ac:dyDescent="0.25">
      <c r="C54" s="104" t="s">
        <v>25</v>
      </c>
      <c r="D54" s="94" t="s">
        <v>26</v>
      </c>
      <c r="E54" s="16"/>
      <c r="F54" s="16" t="s">
        <v>25</v>
      </c>
      <c r="G54" s="94" t="s">
        <v>26</v>
      </c>
      <c r="H54" s="16"/>
      <c r="I54" s="16" t="s">
        <v>25</v>
      </c>
      <c r="J54" s="105" t="s">
        <v>26</v>
      </c>
      <c r="M54" s="20" t="s">
        <v>38</v>
      </c>
      <c r="N54" s="101">
        <v>24</v>
      </c>
      <c r="O54" s="97">
        <v>14</v>
      </c>
      <c r="P54" s="97">
        <f t="shared" si="2"/>
        <v>336</v>
      </c>
    </row>
    <row r="55" spans="1:16" x14ac:dyDescent="0.25">
      <c r="C55" s="106" t="s">
        <v>35</v>
      </c>
      <c r="D55" s="107">
        <v>303.8</v>
      </c>
      <c r="E55" s="17"/>
      <c r="F55" s="17" t="s">
        <v>111</v>
      </c>
      <c r="G55" s="48">
        <f>599*3</f>
        <v>1797</v>
      </c>
      <c r="H55" s="17"/>
      <c r="I55" s="17" t="s">
        <v>111</v>
      </c>
      <c r="J55" s="130">
        <f>599*3</f>
        <v>1797</v>
      </c>
      <c r="M55" s="20" t="s">
        <v>39</v>
      </c>
      <c r="N55" s="101">
        <v>16</v>
      </c>
      <c r="O55" s="97">
        <v>15</v>
      </c>
      <c r="P55" s="97">
        <f t="shared" si="2"/>
        <v>240</v>
      </c>
    </row>
    <row r="56" spans="1:16" x14ac:dyDescent="0.25">
      <c r="C56" s="106" t="s">
        <v>36</v>
      </c>
      <c r="D56" s="107">
        <v>258.93</v>
      </c>
      <c r="E56" s="17"/>
      <c r="F56" s="17" t="s">
        <v>99</v>
      </c>
      <c r="G56" s="46">
        <v>2900</v>
      </c>
      <c r="H56" s="17"/>
      <c r="I56" s="17" t="s">
        <v>99</v>
      </c>
      <c r="J56" s="110">
        <v>2900</v>
      </c>
      <c r="M56" s="86" t="s">
        <v>107</v>
      </c>
      <c r="N56" s="102"/>
      <c r="O56" s="98"/>
      <c r="P56" s="98">
        <v>1126.9000000000001</v>
      </c>
    </row>
    <row r="57" spans="1:16" x14ac:dyDescent="0.25">
      <c r="C57" s="106" t="s">
        <v>37</v>
      </c>
      <c r="D57" s="107">
        <v>979.72</v>
      </c>
      <c r="E57" s="17"/>
      <c r="F57" s="17" t="s">
        <v>27</v>
      </c>
      <c r="G57" s="48">
        <v>750</v>
      </c>
      <c r="H57" s="17"/>
      <c r="I57" s="17" t="s">
        <v>27</v>
      </c>
      <c r="J57" s="130">
        <v>750</v>
      </c>
      <c r="M57" s="20"/>
      <c r="N57" s="101"/>
      <c r="O57" s="97"/>
      <c r="P57" s="97"/>
    </row>
    <row r="58" spans="1:16" x14ac:dyDescent="0.25">
      <c r="C58" s="106" t="s">
        <v>38</v>
      </c>
      <c r="D58" s="107">
        <v>1113.5999999999999</v>
      </c>
      <c r="E58" s="17"/>
      <c r="F58" s="17" t="s">
        <v>115</v>
      </c>
      <c r="G58" s="48">
        <f>500*4.1</f>
        <v>2050</v>
      </c>
      <c r="H58" s="17"/>
      <c r="I58" s="17" t="s">
        <v>115</v>
      </c>
      <c r="J58" s="130">
        <f>500*4.1</f>
        <v>2050</v>
      </c>
      <c r="M58" s="20" t="s">
        <v>94</v>
      </c>
      <c r="N58" s="101">
        <v>2</v>
      </c>
      <c r="O58" s="97">
        <v>20</v>
      </c>
      <c r="P58" s="97">
        <f>O58*N58</f>
        <v>40</v>
      </c>
    </row>
    <row r="59" spans="1:16" x14ac:dyDescent="0.25">
      <c r="C59" s="106" t="s">
        <v>39</v>
      </c>
      <c r="D59" s="107">
        <v>603.04</v>
      </c>
      <c r="E59" s="17"/>
      <c r="F59" s="17" t="s">
        <v>116</v>
      </c>
      <c r="G59" s="48">
        <f>1000*2.35</f>
        <v>2350</v>
      </c>
      <c r="H59" s="17"/>
      <c r="I59" s="17" t="s">
        <v>100</v>
      </c>
      <c r="J59" s="110">
        <v>230</v>
      </c>
      <c r="M59" s="20" t="s">
        <v>95</v>
      </c>
      <c r="N59" s="101">
        <v>2</v>
      </c>
      <c r="O59" s="97">
        <v>3</v>
      </c>
      <c r="P59" s="97">
        <f>O59*N59</f>
        <v>6</v>
      </c>
    </row>
    <row r="60" spans="1:16" x14ac:dyDescent="0.25">
      <c r="C60" s="106" t="s">
        <v>94</v>
      </c>
      <c r="D60" s="107">
        <v>83.36</v>
      </c>
      <c r="E60" s="17"/>
      <c r="F60" s="17" t="s">
        <v>117</v>
      </c>
      <c r="G60" s="48">
        <f>3.99*1000</f>
        <v>3990</v>
      </c>
      <c r="H60" s="17"/>
      <c r="I60" s="47" t="s">
        <v>43</v>
      </c>
      <c r="J60" s="131">
        <f>SUM(J55:J59)</f>
        <v>7727</v>
      </c>
      <c r="M60" s="20" t="s">
        <v>96</v>
      </c>
      <c r="N60" s="101">
        <v>8</v>
      </c>
      <c r="O60" s="97">
        <v>10</v>
      </c>
      <c r="P60" s="97">
        <f>O60*N60</f>
        <v>80</v>
      </c>
    </row>
    <row r="61" spans="1:16" x14ac:dyDescent="0.25">
      <c r="C61" s="106" t="s">
        <v>95</v>
      </c>
      <c r="D61" s="107">
        <v>45.98</v>
      </c>
      <c r="E61" s="17"/>
      <c r="F61" s="17" t="s">
        <v>100</v>
      </c>
      <c r="G61" s="46">
        <v>230</v>
      </c>
      <c r="H61" s="17"/>
      <c r="I61" s="18"/>
      <c r="J61" s="110"/>
      <c r="M61" s="20" t="s">
        <v>97</v>
      </c>
      <c r="N61" s="101">
        <v>8</v>
      </c>
      <c r="O61" s="97">
        <v>2.4</v>
      </c>
      <c r="P61" s="97">
        <f>O61*N61</f>
        <v>19.2</v>
      </c>
    </row>
    <row r="62" spans="1:16" x14ac:dyDescent="0.25">
      <c r="C62" s="106" t="s">
        <v>96</v>
      </c>
      <c r="D62" s="107">
        <v>476</v>
      </c>
      <c r="E62" s="17"/>
      <c r="F62" s="47" t="s">
        <v>43</v>
      </c>
      <c r="G62" s="129">
        <f>SUM(G55:G61)</f>
        <v>14067</v>
      </c>
      <c r="H62" s="17"/>
      <c r="I62" s="17" t="s">
        <v>118</v>
      </c>
      <c r="J62" s="111">
        <f>1000*4.1</f>
        <v>4100</v>
      </c>
      <c r="M62" s="20" t="s">
        <v>80</v>
      </c>
      <c r="N62" s="101">
        <v>3</v>
      </c>
      <c r="O62" s="97">
        <v>6</v>
      </c>
      <c r="P62" s="97">
        <f>O62*N62</f>
        <v>18</v>
      </c>
    </row>
    <row r="63" spans="1:16" x14ac:dyDescent="0.25">
      <c r="C63" s="106" t="s">
        <v>97</v>
      </c>
      <c r="D63" s="107">
        <v>130.63999999999999</v>
      </c>
      <c r="E63" s="17"/>
      <c r="F63" s="18"/>
      <c r="G63" s="46"/>
      <c r="H63" s="17"/>
      <c r="I63" s="112" t="s">
        <v>29</v>
      </c>
      <c r="J63" s="114">
        <f>J62</f>
        <v>4100</v>
      </c>
      <c r="M63" s="125" t="s">
        <v>108</v>
      </c>
      <c r="N63" s="101"/>
      <c r="O63" s="97"/>
      <c r="P63" s="98">
        <f>SUM(P58:P62)</f>
        <v>163.19999999999999</v>
      </c>
    </row>
    <row r="64" spans="1:16" x14ac:dyDescent="0.25">
      <c r="C64" s="106" t="s">
        <v>80</v>
      </c>
      <c r="D64" s="107">
        <v>24.31</v>
      </c>
      <c r="E64" s="17"/>
      <c r="F64" s="17" t="s">
        <v>118</v>
      </c>
      <c r="G64" s="107">
        <f>1000*4.1</f>
        <v>4100</v>
      </c>
      <c r="H64" s="21"/>
      <c r="I64" s="18"/>
      <c r="J64" s="110"/>
      <c r="M64" s="20"/>
      <c r="N64" s="101"/>
      <c r="O64" s="97"/>
      <c r="P64" s="97"/>
    </row>
    <row r="65" spans="3:16" x14ac:dyDescent="0.25">
      <c r="C65" s="108" t="s">
        <v>41</v>
      </c>
      <c r="D65" s="109">
        <f>SUM(D55:D64)</f>
        <v>4019.38</v>
      </c>
      <c r="E65" s="17"/>
      <c r="F65" s="17" t="s">
        <v>116</v>
      </c>
      <c r="G65" s="107">
        <f>1000*2.35</f>
        <v>2350</v>
      </c>
      <c r="H65" s="17"/>
      <c r="I65" s="121" t="s">
        <v>15</v>
      </c>
      <c r="J65" s="122">
        <v>5988</v>
      </c>
      <c r="M65" s="126" t="s">
        <v>109</v>
      </c>
      <c r="N65" s="127"/>
      <c r="O65" s="128"/>
      <c r="P65" s="128">
        <f>P63+P56</f>
        <v>1290.1000000000001</v>
      </c>
    </row>
    <row r="66" spans="3:16" x14ac:dyDescent="0.25">
      <c r="C66" s="106"/>
      <c r="D66" s="107"/>
      <c r="E66" s="17"/>
      <c r="F66" s="17" t="s">
        <v>117</v>
      </c>
      <c r="G66" s="107">
        <f>1000*3.99</f>
        <v>3990</v>
      </c>
      <c r="H66" s="17"/>
      <c r="I66" s="17"/>
      <c r="J66" s="111"/>
    </row>
    <row r="67" spans="3:16" x14ac:dyDescent="0.25">
      <c r="C67" s="119"/>
      <c r="D67" s="120"/>
      <c r="E67" s="21"/>
      <c r="F67" s="112" t="s">
        <v>29</v>
      </c>
      <c r="G67" s="113">
        <f>SUM(G64:G66)</f>
        <v>10440</v>
      </c>
      <c r="H67" s="17"/>
      <c r="I67" s="18"/>
      <c r="J67" s="110"/>
    </row>
    <row r="68" spans="3:16" x14ac:dyDescent="0.25">
      <c r="C68" s="119"/>
      <c r="D68" s="120"/>
      <c r="E68" s="21"/>
      <c r="F68" s="17"/>
      <c r="G68" s="107"/>
      <c r="H68" s="18"/>
      <c r="I68" s="17"/>
      <c r="J68" s="111"/>
    </row>
    <row r="69" spans="3:16" x14ac:dyDescent="0.25">
      <c r="C69" s="119"/>
      <c r="D69" s="120"/>
      <c r="E69" s="21"/>
      <c r="F69" s="121" t="s">
        <v>15</v>
      </c>
      <c r="G69" s="132">
        <v>5988</v>
      </c>
      <c r="H69" s="18"/>
      <c r="I69" s="18"/>
      <c r="J69" s="110"/>
      <c r="M69" s="187" t="s">
        <v>127</v>
      </c>
      <c r="N69" s="187"/>
      <c r="O69" s="187"/>
      <c r="P69" s="187"/>
    </row>
    <row r="70" spans="3:16" x14ac:dyDescent="0.25">
      <c r="C70" s="123"/>
      <c r="D70" s="82"/>
      <c r="E70" s="84"/>
      <c r="F70" s="51"/>
      <c r="G70" s="52"/>
      <c r="H70" s="51"/>
      <c r="I70" s="51"/>
      <c r="J70" s="124"/>
      <c r="M70" s="84" t="s">
        <v>25</v>
      </c>
      <c r="N70" s="100" t="s">
        <v>30</v>
      </c>
      <c r="O70" s="96" t="s">
        <v>32</v>
      </c>
      <c r="P70" s="96" t="s">
        <v>33</v>
      </c>
    </row>
    <row r="71" spans="3:16" x14ac:dyDescent="0.25">
      <c r="M71" s="20" t="s">
        <v>35</v>
      </c>
      <c r="N71" s="101">
        <v>7</v>
      </c>
      <c r="O71" s="97">
        <v>12.6</v>
      </c>
      <c r="P71" s="97">
        <f>O71*N71</f>
        <v>88.2</v>
      </c>
    </row>
    <row r="72" spans="3:16" x14ac:dyDescent="0.25">
      <c r="M72" s="20" t="s">
        <v>36</v>
      </c>
      <c r="N72" s="101">
        <v>7</v>
      </c>
      <c r="O72" s="97">
        <v>10.1</v>
      </c>
      <c r="P72" s="97">
        <f t="shared" ref="P72:P74" si="3">O72*N72</f>
        <v>70.7</v>
      </c>
    </row>
    <row r="73" spans="3:16" x14ac:dyDescent="0.25">
      <c r="M73" s="20" t="s">
        <v>37</v>
      </c>
      <c r="N73" s="101">
        <v>28</v>
      </c>
      <c r="O73" s="97">
        <v>14</v>
      </c>
      <c r="P73" s="97">
        <f t="shared" si="3"/>
        <v>392</v>
      </c>
    </row>
    <row r="74" spans="3:16" x14ac:dyDescent="0.25">
      <c r="M74" s="20" t="s">
        <v>38</v>
      </c>
      <c r="N74" s="101">
        <v>24</v>
      </c>
      <c r="O74" s="97">
        <v>14</v>
      </c>
      <c r="P74" s="97">
        <f t="shared" si="3"/>
        <v>336</v>
      </c>
    </row>
    <row r="75" spans="3:16" x14ac:dyDescent="0.25">
      <c r="M75" s="20"/>
      <c r="N75" s="101"/>
      <c r="O75" s="97"/>
      <c r="P75" s="97"/>
    </row>
    <row r="76" spans="3:16" x14ac:dyDescent="0.25">
      <c r="M76" s="86" t="s">
        <v>128</v>
      </c>
      <c r="N76" s="102"/>
      <c r="O76" s="98"/>
      <c r="P76" s="98">
        <f>SUM(P71:P74)</f>
        <v>886.9</v>
      </c>
    </row>
    <row r="77" spans="3:16" x14ac:dyDescent="0.25">
      <c r="M77" s="20"/>
      <c r="N77" s="101"/>
      <c r="O77" s="97"/>
      <c r="P77" s="97"/>
    </row>
    <row r="78" spans="3:16" x14ac:dyDescent="0.25">
      <c r="N78" s="12"/>
      <c r="O78" s="12"/>
      <c r="P78" s="12"/>
    </row>
    <row r="79" spans="3:16" x14ac:dyDescent="0.25">
      <c r="N79" s="12"/>
      <c r="O79" s="12"/>
      <c r="P79" s="12"/>
    </row>
    <row r="80" spans="3:16" x14ac:dyDescent="0.25">
      <c r="N80" s="12"/>
      <c r="O80" s="12"/>
      <c r="P80" s="12"/>
    </row>
    <row r="81" spans="14:16" x14ac:dyDescent="0.25">
      <c r="N81" s="12"/>
      <c r="O81" s="12"/>
      <c r="P81" s="12"/>
    </row>
    <row r="82" spans="14:16" x14ac:dyDescent="0.25">
      <c r="N82" s="12"/>
      <c r="O82" s="12"/>
      <c r="P82" s="12"/>
    </row>
    <row r="83" spans="14:16" x14ac:dyDescent="0.25">
      <c r="N83" s="12"/>
      <c r="O83" s="12"/>
      <c r="P83" s="12"/>
    </row>
    <row r="84" spans="14:16" x14ac:dyDescent="0.25">
      <c r="N84" s="12"/>
      <c r="O84" s="12"/>
      <c r="P84" s="12"/>
    </row>
    <row r="85" spans="14:16" x14ac:dyDescent="0.25">
      <c r="N85" s="12"/>
      <c r="O85" s="12"/>
      <c r="P85" s="12"/>
    </row>
  </sheetData>
  <mergeCells count="20">
    <mergeCell ref="R30:U30"/>
    <mergeCell ref="M2:P2"/>
    <mergeCell ref="A9:B9"/>
    <mergeCell ref="A28:B28"/>
    <mergeCell ref="C30:D30"/>
    <mergeCell ref="F30:G30"/>
    <mergeCell ref="I30:J30"/>
    <mergeCell ref="M11:P11"/>
    <mergeCell ref="M30:P30"/>
    <mergeCell ref="F11:G11"/>
    <mergeCell ref="I11:J11"/>
    <mergeCell ref="M69:P69"/>
    <mergeCell ref="C10:J10"/>
    <mergeCell ref="C29:J29"/>
    <mergeCell ref="M49:P49"/>
    <mergeCell ref="A51:B51"/>
    <mergeCell ref="C52:J52"/>
    <mergeCell ref="C53:D53"/>
    <mergeCell ref="F53:G53"/>
    <mergeCell ref="C11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1CCC-A4F3-4950-8619-A527255EDB8B}">
  <dimension ref="A1:AL62"/>
  <sheetViews>
    <sheetView topLeftCell="AD1" zoomScale="110" zoomScaleNormal="110" workbookViewId="0">
      <selection activeCell="AE20" sqref="AE20"/>
    </sheetView>
  </sheetViews>
  <sheetFormatPr defaultRowHeight="14.4" x14ac:dyDescent="0.3"/>
  <cols>
    <col min="1" max="1" width="8.109375" bestFit="1" customWidth="1"/>
    <col min="2" max="2" width="31.33203125" bestFit="1" customWidth="1"/>
    <col min="3" max="3" width="9" customWidth="1"/>
    <col min="5" max="5" width="44.44140625" bestFit="1" customWidth="1"/>
    <col min="6" max="6" width="9.5546875" bestFit="1" customWidth="1"/>
    <col min="8" max="8" width="27.88671875" customWidth="1"/>
    <col min="9" max="9" width="9.88671875" bestFit="1" customWidth="1"/>
    <col min="11" max="11" width="46.44140625" customWidth="1"/>
    <col min="12" max="12" width="16.88671875" bestFit="1" customWidth="1"/>
    <col min="13" max="13" width="21.33203125" bestFit="1" customWidth="1"/>
    <col min="14" max="14" width="27" bestFit="1" customWidth="1"/>
    <col min="15" max="15" width="16.33203125" bestFit="1" customWidth="1"/>
    <col min="16" max="16" width="13.109375" style="3" customWidth="1"/>
    <col min="17" max="17" width="18.77734375" customWidth="1"/>
    <col min="18" max="18" width="14.88671875" style="4" customWidth="1"/>
    <col min="19" max="19" width="21.33203125" customWidth="1"/>
    <col min="20" max="20" width="15" style="3" customWidth="1"/>
    <col min="21" max="21" width="18.33203125" customWidth="1"/>
    <col min="22" max="22" width="16.44140625" style="4" customWidth="1"/>
    <col min="23" max="23" width="15.109375" style="142" customWidth="1"/>
    <col min="24" max="24" width="14.77734375" style="161" customWidth="1"/>
    <col min="31" max="31" width="36.88671875" customWidth="1"/>
    <col min="32" max="32" width="8.5546875" bestFit="1" customWidth="1"/>
    <col min="34" max="34" width="46" bestFit="1" customWidth="1"/>
    <col min="35" max="35" width="9.6640625" bestFit="1" customWidth="1"/>
    <col min="37" max="37" width="46" bestFit="1" customWidth="1"/>
    <col min="38" max="38" width="8.5546875" bestFit="1" customWidth="1"/>
  </cols>
  <sheetData>
    <row r="1" spans="1:38" ht="49.8" customHeight="1" x14ac:dyDescent="0.3">
      <c r="A1" t="s">
        <v>129</v>
      </c>
      <c r="R1" s="140"/>
      <c r="S1" s="3" t="s">
        <v>134</v>
      </c>
      <c r="T1" s="3" t="s">
        <v>130</v>
      </c>
      <c r="U1" s="3" t="s">
        <v>54</v>
      </c>
      <c r="V1" s="140" t="s">
        <v>133</v>
      </c>
      <c r="W1" s="141" t="s">
        <v>132</v>
      </c>
      <c r="X1" s="160" t="s">
        <v>131</v>
      </c>
    </row>
    <row r="2" spans="1:38" x14ac:dyDescent="0.3">
      <c r="P2" s="143"/>
      <c r="R2">
        <v>0.25</v>
      </c>
      <c r="S2" s="143">
        <v>0.25</v>
      </c>
      <c r="T2" s="162">
        <f>Sheet1!L202-Sheet1!O202</f>
        <v>296.51249999980791</v>
      </c>
      <c r="U2" s="5">
        <f>N$12*R2</f>
        <v>221.72499999999999</v>
      </c>
      <c r="V2" s="4">
        <f>80*(U2/2000)</f>
        <v>8.8689999999999998</v>
      </c>
      <c r="W2" s="5">
        <f>(U2*60)/2000</f>
        <v>6.6517499999999998</v>
      </c>
      <c r="X2" s="161">
        <f>80*W2</f>
        <v>532.14</v>
      </c>
      <c r="AE2" s="191" t="s">
        <v>40</v>
      </c>
      <c r="AF2" s="192"/>
      <c r="AG2" s="175"/>
      <c r="AH2" s="192" t="s">
        <v>160</v>
      </c>
      <c r="AI2" s="192"/>
      <c r="AJ2" s="133"/>
      <c r="AK2" s="192" t="s">
        <v>159</v>
      </c>
      <c r="AL2" s="193"/>
    </row>
    <row r="3" spans="1:38" x14ac:dyDescent="0.3">
      <c r="P3" s="143"/>
      <c r="R3">
        <v>0.5</v>
      </c>
      <c r="S3" s="143">
        <v>0.5</v>
      </c>
      <c r="T3" s="162">
        <f>Sheet1!L202-Sheet1!R202</f>
        <v>38260.02499999998</v>
      </c>
      <c r="U3" s="5">
        <f>N$12*R3</f>
        <v>443.45</v>
      </c>
      <c r="V3" s="4">
        <f t="shared" ref="V3:V5" si="0">80*(U3/2000)</f>
        <v>17.738</v>
      </c>
      <c r="W3" s="5">
        <f t="shared" ref="W3:W5" si="1">(U3*60)/2000</f>
        <v>13.3035</v>
      </c>
      <c r="X3" s="161">
        <f t="shared" ref="X3:X5" si="2">80*W3</f>
        <v>1064.28</v>
      </c>
      <c r="AE3" s="104" t="s">
        <v>25</v>
      </c>
      <c r="AF3" s="94" t="s">
        <v>26</v>
      </c>
      <c r="AG3" s="16"/>
      <c r="AH3" s="16" t="s">
        <v>25</v>
      </c>
      <c r="AI3" s="94" t="s">
        <v>26</v>
      </c>
      <c r="AJ3" s="16"/>
      <c r="AK3" s="17" t="s">
        <v>25</v>
      </c>
      <c r="AL3" s="130" t="s">
        <v>26</v>
      </c>
    </row>
    <row r="4" spans="1:38" x14ac:dyDescent="0.3">
      <c r="B4" s="189"/>
      <c r="C4" s="189"/>
      <c r="D4" s="189"/>
      <c r="E4" s="189"/>
      <c r="F4" s="189"/>
      <c r="G4" s="189"/>
      <c r="H4" s="189"/>
      <c r="I4" s="189"/>
      <c r="P4" s="143"/>
      <c r="R4">
        <v>0.75</v>
      </c>
      <c r="S4" s="143">
        <v>0.75</v>
      </c>
      <c r="T4" s="162">
        <f>Sheet1!L202-Sheet1!U202</f>
        <v>76223.537499999977</v>
      </c>
      <c r="U4" s="5">
        <f>N$12*R4</f>
        <v>665.17499999999995</v>
      </c>
      <c r="V4" s="4">
        <f t="shared" si="0"/>
        <v>26.606999999999999</v>
      </c>
      <c r="W4" s="5">
        <f t="shared" si="1"/>
        <v>19.955249999999999</v>
      </c>
      <c r="X4" s="161">
        <f t="shared" si="2"/>
        <v>1596.42</v>
      </c>
      <c r="AE4" s="182"/>
      <c r="AF4" s="183"/>
      <c r="AG4" s="167"/>
      <c r="AH4" s="167" t="s">
        <v>8</v>
      </c>
      <c r="AI4" s="215">
        <v>13999</v>
      </c>
      <c r="AJ4" s="167"/>
      <c r="AK4" s="183"/>
      <c r="AL4" s="226"/>
    </row>
    <row r="5" spans="1:38" x14ac:dyDescent="0.3">
      <c r="B5" s="191" t="s">
        <v>40</v>
      </c>
      <c r="C5" s="192"/>
      <c r="E5" s="192" t="s">
        <v>138</v>
      </c>
      <c r="F5" s="192"/>
      <c r="G5" s="133"/>
      <c r="H5" s="192" t="s">
        <v>139</v>
      </c>
      <c r="I5" s="193"/>
      <c r="K5" s="194" t="s">
        <v>127</v>
      </c>
      <c r="L5" s="195"/>
      <c r="M5" s="195"/>
      <c r="N5" s="196"/>
      <c r="P5" s="143"/>
      <c r="R5">
        <v>1</v>
      </c>
      <c r="S5" s="143">
        <v>1</v>
      </c>
      <c r="T5" s="162">
        <f>Sheet1!L202-Sheet1!X202</f>
        <v>114187.04999999996</v>
      </c>
      <c r="U5" s="5">
        <f>N$12*R5</f>
        <v>886.9</v>
      </c>
      <c r="V5" s="4">
        <f t="shared" si="0"/>
        <v>35.475999999999999</v>
      </c>
      <c r="W5" s="5">
        <f t="shared" si="1"/>
        <v>26.606999999999999</v>
      </c>
      <c r="X5" s="161">
        <f t="shared" si="2"/>
        <v>2128.56</v>
      </c>
      <c r="AE5" s="156"/>
      <c r="AF5" s="1"/>
      <c r="AG5" s="17"/>
      <c r="AH5" s="17" t="s">
        <v>99</v>
      </c>
      <c r="AI5" s="46">
        <v>2900</v>
      </c>
      <c r="AJ5" s="17"/>
      <c r="AK5" s="17" t="s">
        <v>99</v>
      </c>
      <c r="AL5" s="110">
        <v>2900</v>
      </c>
    </row>
    <row r="6" spans="1:38" x14ac:dyDescent="0.3">
      <c r="B6" s="104" t="s">
        <v>25</v>
      </c>
      <c r="C6" s="94" t="s">
        <v>26</v>
      </c>
      <c r="D6" s="16"/>
      <c r="E6" s="16" t="s">
        <v>25</v>
      </c>
      <c r="F6" s="94" t="s">
        <v>26</v>
      </c>
      <c r="G6" s="16"/>
      <c r="H6" s="16" t="s">
        <v>25</v>
      </c>
      <c r="I6" s="105" t="s">
        <v>26</v>
      </c>
      <c r="K6" s="123" t="s">
        <v>25</v>
      </c>
      <c r="L6" s="100" t="s">
        <v>30</v>
      </c>
      <c r="M6" s="96" t="s">
        <v>32</v>
      </c>
      <c r="N6" s="159" t="s">
        <v>33</v>
      </c>
      <c r="AE6" s="156"/>
      <c r="AF6" s="1"/>
      <c r="AG6" s="17"/>
      <c r="AH6" s="17" t="s">
        <v>111</v>
      </c>
      <c r="AI6" s="48">
        <v>1797</v>
      </c>
      <c r="AJ6" s="17"/>
      <c r="AK6" s="17" t="s">
        <v>111</v>
      </c>
      <c r="AL6" s="130">
        <f>599*3</f>
        <v>1797</v>
      </c>
    </row>
    <row r="7" spans="1:38" x14ac:dyDescent="0.3">
      <c r="B7" s="106" t="s">
        <v>35</v>
      </c>
      <c r="C7" s="107">
        <v>303.8</v>
      </c>
      <c r="D7" s="17"/>
      <c r="E7" s="17" t="s">
        <v>111</v>
      </c>
      <c r="F7" s="48">
        <f>599*3</f>
        <v>1797</v>
      </c>
      <c r="G7" s="17"/>
      <c r="H7" s="17" t="s">
        <v>111</v>
      </c>
      <c r="I7" s="130">
        <f>599*3</f>
        <v>1797</v>
      </c>
      <c r="K7" s="119" t="s">
        <v>35</v>
      </c>
      <c r="L7" s="149">
        <v>7</v>
      </c>
      <c r="M7" s="150">
        <v>12.6</v>
      </c>
      <c r="N7" s="151">
        <f>M7*L7</f>
        <v>88.2</v>
      </c>
      <c r="AE7" s="156"/>
      <c r="AF7" s="1"/>
      <c r="AG7" s="17"/>
      <c r="AH7" s="17" t="s">
        <v>27</v>
      </c>
      <c r="AI7" s="48">
        <v>750</v>
      </c>
      <c r="AJ7" s="17"/>
      <c r="AK7" s="17" t="s">
        <v>27</v>
      </c>
      <c r="AL7" s="130">
        <v>750</v>
      </c>
    </row>
    <row r="8" spans="1:38" x14ac:dyDescent="0.3">
      <c r="B8" s="106" t="s">
        <v>36</v>
      </c>
      <c r="C8" s="107">
        <v>258.93</v>
      </c>
      <c r="D8" s="17"/>
      <c r="E8" s="17" t="s">
        <v>99</v>
      </c>
      <c r="F8" s="46">
        <v>2900</v>
      </c>
      <c r="G8" s="17"/>
      <c r="H8" s="17" t="s">
        <v>99</v>
      </c>
      <c r="I8" s="110">
        <v>2900</v>
      </c>
      <c r="K8" s="119" t="s">
        <v>36</v>
      </c>
      <c r="L8" s="149">
        <v>7</v>
      </c>
      <c r="M8" s="150">
        <v>10.1</v>
      </c>
      <c r="N8" s="151">
        <f t="shared" ref="N8:N10" si="3">M8*L8</f>
        <v>70.7</v>
      </c>
      <c r="AE8" s="156"/>
      <c r="AF8" s="1"/>
      <c r="AG8" s="17"/>
      <c r="AH8" s="17" t="s">
        <v>164</v>
      </c>
      <c r="AI8" s="48">
        <f>500*4.1</f>
        <v>2050</v>
      </c>
      <c r="AJ8" s="17"/>
      <c r="AK8" s="17" t="s">
        <v>163</v>
      </c>
      <c r="AL8" s="130">
        <f>500*4.1</f>
        <v>2050</v>
      </c>
    </row>
    <row r="9" spans="1:38" x14ac:dyDescent="0.3">
      <c r="B9" s="106" t="s">
        <v>37</v>
      </c>
      <c r="C9" s="107">
        <v>979.72</v>
      </c>
      <c r="D9" s="17"/>
      <c r="E9" s="17" t="s">
        <v>27</v>
      </c>
      <c r="F9" s="48">
        <v>750</v>
      </c>
      <c r="G9" s="17"/>
      <c r="H9" s="17" t="s">
        <v>27</v>
      </c>
      <c r="I9" s="130">
        <v>750</v>
      </c>
      <c r="K9" s="119" t="s">
        <v>37</v>
      </c>
      <c r="L9" s="149">
        <v>28</v>
      </c>
      <c r="M9" s="150">
        <v>14</v>
      </c>
      <c r="N9" s="151">
        <f t="shared" si="3"/>
        <v>392</v>
      </c>
      <c r="AE9" s="106" t="s">
        <v>35</v>
      </c>
      <c r="AF9" s="107">
        <v>303.8</v>
      </c>
      <c r="AG9" s="17"/>
      <c r="AH9" s="17" t="s">
        <v>100</v>
      </c>
      <c r="AI9" s="46">
        <v>230</v>
      </c>
      <c r="AJ9" s="17"/>
      <c r="AK9" s="17" t="s">
        <v>100</v>
      </c>
      <c r="AL9" s="110">
        <v>230</v>
      </c>
    </row>
    <row r="10" spans="1:38" x14ac:dyDescent="0.3">
      <c r="B10" s="106" t="s">
        <v>38</v>
      </c>
      <c r="C10" s="107">
        <v>1113.5999999999999</v>
      </c>
      <c r="D10" s="17"/>
      <c r="E10" s="17" t="s">
        <v>115</v>
      </c>
      <c r="F10" s="48">
        <f>500*4.1</f>
        <v>2050</v>
      </c>
      <c r="G10" s="17"/>
      <c r="H10" s="17" t="s">
        <v>115</v>
      </c>
      <c r="I10" s="130">
        <f>500*4.1</f>
        <v>2050</v>
      </c>
      <c r="K10" s="119" t="s">
        <v>38</v>
      </c>
      <c r="L10" s="149">
        <v>24</v>
      </c>
      <c r="M10" s="150">
        <v>14</v>
      </c>
      <c r="N10" s="151">
        <f t="shared" si="3"/>
        <v>336</v>
      </c>
      <c r="AE10" s="106" t="s">
        <v>36</v>
      </c>
      <c r="AF10" s="107">
        <v>258.93</v>
      </c>
      <c r="AG10" s="17"/>
      <c r="AH10" s="165" t="s">
        <v>43</v>
      </c>
      <c r="AI10" s="232">
        <f>SUM(AI4:AI9)</f>
        <v>21726</v>
      </c>
      <c r="AJ10" s="17"/>
      <c r="AK10" s="165" t="s">
        <v>43</v>
      </c>
      <c r="AL10" s="233">
        <f>SUM(AL5:AL9)</f>
        <v>7727</v>
      </c>
    </row>
    <row r="11" spans="1:38" x14ac:dyDescent="0.3">
      <c r="B11" s="108" t="s">
        <v>135</v>
      </c>
      <c r="C11" s="109">
        <f>SUM(C7:C10)</f>
        <v>2656.05</v>
      </c>
      <c r="D11" s="17"/>
      <c r="E11" s="17" t="s">
        <v>116</v>
      </c>
      <c r="F11" s="48">
        <f>1000*2.35</f>
        <v>2350</v>
      </c>
      <c r="G11" s="17"/>
      <c r="H11" s="17" t="s">
        <v>100</v>
      </c>
      <c r="I11" s="110">
        <v>230</v>
      </c>
      <c r="K11" s="119"/>
      <c r="L11" s="149"/>
      <c r="M11" s="150"/>
      <c r="N11" s="151"/>
      <c r="AE11" s="106" t="s">
        <v>37</v>
      </c>
      <c r="AF11" s="107">
        <v>979.72</v>
      </c>
      <c r="AG11" s="17"/>
      <c r="AH11" s="1"/>
      <c r="AI11" s="1"/>
      <c r="AJ11" s="17"/>
      <c r="AK11" s="1"/>
      <c r="AL11" s="170"/>
    </row>
    <row r="12" spans="1:38" x14ac:dyDescent="0.3">
      <c r="B12" s="156"/>
      <c r="C12" s="1"/>
      <c r="D12" s="17"/>
      <c r="E12" s="17" t="s">
        <v>117</v>
      </c>
      <c r="F12" s="48">
        <f>3.99*1000</f>
        <v>3990</v>
      </c>
      <c r="G12" s="17"/>
      <c r="H12" s="47" t="s">
        <v>43</v>
      </c>
      <c r="I12" s="131">
        <f>SUM(I7:I11)</f>
        <v>7727</v>
      </c>
      <c r="K12" s="152" t="s">
        <v>140</v>
      </c>
      <c r="L12" s="153"/>
      <c r="M12" s="154"/>
      <c r="N12" s="155">
        <f>SUM(N7:N10)</f>
        <v>886.9</v>
      </c>
      <c r="AE12" s="106" t="s">
        <v>38</v>
      </c>
      <c r="AF12" s="107">
        <v>1113.5999999999999</v>
      </c>
      <c r="AG12" s="17"/>
      <c r="AH12" s="180" t="s">
        <v>155</v>
      </c>
      <c r="AI12" s="219">
        <v>4100</v>
      </c>
      <c r="AJ12" s="17"/>
      <c r="AK12" s="180" t="s">
        <v>155</v>
      </c>
      <c r="AL12" s="169">
        <v>4100</v>
      </c>
    </row>
    <row r="13" spans="1:38" ht="14.4" customHeight="1" x14ac:dyDescent="0.3">
      <c r="B13" s="106" t="s">
        <v>39</v>
      </c>
      <c r="C13" s="107">
        <v>603.04</v>
      </c>
      <c r="D13" s="17"/>
      <c r="E13" s="17" t="s">
        <v>100</v>
      </c>
      <c r="F13" s="46">
        <v>230</v>
      </c>
      <c r="G13" s="17"/>
      <c r="H13" s="18"/>
      <c r="I13" s="110"/>
      <c r="AE13" s="176" t="s">
        <v>145</v>
      </c>
      <c r="AF13" s="113">
        <f>SUM(AF9:AF12)</f>
        <v>2656.05</v>
      </c>
      <c r="AG13" s="17"/>
      <c r="AH13" s="181" t="s">
        <v>153</v>
      </c>
      <c r="AI13" s="220">
        <v>205</v>
      </c>
      <c r="AJ13" s="21"/>
      <c r="AK13" s="181" t="s">
        <v>153</v>
      </c>
      <c r="AL13" s="164">
        <v>205</v>
      </c>
    </row>
    <row r="14" spans="1:38" x14ac:dyDescent="0.3">
      <c r="B14" s="106" t="s">
        <v>94</v>
      </c>
      <c r="C14" s="107">
        <v>83.36</v>
      </c>
      <c r="D14" s="17"/>
      <c r="E14" s="47" t="s">
        <v>43</v>
      </c>
      <c r="F14" s="129">
        <f>SUM(F7:F13)</f>
        <v>14067</v>
      </c>
      <c r="G14" s="17"/>
      <c r="H14" s="17" t="s">
        <v>118</v>
      </c>
      <c r="I14" s="111">
        <f>1000*4.1</f>
        <v>4100</v>
      </c>
      <c r="AE14" s="214"/>
      <c r="AF14" s="36"/>
      <c r="AG14" s="17"/>
      <c r="AH14" s="1"/>
      <c r="AI14" s="1"/>
      <c r="AJ14" s="17"/>
      <c r="AK14" s="18"/>
      <c r="AL14" s="110"/>
    </row>
    <row r="15" spans="1:38" ht="28.2" x14ac:dyDescent="0.3">
      <c r="B15" s="106" t="s">
        <v>95</v>
      </c>
      <c r="C15" s="107">
        <v>45.98</v>
      </c>
      <c r="D15" s="17"/>
      <c r="E15" s="18"/>
      <c r="F15" s="46"/>
      <c r="G15" s="17"/>
      <c r="H15" s="112" t="s">
        <v>29</v>
      </c>
      <c r="I15" s="114">
        <f>I14</f>
        <v>4100</v>
      </c>
      <c r="AE15" s="214" t="s">
        <v>154</v>
      </c>
      <c r="AF15" s="36"/>
      <c r="AG15" s="17"/>
      <c r="AH15" s="1"/>
      <c r="AI15" s="1"/>
      <c r="AJ15" s="1"/>
      <c r="AK15" s="1"/>
      <c r="AL15" s="170"/>
    </row>
    <row r="16" spans="1:38" x14ac:dyDescent="0.3">
      <c r="B16" s="106" t="s">
        <v>96</v>
      </c>
      <c r="C16" s="107">
        <v>476</v>
      </c>
      <c r="D16" s="17"/>
      <c r="E16" s="17" t="s">
        <v>118</v>
      </c>
      <c r="F16" s="107">
        <f>1000*4.1</f>
        <v>4100</v>
      </c>
      <c r="G16" s="21"/>
      <c r="H16" s="18"/>
      <c r="I16" s="110"/>
      <c r="AE16" s="163" t="s">
        <v>146</v>
      </c>
      <c r="AF16" s="177">
        <v>35.475999999999999</v>
      </c>
      <c r="AG16" s="21"/>
      <c r="AH16" s="222" t="s">
        <v>161</v>
      </c>
      <c r="AI16" s="223">
        <v>109</v>
      </c>
      <c r="AJ16" s="224"/>
      <c r="AK16" s="222" t="s">
        <v>162</v>
      </c>
      <c r="AL16" s="225">
        <v>499</v>
      </c>
    </row>
    <row r="17" spans="1:38" x14ac:dyDescent="0.3">
      <c r="B17" s="106" t="s">
        <v>97</v>
      </c>
      <c r="C17" s="107">
        <v>130.63999999999999</v>
      </c>
      <c r="D17" s="17"/>
      <c r="E17" s="17" t="s">
        <v>116</v>
      </c>
      <c r="F17" s="107">
        <f>1000*2.35</f>
        <v>2350</v>
      </c>
      <c r="G17" s="17"/>
      <c r="H17" s="121" t="s">
        <v>15</v>
      </c>
      <c r="I17" s="122">
        <v>5988</v>
      </c>
      <c r="AE17" s="119"/>
      <c r="AF17" s="120"/>
      <c r="AG17" s="21"/>
      <c r="AH17" s="1"/>
      <c r="AI17" s="1"/>
      <c r="AJ17" s="18"/>
      <c r="AK17" s="17"/>
      <c r="AL17" s="111"/>
    </row>
    <row r="18" spans="1:38" x14ac:dyDescent="0.3">
      <c r="B18" s="106" t="s">
        <v>80</v>
      </c>
      <c r="C18" s="107">
        <v>24.31</v>
      </c>
      <c r="D18" s="17"/>
      <c r="E18" s="17" t="s">
        <v>117</v>
      </c>
      <c r="F18" s="107">
        <f>1000*3.99</f>
        <v>3990</v>
      </c>
      <c r="G18" s="17"/>
      <c r="H18" s="17"/>
      <c r="I18" s="111"/>
      <c r="AE18" s="171" t="s">
        <v>137</v>
      </c>
      <c r="AF18" s="172">
        <f>AF16+AF13</f>
        <v>2691.5260000000003</v>
      </c>
      <c r="AG18" s="234"/>
      <c r="AH18" s="173" t="s">
        <v>137</v>
      </c>
      <c r="AI18" s="172">
        <f>AI16+AI13</f>
        <v>314</v>
      </c>
      <c r="AJ18" s="235"/>
      <c r="AK18" s="173" t="s">
        <v>137</v>
      </c>
      <c r="AL18" s="236">
        <f>AL16+AL13</f>
        <v>704</v>
      </c>
    </row>
    <row r="19" spans="1:38" x14ac:dyDescent="0.3">
      <c r="B19" s="108" t="s">
        <v>136</v>
      </c>
      <c r="C19" s="109">
        <f>SUM(C13:C18)</f>
        <v>1363.33</v>
      </c>
      <c r="D19" s="21"/>
      <c r="E19" s="112" t="s">
        <v>29</v>
      </c>
      <c r="F19" s="113">
        <f>SUM(F16:F18)</f>
        <v>10440</v>
      </c>
      <c r="G19" s="17"/>
      <c r="H19" s="18"/>
      <c r="I19" s="110"/>
    </row>
    <row r="20" spans="1:38" x14ac:dyDescent="0.3">
      <c r="B20" s="119"/>
      <c r="C20" s="120"/>
      <c r="D20" s="21"/>
      <c r="E20" s="17"/>
      <c r="F20" s="107"/>
      <c r="G20" s="18"/>
      <c r="H20" s="17"/>
      <c r="I20" s="111"/>
    </row>
    <row r="21" spans="1:38" x14ac:dyDescent="0.3">
      <c r="B21" s="157" t="s">
        <v>137</v>
      </c>
      <c r="C21" s="158">
        <f>C19+C11</f>
        <v>4019.38</v>
      </c>
      <c r="D21" s="84"/>
      <c r="E21" s="116" t="s">
        <v>15</v>
      </c>
      <c r="F21" s="117">
        <v>5988</v>
      </c>
      <c r="G21" s="51"/>
      <c r="H21" s="51"/>
      <c r="I21" s="124"/>
    </row>
    <row r="22" spans="1:38" x14ac:dyDescent="0.3">
      <c r="A22" s="148"/>
      <c r="B22" s="145"/>
      <c r="C22" s="144"/>
      <c r="D22" s="145"/>
      <c r="E22" s="146"/>
      <c r="F22" s="147"/>
      <c r="G22" s="146"/>
      <c r="H22" s="146"/>
      <c r="I22" s="147"/>
      <c r="J22" s="148"/>
    </row>
    <row r="23" spans="1:38" x14ac:dyDescent="0.3">
      <c r="B23" s="148"/>
      <c r="C23" s="148"/>
      <c r="D23" s="148"/>
      <c r="E23" s="148"/>
      <c r="F23" s="148"/>
      <c r="G23" s="148"/>
      <c r="H23" s="148"/>
      <c r="I23" s="148"/>
    </row>
    <row r="24" spans="1:38" x14ac:dyDescent="0.3">
      <c r="B24" s="191" t="s">
        <v>40</v>
      </c>
      <c r="C24" s="192"/>
      <c r="D24" s="175"/>
      <c r="E24" s="192" t="s">
        <v>159</v>
      </c>
      <c r="F24" s="193"/>
      <c r="G24" s="133"/>
      <c r="H24" s="191" t="s">
        <v>40</v>
      </c>
      <c r="I24" s="192"/>
      <c r="J24" s="185"/>
      <c r="K24" s="192" t="s">
        <v>24</v>
      </c>
      <c r="L24" s="192"/>
      <c r="M24" s="185"/>
      <c r="N24" s="192" t="s">
        <v>12</v>
      </c>
      <c r="O24" s="193"/>
    </row>
    <row r="25" spans="1:38" x14ac:dyDescent="0.3">
      <c r="B25" s="104" t="s">
        <v>25</v>
      </c>
      <c r="C25" s="94" t="s">
        <v>26</v>
      </c>
      <c r="D25" s="16"/>
      <c r="E25" s="16" t="s">
        <v>25</v>
      </c>
      <c r="F25" s="105" t="s">
        <v>26</v>
      </c>
      <c r="G25" s="16"/>
      <c r="H25" s="104" t="s">
        <v>25</v>
      </c>
      <c r="I25" s="94" t="s">
        <v>26</v>
      </c>
      <c r="J25" s="16"/>
      <c r="K25" s="16" t="s">
        <v>25</v>
      </c>
      <c r="L25" s="94" t="s">
        <v>26</v>
      </c>
      <c r="M25" s="16"/>
      <c r="N25" s="16" t="s">
        <v>25</v>
      </c>
      <c r="O25" s="105" t="s">
        <v>26</v>
      </c>
    </row>
    <row r="26" spans="1:38" x14ac:dyDescent="0.3">
      <c r="B26" s="182"/>
      <c r="C26" s="183"/>
      <c r="D26" s="183"/>
      <c r="E26" s="167" t="s">
        <v>142</v>
      </c>
      <c r="F26" s="168">
        <v>2800</v>
      </c>
      <c r="G26" s="17"/>
      <c r="H26" s="106" t="s">
        <v>35</v>
      </c>
      <c r="I26" s="107">
        <v>303.8</v>
      </c>
      <c r="J26" s="17"/>
      <c r="K26" s="17" t="s">
        <v>8</v>
      </c>
      <c r="L26" s="48">
        <v>13999</v>
      </c>
      <c r="M26" s="17"/>
      <c r="N26" s="17" t="s">
        <v>42</v>
      </c>
      <c r="O26" s="130">
        <f>L28</f>
        <v>1198</v>
      </c>
    </row>
    <row r="27" spans="1:38" x14ac:dyDescent="0.3">
      <c r="B27" s="156"/>
      <c r="C27" s="1"/>
      <c r="D27" s="1"/>
      <c r="E27" s="17" t="s">
        <v>143</v>
      </c>
      <c r="F27" s="169">
        <f>I7+I8+I11</f>
        <v>4927</v>
      </c>
      <c r="G27" s="17"/>
      <c r="H27" s="106" t="s">
        <v>36</v>
      </c>
      <c r="I27" s="107">
        <v>258.93</v>
      </c>
      <c r="J27" s="17"/>
      <c r="K27" s="17" t="s">
        <v>99</v>
      </c>
      <c r="L27" s="46">
        <v>2900</v>
      </c>
      <c r="M27" s="17"/>
      <c r="N27" s="17" t="s">
        <v>27</v>
      </c>
      <c r="O27" s="130">
        <v>750</v>
      </c>
    </row>
    <row r="28" spans="1:38" x14ac:dyDescent="0.3">
      <c r="B28" s="106" t="s">
        <v>141</v>
      </c>
      <c r="C28" s="107">
        <f>304+259</f>
        <v>563</v>
      </c>
      <c r="D28" s="17"/>
      <c r="E28" s="165" t="s">
        <v>43</v>
      </c>
      <c r="F28" s="166">
        <f>F26+F27</f>
        <v>7727</v>
      </c>
      <c r="G28" s="17"/>
      <c r="H28" s="106" t="s">
        <v>37</v>
      </c>
      <c r="I28" s="107">
        <v>979.72</v>
      </c>
      <c r="J28" s="17"/>
      <c r="K28" s="17" t="s">
        <v>42</v>
      </c>
      <c r="L28" s="48">
        <v>1198</v>
      </c>
      <c r="M28" s="17"/>
      <c r="N28" s="17" t="s">
        <v>28</v>
      </c>
      <c r="O28" s="130">
        <f>150*4.1</f>
        <v>615</v>
      </c>
    </row>
    <row r="29" spans="1:38" x14ac:dyDescent="0.3">
      <c r="B29" s="106" t="s">
        <v>37</v>
      </c>
      <c r="C29" s="107">
        <v>979.72</v>
      </c>
      <c r="D29" s="17"/>
      <c r="E29" s="1"/>
      <c r="F29" s="170"/>
      <c r="G29" s="17"/>
      <c r="H29" s="106" t="s">
        <v>38</v>
      </c>
      <c r="I29" s="107">
        <v>1113.5999999999999</v>
      </c>
      <c r="J29" s="17"/>
      <c r="K29" s="17" t="s">
        <v>27</v>
      </c>
      <c r="L29" s="48">
        <v>750</v>
      </c>
      <c r="M29" s="17"/>
      <c r="N29" s="17" t="s">
        <v>10</v>
      </c>
      <c r="O29" s="130">
        <f>400*2.35</f>
        <v>940</v>
      </c>
    </row>
    <row r="30" spans="1:38" x14ac:dyDescent="0.3">
      <c r="B30" s="106" t="s">
        <v>38</v>
      </c>
      <c r="C30" s="107">
        <v>1113.5999999999999</v>
      </c>
      <c r="D30" s="17"/>
      <c r="E30" s="180" t="s">
        <v>155</v>
      </c>
      <c r="F30" s="184">
        <v>4100</v>
      </c>
      <c r="G30" s="17"/>
      <c r="H30" s="106" t="s">
        <v>39</v>
      </c>
      <c r="I30" s="107">
        <v>603.04</v>
      </c>
      <c r="J30" s="17"/>
      <c r="K30" s="17" t="s">
        <v>115</v>
      </c>
      <c r="L30" s="48">
        <f>500*4.1</f>
        <v>2050</v>
      </c>
      <c r="M30" s="17"/>
      <c r="N30" s="17" t="s">
        <v>98</v>
      </c>
      <c r="O30" s="130">
        <v>1396.5</v>
      </c>
    </row>
    <row r="31" spans="1:38" x14ac:dyDescent="0.3">
      <c r="B31" s="176" t="s">
        <v>145</v>
      </c>
      <c r="C31" s="113">
        <f>SUM(C28:C30)</f>
        <v>2656.3199999999997</v>
      </c>
      <c r="D31" s="17"/>
      <c r="E31" s="181" t="s">
        <v>153</v>
      </c>
      <c r="F31" s="164">
        <v>205</v>
      </c>
      <c r="G31" s="17"/>
      <c r="H31" s="106" t="s">
        <v>94</v>
      </c>
      <c r="I31" s="107">
        <v>83.36</v>
      </c>
      <c r="J31" s="17"/>
      <c r="K31" s="17" t="s">
        <v>100</v>
      </c>
      <c r="L31" s="46">
        <v>230</v>
      </c>
      <c r="M31" s="17"/>
      <c r="N31" s="17" t="s">
        <v>100</v>
      </c>
      <c r="O31" s="110">
        <v>230</v>
      </c>
    </row>
    <row r="32" spans="1:38" x14ac:dyDescent="0.3">
      <c r="B32" s="106"/>
      <c r="C32" s="17"/>
      <c r="D32" s="17"/>
      <c r="E32" s="1"/>
      <c r="F32" s="170"/>
      <c r="G32" s="17"/>
      <c r="H32" s="106" t="s">
        <v>95</v>
      </c>
      <c r="I32" s="107">
        <v>45.98</v>
      </c>
      <c r="J32" s="17"/>
      <c r="K32" s="47" t="s">
        <v>43</v>
      </c>
      <c r="L32" s="129">
        <f ca="1">SUM(L26:L32)</f>
        <v>20897</v>
      </c>
      <c r="M32" s="17"/>
      <c r="N32" s="47" t="s">
        <v>43</v>
      </c>
      <c r="O32" s="131">
        <f>SUM(O26:O31)</f>
        <v>5129.5</v>
      </c>
    </row>
    <row r="33" spans="2:15" x14ac:dyDescent="0.3">
      <c r="B33" s="197" t="s">
        <v>154</v>
      </c>
      <c r="C33" s="198"/>
      <c r="D33" s="17"/>
      <c r="E33" s="178" t="s">
        <v>144</v>
      </c>
      <c r="F33" s="179">
        <v>499</v>
      </c>
      <c r="G33" s="17"/>
      <c r="H33" s="106" t="s">
        <v>96</v>
      </c>
      <c r="I33" s="107">
        <v>476</v>
      </c>
      <c r="J33" s="17"/>
      <c r="M33" s="17"/>
      <c r="N33" s="1"/>
      <c r="O33" s="130"/>
    </row>
    <row r="34" spans="2:15" x14ac:dyDescent="0.3">
      <c r="B34" s="197"/>
      <c r="C34" s="198"/>
      <c r="D34" s="17"/>
      <c r="E34" s="17"/>
      <c r="F34" s="111"/>
      <c r="G34" s="17"/>
      <c r="H34" s="106" t="s">
        <v>97</v>
      </c>
      <c r="I34" s="107">
        <v>130.63999999999999</v>
      </c>
      <c r="J34" s="17"/>
      <c r="M34" s="17"/>
      <c r="N34" s="17" t="s">
        <v>9</v>
      </c>
      <c r="O34" s="111">
        <f>600*4.1</f>
        <v>2460</v>
      </c>
    </row>
    <row r="35" spans="2:15" x14ac:dyDescent="0.3">
      <c r="B35" s="163" t="s">
        <v>146</v>
      </c>
      <c r="C35" s="177">
        <v>35.475999999999999</v>
      </c>
      <c r="D35" s="17"/>
      <c r="E35" s="1"/>
      <c r="F35" s="170"/>
      <c r="G35" s="17"/>
      <c r="H35" s="106" t="s">
        <v>80</v>
      </c>
      <c r="I35" s="107">
        <v>24.31</v>
      </c>
      <c r="J35" s="17"/>
      <c r="K35" s="17"/>
      <c r="L35" s="107"/>
      <c r="M35" s="21"/>
      <c r="N35" s="17" t="s">
        <v>10</v>
      </c>
      <c r="O35" s="111">
        <f>400*2.35</f>
        <v>940</v>
      </c>
    </row>
    <row r="36" spans="2:15" x14ac:dyDescent="0.3">
      <c r="B36" s="106"/>
      <c r="C36" s="107"/>
      <c r="D36" s="17"/>
      <c r="E36" s="1"/>
      <c r="F36" s="170"/>
      <c r="G36" s="21"/>
      <c r="H36" s="108" t="s">
        <v>41</v>
      </c>
      <c r="I36" s="109">
        <f>SUM(I26:I35)</f>
        <v>4019.38</v>
      </c>
      <c r="J36" s="17"/>
      <c r="K36" s="180" t="s">
        <v>155</v>
      </c>
      <c r="L36" s="107">
        <f>600*4.1</f>
        <v>2460</v>
      </c>
      <c r="M36" s="17"/>
      <c r="N36" s="17" t="s">
        <v>98</v>
      </c>
      <c r="O36" s="111">
        <v>1396.5</v>
      </c>
    </row>
    <row r="37" spans="2:15" x14ac:dyDescent="0.3">
      <c r="B37" s="171" t="s">
        <v>137</v>
      </c>
      <c r="C37" s="172">
        <f>C35+C31</f>
        <v>2691.7959999999998</v>
      </c>
      <c r="D37" s="16"/>
      <c r="E37" s="173" t="s">
        <v>137</v>
      </c>
      <c r="F37" s="174">
        <f>F33+F31</f>
        <v>704</v>
      </c>
      <c r="G37" s="17"/>
      <c r="H37" s="106"/>
      <c r="I37" s="107"/>
      <c r="J37" s="17"/>
      <c r="K37" s="112" t="s">
        <v>29</v>
      </c>
      <c r="L37" s="113">
        <f ca="1">SUM(L36:L38)</f>
        <v>2460</v>
      </c>
      <c r="M37" s="17"/>
      <c r="N37" s="112" t="s">
        <v>29</v>
      </c>
      <c r="O37" s="114">
        <f>SUM(O34:O36)</f>
        <v>4796.5</v>
      </c>
    </row>
    <row r="38" spans="2:15" x14ac:dyDescent="0.3">
      <c r="B38" s="106"/>
      <c r="C38" s="107"/>
      <c r="D38" s="17"/>
      <c r="G38" s="17"/>
      <c r="H38" s="119"/>
      <c r="I38" s="120"/>
      <c r="J38" s="21"/>
      <c r="K38" s="17"/>
      <c r="L38" s="107"/>
      <c r="M38" s="17"/>
      <c r="N38" s="17"/>
      <c r="O38" s="111"/>
    </row>
    <row r="39" spans="2:15" x14ac:dyDescent="0.3">
      <c r="B39" s="108"/>
      <c r="C39" s="109"/>
      <c r="D39" s="21"/>
      <c r="G39" s="17"/>
      <c r="H39" s="119"/>
      <c r="I39" s="120"/>
      <c r="J39" s="21"/>
      <c r="M39" s="18"/>
      <c r="N39" s="121" t="s">
        <v>15</v>
      </c>
      <c r="O39" s="122">
        <v>5988</v>
      </c>
    </row>
    <row r="40" spans="2:15" x14ac:dyDescent="0.3">
      <c r="B40" s="119"/>
      <c r="C40" s="46"/>
      <c r="D40" s="21"/>
      <c r="E40" s="17"/>
      <c r="F40" s="107"/>
      <c r="G40" s="18"/>
      <c r="H40" s="119"/>
      <c r="I40" s="120"/>
      <c r="J40" s="21"/>
      <c r="K40" s="17"/>
      <c r="L40" s="107"/>
      <c r="M40" s="18"/>
      <c r="N40" s="18"/>
      <c r="O40" s="110"/>
    </row>
    <row r="41" spans="2:15" x14ac:dyDescent="0.3">
      <c r="B41" s="157"/>
      <c r="C41" s="158"/>
      <c r="D41" s="84"/>
      <c r="E41" s="116"/>
      <c r="F41" s="117"/>
      <c r="G41" s="51"/>
      <c r="H41" s="123"/>
      <c r="I41" s="82"/>
      <c r="J41" s="84"/>
      <c r="K41" s="116" t="s">
        <v>15</v>
      </c>
      <c r="L41" s="117">
        <v>1308</v>
      </c>
      <c r="M41" s="51"/>
      <c r="N41" s="51"/>
      <c r="O41" s="124"/>
    </row>
    <row r="43" spans="2:15" x14ac:dyDescent="0.3">
      <c r="L43" s="213">
        <f>L41/12</f>
        <v>109</v>
      </c>
    </row>
    <row r="45" spans="2:15" x14ac:dyDescent="0.3">
      <c r="B45" s="191" t="s">
        <v>40</v>
      </c>
      <c r="C45" s="192"/>
      <c r="E45" s="192" t="s">
        <v>160</v>
      </c>
      <c r="F45" s="192"/>
      <c r="G45" s="133"/>
      <c r="H45" s="192" t="s">
        <v>159</v>
      </c>
      <c r="I45" s="193"/>
    </row>
    <row r="46" spans="2:15" x14ac:dyDescent="0.3">
      <c r="B46" s="104" t="s">
        <v>25</v>
      </c>
      <c r="C46" s="94" t="s">
        <v>26</v>
      </c>
      <c r="D46" s="16"/>
      <c r="E46" s="16" t="s">
        <v>25</v>
      </c>
      <c r="F46" s="94" t="s">
        <v>26</v>
      </c>
      <c r="G46" s="16"/>
      <c r="H46" s="16" t="s">
        <v>25</v>
      </c>
      <c r="I46" s="105" t="s">
        <v>26</v>
      </c>
    </row>
    <row r="47" spans="2:15" x14ac:dyDescent="0.3">
      <c r="B47" s="106" t="s">
        <v>35</v>
      </c>
      <c r="C47" s="107">
        <v>303.8</v>
      </c>
      <c r="D47" s="17"/>
      <c r="E47" s="17" t="s">
        <v>8</v>
      </c>
      <c r="F47" s="48">
        <v>13999</v>
      </c>
      <c r="G47" s="17"/>
      <c r="H47" s="17" t="s">
        <v>111</v>
      </c>
      <c r="I47" s="130">
        <f>599*3</f>
        <v>1797</v>
      </c>
    </row>
    <row r="48" spans="2:15" x14ac:dyDescent="0.3">
      <c r="B48" s="106" t="s">
        <v>36</v>
      </c>
      <c r="C48" s="107">
        <v>258.93</v>
      </c>
      <c r="D48" s="17"/>
      <c r="E48" s="17" t="s">
        <v>99</v>
      </c>
      <c r="F48" s="46">
        <v>2900</v>
      </c>
      <c r="G48" s="17"/>
      <c r="H48" s="17" t="s">
        <v>99</v>
      </c>
      <c r="I48" s="110">
        <v>2900</v>
      </c>
    </row>
    <row r="49" spans="2:9" x14ac:dyDescent="0.3">
      <c r="B49" s="106" t="s">
        <v>37</v>
      </c>
      <c r="C49" s="107">
        <v>979.72</v>
      </c>
      <c r="D49" s="17"/>
      <c r="E49" s="17" t="s">
        <v>42</v>
      </c>
      <c r="F49" s="48">
        <v>1198</v>
      </c>
      <c r="G49" s="17"/>
      <c r="H49" s="17" t="s">
        <v>27</v>
      </c>
      <c r="I49" s="130">
        <v>750</v>
      </c>
    </row>
    <row r="50" spans="2:9" x14ac:dyDescent="0.3">
      <c r="B50" s="106" t="s">
        <v>38</v>
      </c>
      <c r="C50" s="107">
        <v>1113.5999999999999</v>
      </c>
      <c r="D50" s="17"/>
      <c r="E50" s="17" t="s">
        <v>27</v>
      </c>
      <c r="F50" s="48">
        <v>750</v>
      </c>
      <c r="G50" s="17"/>
      <c r="H50" s="17" t="s">
        <v>115</v>
      </c>
      <c r="I50" s="130">
        <f>500*4.1</f>
        <v>2050</v>
      </c>
    </row>
    <row r="51" spans="2:9" x14ac:dyDescent="0.3">
      <c r="B51" s="176" t="s">
        <v>145</v>
      </c>
      <c r="C51" s="113">
        <f>SUM(C47:C50)</f>
        <v>2656.05</v>
      </c>
      <c r="D51" s="17"/>
      <c r="E51" s="17" t="s">
        <v>115</v>
      </c>
      <c r="F51" s="48">
        <f>500*4.1</f>
        <v>2050</v>
      </c>
      <c r="G51" s="17"/>
      <c r="H51" s="17" t="s">
        <v>100</v>
      </c>
      <c r="I51" s="110">
        <v>230</v>
      </c>
    </row>
    <row r="52" spans="2:9" x14ac:dyDescent="0.3">
      <c r="B52" s="156"/>
      <c r="C52" s="1"/>
      <c r="D52" s="17"/>
      <c r="E52" s="17" t="s">
        <v>100</v>
      </c>
      <c r="F52" s="46">
        <v>230</v>
      </c>
      <c r="G52" s="17"/>
      <c r="H52" s="47" t="s">
        <v>43</v>
      </c>
      <c r="I52" s="131">
        <f>SUM(I47:I51)</f>
        <v>7727</v>
      </c>
    </row>
    <row r="53" spans="2:9" x14ac:dyDescent="0.3">
      <c r="B53" s="197" t="s">
        <v>154</v>
      </c>
      <c r="C53" s="198"/>
      <c r="D53" s="17"/>
      <c r="E53" s="47" t="s">
        <v>43</v>
      </c>
      <c r="F53" s="129">
        <f ca="1">SUM(F47:F53)</f>
        <v>20897</v>
      </c>
      <c r="G53" s="17"/>
      <c r="H53" s="18"/>
      <c r="I53" s="110"/>
    </row>
    <row r="54" spans="2:9" x14ac:dyDescent="0.3">
      <c r="B54" s="197"/>
      <c r="C54" s="198"/>
      <c r="D54" s="17"/>
      <c r="G54" s="17"/>
      <c r="H54" s="180" t="s">
        <v>155</v>
      </c>
      <c r="I54" s="184">
        <v>4100</v>
      </c>
    </row>
    <row r="55" spans="2:9" x14ac:dyDescent="0.3">
      <c r="B55" s="163" t="s">
        <v>146</v>
      </c>
      <c r="C55" s="177">
        <v>35.475999999999999</v>
      </c>
      <c r="D55" s="17"/>
      <c r="G55" s="17"/>
      <c r="H55" s="181" t="s">
        <v>153</v>
      </c>
      <c r="I55" s="164">
        <v>205</v>
      </c>
    </row>
    <row r="56" spans="2:9" x14ac:dyDescent="0.3">
      <c r="B56" s="106"/>
      <c r="C56" s="107"/>
      <c r="D56" s="17"/>
      <c r="E56" s="17"/>
      <c r="F56" s="107"/>
      <c r="G56" s="21"/>
      <c r="H56" s="18"/>
      <c r="I56" s="110"/>
    </row>
    <row r="57" spans="2:9" x14ac:dyDescent="0.3">
      <c r="B57" s="106"/>
      <c r="C57" s="107"/>
      <c r="D57" s="17"/>
      <c r="E57" s="180" t="s">
        <v>155</v>
      </c>
      <c r="F57" s="184">
        <v>4100</v>
      </c>
      <c r="G57" s="17"/>
      <c r="H57" s="121" t="s">
        <v>15</v>
      </c>
      <c r="I57" s="122">
        <v>5988</v>
      </c>
    </row>
    <row r="58" spans="2:9" x14ac:dyDescent="0.3">
      <c r="B58" s="106"/>
      <c r="C58" s="107"/>
      <c r="D58" s="17"/>
      <c r="E58" s="181" t="s">
        <v>153</v>
      </c>
      <c r="F58" s="164">
        <v>205</v>
      </c>
      <c r="G58" s="17"/>
      <c r="H58" s="17"/>
      <c r="I58" s="111"/>
    </row>
    <row r="59" spans="2:9" x14ac:dyDescent="0.3">
      <c r="B59" s="108"/>
      <c r="C59" s="109"/>
      <c r="D59" s="21"/>
      <c r="E59" s="17"/>
      <c r="F59" s="107"/>
      <c r="G59" s="17"/>
      <c r="H59" s="18"/>
      <c r="I59" s="110"/>
    </row>
    <row r="60" spans="2:9" x14ac:dyDescent="0.3">
      <c r="B60" s="119"/>
      <c r="C60" s="120"/>
      <c r="D60" s="21"/>
      <c r="G60" s="18"/>
      <c r="H60" s="17"/>
      <c r="I60" s="111"/>
    </row>
    <row r="61" spans="2:9" x14ac:dyDescent="0.3">
      <c r="B61" s="157" t="s">
        <v>137</v>
      </c>
      <c r="C61" s="158">
        <f>C59+C51</f>
        <v>2656.05</v>
      </c>
      <c r="D61" s="84"/>
      <c r="E61" s="17"/>
      <c r="F61" s="107"/>
      <c r="G61" s="51"/>
      <c r="H61" s="51"/>
      <c r="I61" s="124"/>
    </row>
    <row r="62" spans="2:9" x14ac:dyDescent="0.3">
      <c r="E62" s="116" t="s">
        <v>15</v>
      </c>
      <c r="F62" s="117">
        <v>1308</v>
      </c>
    </row>
  </sheetData>
  <mergeCells count="18">
    <mergeCell ref="B53:C54"/>
    <mergeCell ref="AE2:AF2"/>
    <mergeCell ref="AH2:AI2"/>
    <mergeCell ref="AK2:AL2"/>
    <mergeCell ref="B4:I4"/>
    <mergeCell ref="B5:C5"/>
    <mergeCell ref="E5:F5"/>
    <mergeCell ref="B45:C45"/>
    <mergeCell ref="E45:F45"/>
    <mergeCell ref="H45:I45"/>
    <mergeCell ref="H24:I24"/>
    <mergeCell ref="K5:N5"/>
    <mergeCell ref="H5:I5"/>
    <mergeCell ref="B24:C24"/>
    <mergeCell ref="E24:F24"/>
    <mergeCell ref="B33:C34"/>
    <mergeCell ref="K24:L24"/>
    <mergeCell ref="N24:O2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1DD2C-B93A-40F3-9F6C-D427AA91DA08}">
  <dimension ref="A1:BL202"/>
  <sheetViews>
    <sheetView tabSelected="1" topLeftCell="AS113" zoomScale="70" zoomScaleNormal="70" workbookViewId="0">
      <selection activeCell="AV134" sqref="AV134"/>
    </sheetView>
  </sheetViews>
  <sheetFormatPr defaultRowHeight="13.8" x14ac:dyDescent="0.25"/>
  <cols>
    <col min="1" max="1" width="18.33203125" style="8" customWidth="1"/>
    <col min="2" max="2" width="17.77734375" style="8" customWidth="1"/>
    <col min="3" max="3" width="8.88671875" style="8"/>
    <col min="4" max="4" width="15.44140625" style="8" customWidth="1"/>
    <col min="5" max="5" width="16.6640625" style="8" customWidth="1"/>
    <col min="6" max="6" width="6.6640625" style="8" customWidth="1"/>
    <col min="7" max="7" width="14.33203125" style="8" customWidth="1"/>
    <col min="8" max="8" width="23" style="8" customWidth="1"/>
    <col min="9" max="27" width="15.77734375" style="8" customWidth="1"/>
    <col min="28" max="28" width="15.5546875" style="8" customWidth="1"/>
    <col min="29" max="29" width="14.44140625" style="8" customWidth="1"/>
    <col min="30" max="30" width="15.21875" style="8" customWidth="1"/>
    <col min="31" max="31" width="16.33203125" style="8" customWidth="1"/>
    <col min="32" max="32" width="16" style="8" customWidth="1"/>
    <col min="33" max="33" width="16.5546875" style="8" customWidth="1"/>
    <col min="34" max="34" width="14.21875" style="8" customWidth="1"/>
    <col min="35" max="35" width="15" style="8" customWidth="1"/>
    <col min="36" max="36" width="15.5546875" style="8" customWidth="1"/>
    <col min="37" max="37" width="14.77734375" style="8" customWidth="1"/>
    <col min="38" max="38" width="13" style="8" customWidth="1"/>
    <col min="39" max="39" width="16.21875" style="8" customWidth="1"/>
    <col min="40" max="40" width="14.109375" style="8" customWidth="1"/>
    <col min="41" max="43" width="8.88671875" style="8"/>
    <col min="44" max="44" width="22.33203125" style="8" customWidth="1"/>
    <col min="45" max="45" width="18.21875" style="8" customWidth="1"/>
    <col min="46" max="46" width="8.88671875" style="8"/>
    <col min="47" max="47" width="24.21875" style="8" customWidth="1"/>
    <col min="48" max="48" width="18.88671875" style="8" customWidth="1"/>
    <col min="49" max="49" width="8.88671875" style="8"/>
    <col min="50" max="50" width="14" style="8" customWidth="1"/>
    <col min="51" max="51" width="22.33203125" style="8" customWidth="1"/>
    <col min="52" max="52" width="18.33203125" style="8" customWidth="1"/>
    <col min="53" max="53" width="19.109375" style="8" customWidth="1"/>
    <col min="54" max="54" width="19.5546875" style="8" customWidth="1"/>
    <col min="55" max="55" width="8.88671875" style="8"/>
    <col min="56" max="56" width="14.109375" style="8" customWidth="1"/>
    <col min="57" max="57" width="22.77734375" style="8" customWidth="1"/>
    <col min="58" max="58" width="15.5546875" style="8" customWidth="1"/>
    <col min="59" max="59" width="12.5546875" style="8" customWidth="1"/>
    <col min="60" max="62" width="8.88671875" style="8"/>
    <col min="63" max="63" width="15.33203125" style="8" customWidth="1"/>
    <col min="64" max="64" width="21.33203125" style="8" customWidth="1"/>
    <col min="65" max="16384" width="8.88671875" style="8"/>
  </cols>
  <sheetData>
    <row r="1" spans="7:64" x14ac:dyDescent="0.25">
      <c r="Y1" s="58"/>
      <c r="Z1" s="56"/>
    </row>
    <row r="2" spans="7:64" x14ac:dyDescent="0.25">
      <c r="G2" s="209"/>
      <c r="H2" s="209"/>
      <c r="Y2" s="58"/>
      <c r="Z2" s="56"/>
      <c r="AX2" s="59"/>
      <c r="AY2" s="53"/>
    </row>
    <row r="3" spans="7:64" ht="14.4" thickBot="1" x14ac:dyDescent="0.3">
      <c r="G3" s="57" t="s">
        <v>45</v>
      </c>
      <c r="I3" s="205" t="s">
        <v>17</v>
      </c>
      <c r="J3" s="205"/>
      <c r="Y3" s="204" t="s">
        <v>18</v>
      </c>
      <c r="Z3" s="205"/>
    </row>
    <row r="4" spans="7:64" ht="18" customHeight="1" thickBot="1" x14ac:dyDescent="0.3">
      <c r="I4" s="22"/>
      <c r="J4" s="206" t="s">
        <v>0</v>
      </c>
      <c r="K4" s="207"/>
      <c r="L4" s="208"/>
      <c r="M4" s="206" t="s">
        <v>1</v>
      </c>
      <c r="N4" s="207"/>
      <c r="O4" s="208"/>
      <c r="P4" s="206" t="s">
        <v>2</v>
      </c>
      <c r="Q4" s="207"/>
      <c r="R4" s="208"/>
      <c r="S4" s="199" t="s">
        <v>3</v>
      </c>
      <c r="T4" s="200"/>
      <c r="U4" s="201"/>
      <c r="V4" s="199" t="s">
        <v>46</v>
      </c>
      <c r="W4" s="200"/>
      <c r="X4" s="201"/>
      <c r="Y4" s="22"/>
      <c r="Z4" s="206" t="s">
        <v>0</v>
      </c>
      <c r="AA4" s="207"/>
      <c r="AB4" s="208"/>
      <c r="AC4" s="206" t="s">
        <v>1</v>
      </c>
      <c r="AD4" s="207"/>
      <c r="AE4" s="208"/>
      <c r="AF4" s="206" t="s">
        <v>2</v>
      </c>
      <c r="AG4" s="207"/>
      <c r="AH4" s="208"/>
      <c r="AI4" s="199" t="s">
        <v>3</v>
      </c>
      <c r="AJ4" s="200"/>
      <c r="AK4" s="201"/>
      <c r="AL4" s="199" t="s">
        <v>46</v>
      </c>
      <c r="AM4" s="200"/>
      <c r="AN4" s="201"/>
      <c r="BE4" s="202" t="s">
        <v>58</v>
      </c>
      <c r="BF4" s="202"/>
      <c r="BG4" s="202"/>
      <c r="BJ4" s="202" t="s">
        <v>59</v>
      </c>
      <c r="BK4" s="203"/>
      <c r="BL4" s="203"/>
    </row>
    <row r="5" spans="7:64" ht="43.8" customHeight="1" thickBot="1" x14ac:dyDescent="0.3">
      <c r="I5" s="22" t="s">
        <v>4</v>
      </c>
      <c r="J5" s="23" t="s">
        <v>5</v>
      </c>
      <c r="K5" s="23" t="s">
        <v>6</v>
      </c>
      <c r="L5" s="22" t="s">
        <v>7</v>
      </c>
      <c r="M5" s="23" t="s">
        <v>5</v>
      </c>
      <c r="N5" s="23" t="s">
        <v>6</v>
      </c>
      <c r="O5" s="22" t="s">
        <v>7</v>
      </c>
      <c r="P5" s="23" t="s">
        <v>5</v>
      </c>
      <c r="Q5" s="23" t="s">
        <v>6</v>
      </c>
      <c r="R5" s="22" t="s">
        <v>7</v>
      </c>
      <c r="S5" s="23" t="s">
        <v>5</v>
      </c>
      <c r="T5" s="23" t="s">
        <v>6</v>
      </c>
      <c r="U5" s="22" t="s">
        <v>7</v>
      </c>
      <c r="V5" s="23" t="s">
        <v>5</v>
      </c>
      <c r="W5" s="23" t="s">
        <v>6</v>
      </c>
      <c r="X5" s="22" t="s">
        <v>7</v>
      </c>
      <c r="Y5" s="22" t="s">
        <v>4</v>
      </c>
      <c r="Z5" s="23" t="s">
        <v>5</v>
      </c>
      <c r="AA5" s="23" t="s">
        <v>6</v>
      </c>
      <c r="AB5" s="22" t="s">
        <v>7</v>
      </c>
      <c r="AC5" s="23" t="s">
        <v>5</v>
      </c>
      <c r="AD5" s="23" t="s">
        <v>6</v>
      </c>
      <c r="AE5" s="22" t="s">
        <v>7</v>
      </c>
      <c r="AF5" s="23" t="s">
        <v>5</v>
      </c>
      <c r="AG5" s="23" t="s">
        <v>6</v>
      </c>
      <c r="AH5" s="22" t="s">
        <v>7</v>
      </c>
      <c r="AI5" s="23" t="s">
        <v>5</v>
      </c>
      <c r="AJ5" s="23" t="s">
        <v>6</v>
      </c>
      <c r="AK5" s="22" t="s">
        <v>7</v>
      </c>
      <c r="AL5" s="23" t="s">
        <v>5</v>
      </c>
      <c r="AM5" s="23" t="s">
        <v>6</v>
      </c>
      <c r="AN5" s="22" t="s">
        <v>7</v>
      </c>
      <c r="AO5" s="22" t="s">
        <v>4</v>
      </c>
      <c r="AR5" s="8" t="s">
        <v>11</v>
      </c>
      <c r="AU5" s="8" t="s">
        <v>12</v>
      </c>
      <c r="AY5" s="8" t="s">
        <v>13</v>
      </c>
      <c r="AZ5" s="9" t="s">
        <v>14</v>
      </c>
      <c r="BA5" s="9" t="s">
        <v>16</v>
      </c>
      <c r="BB5" s="212"/>
      <c r="BC5" s="212"/>
      <c r="BE5" s="9"/>
      <c r="BF5" s="9" t="s">
        <v>54</v>
      </c>
      <c r="BG5" s="9" t="s">
        <v>23</v>
      </c>
      <c r="BI5" s="10"/>
      <c r="BJ5" s="9"/>
      <c r="BK5" s="9" t="s">
        <v>54</v>
      </c>
      <c r="BL5" s="9" t="s">
        <v>23</v>
      </c>
    </row>
    <row r="6" spans="7:64" ht="14.4" thickBot="1" x14ac:dyDescent="0.3">
      <c r="I6" s="24">
        <v>0</v>
      </c>
      <c r="J6" s="25">
        <f>AZ6</f>
        <v>3259.09</v>
      </c>
      <c r="K6" s="25">
        <v>0</v>
      </c>
      <c r="L6" s="26">
        <f>J6</f>
        <v>3259.09</v>
      </c>
      <c r="M6" s="25">
        <f>AZ7</f>
        <v>2933.1810000000005</v>
      </c>
      <c r="N6" s="25">
        <f>AS$6+AS$9+AS$10+AS$11+AS$12</f>
        <v>20529</v>
      </c>
      <c r="O6" s="26">
        <f>N6+M6</f>
        <v>23462.181</v>
      </c>
      <c r="P6" s="25">
        <v>2444.3200000000002</v>
      </c>
      <c r="Q6" s="25">
        <f>N6</f>
        <v>20529</v>
      </c>
      <c r="R6" s="26">
        <f>Q6+P6</f>
        <v>22973.32</v>
      </c>
      <c r="S6" s="25">
        <v>1629.55</v>
      </c>
      <c r="T6" s="25">
        <f>N6</f>
        <v>20529</v>
      </c>
      <c r="U6" s="26">
        <f>T6+S6</f>
        <v>22158.55</v>
      </c>
      <c r="V6" s="25">
        <v>0</v>
      </c>
      <c r="W6" s="25">
        <f>N6</f>
        <v>20529</v>
      </c>
      <c r="X6" s="26">
        <f>W6+V6</f>
        <v>20529</v>
      </c>
      <c r="Y6" s="24">
        <v>0</v>
      </c>
      <c r="Z6" s="25">
        <v>3259.09</v>
      </c>
      <c r="AA6" s="25">
        <v>0</v>
      </c>
      <c r="AB6" s="26">
        <v>3259.09</v>
      </c>
      <c r="AC6" s="25">
        <v>2933.18</v>
      </c>
      <c r="AD6" s="25">
        <f>AS9+AS10+AV10</f>
        <v>3630</v>
      </c>
      <c r="AE6" s="26">
        <f>AD6+AC6</f>
        <v>6563.18</v>
      </c>
      <c r="AF6" s="25">
        <v>2444.3200000000002</v>
      </c>
      <c r="AG6" s="25">
        <f>AD6</f>
        <v>3630</v>
      </c>
      <c r="AH6" s="26">
        <f>AG6+AF6</f>
        <v>6074.32</v>
      </c>
      <c r="AI6" s="25">
        <v>1629.55</v>
      </c>
      <c r="AJ6" s="25">
        <f>AD6</f>
        <v>3630</v>
      </c>
      <c r="AK6" s="26">
        <f>AI6+AJ6</f>
        <v>5259.55</v>
      </c>
      <c r="AL6" s="25">
        <v>0</v>
      </c>
      <c r="AM6" s="25">
        <f>AD6</f>
        <v>3630</v>
      </c>
      <c r="AN6" s="26">
        <f>AM6+AL6</f>
        <v>3630</v>
      </c>
      <c r="AO6" s="24">
        <v>0</v>
      </c>
      <c r="AR6" s="27" t="s">
        <v>8</v>
      </c>
      <c r="AS6" s="28">
        <v>13999</v>
      </c>
      <c r="AU6" s="29" t="s">
        <v>15</v>
      </c>
      <c r="AV6" s="30">
        <v>5988</v>
      </c>
      <c r="AY6" s="8">
        <v>0</v>
      </c>
      <c r="AZ6" s="11">
        <v>3259.09</v>
      </c>
      <c r="BA6" s="11">
        <f>0</f>
        <v>0</v>
      </c>
      <c r="BE6" s="10">
        <v>0.1</v>
      </c>
      <c r="BF6" s="61">
        <f>(AY7/100)*BF$16</f>
        <v>112.7</v>
      </c>
      <c r="BG6" s="12">
        <f>80*(BF6/2000)</f>
        <v>4.508</v>
      </c>
      <c r="BJ6" s="10">
        <v>0.1</v>
      </c>
      <c r="BK6" s="61">
        <f>(AY7/100)*BF$17</f>
        <v>129.01</v>
      </c>
      <c r="BL6" s="12">
        <f>80*(BK6/2000)</f>
        <v>5.1603999999999992</v>
      </c>
    </row>
    <row r="7" spans="7:64" ht="14.4" thickBot="1" x14ac:dyDescent="0.3">
      <c r="I7" s="24">
        <v>1</v>
      </c>
      <c r="J7" s="25">
        <f>J6+AZ$6</f>
        <v>6518.18</v>
      </c>
      <c r="K7" s="25">
        <v>0</v>
      </c>
      <c r="L7" s="26">
        <f t="shared" ref="L7:L54" si="0">J7</f>
        <v>6518.18</v>
      </c>
      <c r="M7" s="25">
        <f>M6+AZ$7</f>
        <v>5866.362000000001</v>
      </c>
      <c r="N7" s="25">
        <f>N6+AS$8</f>
        <v>20638</v>
      </c>
      <c r="O7" s="26">
        <f t="shared" ref="O7:O54" si="1">N7+M7</f>
        <v>26504.362000000001</v>
      </c>
      <c r="P7" s="25">
        <v>4888.6400000000003</v>
      </c>
      <c r="Q7" s="25">
        <f t="shared" ref="Q7:Q24" si="2">N7</f>
        <v>20638</v>
      </c>
      <c r="R7" s="26">
        <f t="shared" ref="R7:R54" si="3">Q7+P7</f>
        <v>25526.639999999999</v>
      </c>
      <c r="S7" s="25">
        <v>3259.1</v>
      </c>
      <c r="T7" s="25">
        <f t="shared" ref="T7:T24" si="4">N7</f>
        <v>20638</v>
      </c>
      <c r="U7" s="26">
        <f t="shared" ref="U7:U54" si="5">T7+S7</f>
        <v>23897.1</v>
      </c>
      <c r="V7" s="25">
        <v>0</v>
      </c>
      <c r="W7" s="25">
        <f t="shared" ref="W7:W24" si="6">N7</f>
        <v>20638</v>
      </c>
      <c r="X7" s="26">
        <f t="shared" ref="X7:X54" si="7">W7+V7</f>
        <v>20638</v>
      </c>
      <c r="Y7" s="24">
        <v>1</v>
      </c>
      <c r="Z7" s="25">
        <v>6518.18</v>
      </c>
      <c r="AA7" s="25">
        <v>0</v>
      </c>
      <c r="AB7" s="26">
        <v>6518.18</v>
      </c>
      <c r="AC7" s="25">
        <v>5866.36</v>
      </c>
      <c r="AD7" s="25">
        <f>AD6+AV$7</f>
        <v>4129</v>
      </c>
      <c r="AE7" s="26">
        <f t="shared" ref="AE7:AE54" si="8">AD7+AC7</f>
        <v>9995.36</v>
      </c>
      <c r="AF7" s="25">
        <v>4888.6400000000003</v>
      </c>
      <c r="AG7" s="25">
        <f t="shared" ref="AG7:AG24" si="9">AD7</f>
        <v>4129</v>
      </c>
      <c r="AH7" s="26">
        <f t="shared" ref="AH7:AH54" si="10">AG7+AF7</f>
        <v>9017.64</v>
      </c>
      <c r="AI7" s="25">
        <v>3259.1</v>
      </c>
      <c r="AJ7" s="25">
        <f t="shared" ref="AJ7:AJ24" si="11">AD7</f>
        <v>4129</v>
      </c>
      <c r="AK7" s="26">
        <f t="shared" ref="AK7:AK54" si="12">AI7+AJ7</f>
        <v>7388.1</v>
      </c>
      <c r="AL7" s="25">
        <v>0</v>
      </c>
      <c r="AM7" s="25">
        <f t="shared" ref="AM7:AM24" si="13">AD7</f>
        <v>4129</v>
      </c>
      <c r="AN7" s="26">
        <f t="shared" ref="AN7:AN54" si="14">AM7+AL7</f>
        <v>4129</v>
      </c>
      <c r="AO7" s="24">
        <v>1</v>
      </c>
      <c r="AR7" s="13" t="s">
        <v>15</v>
      </c>
      <c r="AS7" s="14">
        <v>1308</v>
      </c>
      <c r="AU7" s="8" t="s">
        <v>19</v>
      </c>
      <c r="AV7" s="8">
        <f>499</f>
        <v>499</v>
      </c>
      <c r="AY7" s="8">
        <f>AY6+10</f>
        <v>10</v>
      </c>
      <c r="AZ7" s="11">
        <f>AZ6*(100-AY7)/100</f>
        <v>2933.1810000000005</v>
      </c>
      <c r="BA7" s="11">
        <f>(AS$9+AS$10)*(AY7/100)</f>
        <v>340</v>
      </c>
      <c r="BE7" s="10">
        <v>0.25</v>
      </c>
      <c r="BF7" s="61">
        <f t="shared" ref="BF7:BF10" si="15">(AY8/100)*BF$16</f>
        <v>281.75</v>
      </c>
      <c r="BG7" s="12">
        <f t="shared" ref="BG7:BG10" si="16">80*(BF7/2000)</f>
        <v>11.27</v>
      </c>
      <c r="BJ7" s="10">
        <v>0.25</v>
      </c>
      <c r="BK7" s="61">
        <f t="shared" ref="BK7:BK10" si="17">(AY8/100)*BF$17</f>
        <v>322.52499999999998</v>
      </c>
      <c r="BL7" s="12">
        <f t="shared" ref="BL7:BL10" si="18">80*(BK7/2000)</f>
        <v>12.900999999999998</v>
      </c>
    </row>
    <row r="8" spans="7:64" ht="14.4" thickBot="1" x14ac:dyDescent="0.3">
      <c r="I8" s="24">
        <v>2</v>
      </c>
      <c r="J8" s="25">
        <f t="shared" ref="J8:J54" si="19">J7+AZ$6</f>
        <v>9777.27</v>
      </c>
      <c r="K8" s="25">
        <v>0</v>
      </c>
      <c r="L8" s="26">
        <f t="shared" si="0"/>
        <v>9777.27</v>
      </c>
      <c r="M8" s="25">
        <f t="shared" ref="M8:M54" si="20">M7+AZ$7</f>
        <v>8799.5430000000015</v>
      </c>
      <c r="N8" s="25">
        <f t="shared" ref="N8:N24" si="21">N7+AS$8</f>
        <v>20747</v>
      </c>
      <c r="O8" s="26">
        <f t="shared" si="1"/>
        <v>29546.543000000001</v>
      </c>
      <c r="P8" s="25">
        <v>7332.96</v>
      </c>
      <c r="Q8" s="25">
        <f t="shared" si="2"/>
        <v>20747</v>
      </c>
      <c r="R8" s="26">
        <f t="shared" si="3"/>
        <v>28079.96</v>
      </c>
      <c r="S8" s="25">
        <v>4888.6499999999996</v>
      </c>
      <c r="T8" s="25">
        <f t="shared" si="4"/>
        <v>20747</v>
      </c>
      <c r="U8" s="26">
        <f t="shared" si="5"/>
        <v>25635.65</v>
      </c>
      <c r="V8" s="25">
        <v>0</v>
      </c>
      <c r="W8" s="25">
        <f t="shared" si="6"/>
        <v>20747</v>
      </c>
      <c r="X8" s="26">
        <f t="shared" si="7"/>
        <v>20747</v>
      </c>
      <c r="Y8" s="24">
        <v>2</v>
      </c>
      <c r="Z8" s="25">
        <v>9777.27</v>
      </c>
      <c r="AA8" s="25">
        <v>0</v>
      </c>
      <c r="AB8" s="26">
        <v>9777.27</v>
      </c>
      <c r="AC8" s="25">
        <v>8799.5400000000009</v>
      </c>
      <c r="AD8" s="25">
        <f t="shared" ref="AD8:AD24" si="22">AD7+AV$7</f>
        <v>4628</v>
      </c>
      <c r="AE8" s="26">
        <f t="shared" si="8"/>
        <v>13427.54</v>
      </c>
      <c r="AF8" s="25">
        <v>7332.96</v>
      </c>
      <c r="AG8" s="25">
        <f t="shared" si="9"/>
        <v>4628</v>
      </c>
      <c r="AH8" s="26">
        <f t="shared" si="10"/>
        <v>11960.96</v>
      </c>
      <c r="AI8" s="25">
        <v>4888.6499999999996</v>
      </c>
      <c r="AJ8" s="25">
        <f t="shared" si="11"/>
        <v>4628</v>
      </c>
      <c r="AK8" s="26">
        <f t="shared" si="12"/>
        <v>9516.65</v>
      </c>
      <c r="AL8" s="25">
        <v>0</v>
      </c>
      <c r="AM8" s="25">
        <f t="shared" si="13"/>
        <v>4628</v>
      </c>
      <c r="AN8" s="26">
        <f t="shared" si="14"/>
        <v>4628</v>
      </c>
      <c r="AO8" s="24">
        <v>2</v>
      </c>
      <c r="AR8" s="8" t="s">
        <v>19</v>
      </c>
      <c r="AS8" s="15">
        <f>AS7/12</f>
        <v>109</v>
      </c>
      <c r="AU8" s="31" t="s">
        <v>9</v>
      </c>
      <c r="AV8" s="32">
        <f>600*4.1</f>
        <v>2460</v>
      </c>
      <c r="AY8" s="8">
        <v>25</v>
      </c>
      <c r="AZ8" s="11">
        <f t="shared" ref="AZ8:AZ9" si="23">AZ7*(100-AY8)/100</f>
        <v>2199.8857500000004</v>
      </c>
      <c r="BA8" s="11">
        <f>(AS$9+AS$10)*(AY8/100)</f>
        <v>850</v>
      </c>
      <c r="BE8" s="10">
        <v>0.5</v>
      </c>
      <c r="BF8" s="61">
        <f t="shared" si="15"/>
        <v>563.5</v>
      </c>
      <c r="BG8" s="12">
        <f t="shared" si="16"/>
        <v>22.54</v>
      </c>
      <c r="BJ8" s="10">
        <v>0.5</v>
      </c>
      <c r="BK8" s="61">
        <f t="shared" si="17"/>
        <v>645.04999999999995</v>
      </c>
      <c r="BL8" s="12">
        <f t="shared" si="18"/>
        <v>25.801999999999996</v>
      </c>
    </row>
    <row r="9" spans="7:64" ht="14.4" thickBot="1" x14ac:dyDescent="0.3">
      <c r="I9" s="24">
        <v>3</v>
      </c>
      <c r="J9" s="25">
        <f t="shared" si="19"/>
        <v>13036.36</v>
      </c>
      <c r="K9" s="25">
        <v>0</v>
      </c>
      <c r="L9" s="26">
        <f t="shared" si="0"/>
        <v>13036.36</v>
      </c>
      <c r="M9" s="25">
        <f t="shared" si="20"/>
        <v>11732.724000000002</v>
      </c>
      <c r="N9" s="25">
        <f t="shared" si="21"/>
        <v>20856</v>
      </c>
      <c r="O9" s="26">
        <f t="shared" si="1"/>
        <v>32588.724000000002</v>
      </c>
      <c r="P9" s="25">
        <v>9777.2800000000007</v>
      </c>
      <c r="Q9" s="25">
        <f t="shared" si="2"/>
        <v>20856</v>
      </c>
      <c r="R9" s="26">
        <f t="shared" si="3"/>
        <v>30633.279999999999</v>
      </c>
      <c r="S9" s="25">
        <v>6518.2</v>
      </c>
      <c r="T9" s="25">
        <f t="shared" si="4"/>
        <v>20856</v>
      </c>
      <c r="U9" s="26">
        <f t="shared" si="5"/>
        <v>27374.2</v>
      </c>
      <c r="V9" s="25">
        <v>0</v>
      </c>
      <c r="W9" s="25">
        <f t="shared" si="6"/>
        <v>20856</v>
      </c>
      <c r="X9" s="26">
        <f t="shared" si="7"/>
        <v>20856</v>
      </c>
      <c r="Y9" s="24">
        <v>3</v>
      </c>
      <c r="Z9" s="25">
        <v>13036.36</v>
      </c>
      <c r="AA9" s="25">
        <v>0</v>
      </c>
      <c r="AB9" s="26">
        <v>13036.36</v>
      </c>
      <c r="AC9" s="25">
        <v>11732.72</v>
      </c>
      <c r="AD9" s="25">
        <f t="shared" si="22"/>
        <v>5127</v>
      </c>
      <c r="AE9" s="26">
        <f t="shared" si="8"/>
        <v>16859.72</v>
      </c>
      <c r="AF9" s="25">
        <v>9777.2800000000007</v>
      </c>
      <c r="AG9" s="25">
        <f t="shared" si="9"/>
        <v>5127</v>
      </c>
      <c r="AH9" s="26">
        <f t="shared" si="10"/>
        <v>14904.28</v>
      </c>
      <c r="AI9" s="25">
        <v>6518.2</v>
      </c>
      <c r="AJ9" s="25">
        <f t="shared" si="11"/>
        <v>5127</v>
      </c>
      <c r="AK9" s="26">
        <f t="shared" si="12"/>
        <v>11645.2</v>
      </c>
      <c r="AL9" s="25">
        <v>0</v>
      </c>
      <c r="AM9" s="25">
        <f t="shared" si="13"/>
        <v>5127</v>
      </c>
      <c r="AN9" s="26">
        <f t="shared" si="14"/>
        <v>5127</v>
      </c>
      <c r="AO9" s="24">
        <v>3</v>
      </c>
      <c r="AR9" s="33" t="s">
        <v>9</v>
      </c>
      <c r="AS9" s="32">
        <f>600*4.1</f>
        <v>2460</v>
      </c>
      <c r="AU9" s="34" t="s">
        <v>10</v>
      </c>
      <c r="AV9" s="35">
        <f>400*2.35</f>
        <v>940</v>
      </c>
      <c r="AY9" s="8">
        <v>50</v>
      </c>
      <c r="AZ9" s="11">
        <f t="shared" si="23"/>
        <v>1099.9428750000002</v>
      </c>
      <c r="BA9" s="11">
        <f>(AS$9+AS$10)*(AY9/100)</f>
        <v>1700</v>
      </c>
      <c r="BE9" s="10">
        <v>0.75</v>
      </c>
      <c r="BF9" s="61">
        <f t="shared" si="15"/>
        <v>845.25</v>
      </c>
      <c r="BG9" s="12">
        <f t="shared" si="16"/>
        <v>33.809999999999995</v>
      </c>
      <c r="BJ9" s="10">
        <v>0.75</v>
      </c>
      <c r="BK9" s="61">
        <f t="shared" si="17"/>
        <v>967.57499999999993</v>
      </c>
      <c r="BL9" s="12">
        <f t="shared" si="18"/>
        <v>38.702999999999996</v>
      </c>
    </row>
    <row r="10" spans="7:64" ht="14.4" thickBot="1" x14ac:dyDescent="0.3">
      <c r="I10" s="24">
        <v>4</v>
      </c>
      <c r="J10" s="25">
        <f t="shared" si="19"/>
        <v>16295.45</v>
      </c>
      <c r="K10" s="25">
        <v>0</v>
      </c>
      <c r="L10" s="26">
        <f t="shared" si="0"/>
        <v>16295.45</v>
      </c>
      <c r="M10" s="25">
        <f t="shared" si="20"/>
        <v>14665.905000000002</v>
      </c>
      <c r="N10" s="25">
        <f t="shared" si="21"/>
        <v>20965</v>
      </c>
      <c r="O10" s="26">
        <f t="shared" si="1"/>
        <v>35630.904999999999</v>
      </c>
      <c r="P10" s="25">
        <v>12221.6</v>
      </c>
      <c r="Q10" s="25">
        <f t="shared" si="2"/>
        <v>20965</v>
      </c>
      <c r="R10" s="26">
        <f t="shared" si="3"/>
        <v>33186.6</v>
      </c>
      <c r="S10" s="25">
        <v>8147.75</v>
      </c>
      <c r="T10" s="25">
        <f t="shared" si="4"/>
        <v>20965</v>
      </c>
      <c r="U10" s="26">
        <f t="shared" si="5"/>
        <v>29112.75</v>
      </c>
      <c r="V10" s="25">
        <v>0</v>
      </c>
      <c r="W10" s="25">
        <f t="shared" si="6"/>
        <v>20965</v>
      </c>
      <c r="X10" s="26">
        <f t="shared" si="7"/>
        <v>20965</v>
      </c>
      <c r="Y10" s="24">
        <v>4</v>
      </c>
      <c r="Z10" s="25">
        <v>16295.45</v>
      </c>
      <c r="AA10" s="25">
        <v>0</v>
      </c>
      <c r="AB10" s="26">
        <v>16295.45</v>
      </c>
      <c r="AC10" s="25">
        <v>14665.9</v>
      </c>
      <c r="AD10" s="25">
        <f t="shared" si="22"/>
        <v>5626</v>
      </c>
      <c r="AE10" s="26">
        <f t="shared" si="8"/>
        <v>20291.900000000001</v>
      </c>
      <c r="AF10" s="25">
        <v>12221.6</v>
      </c>
      <c r="AG10" s="25">
        <f t="shared" si="9"/>
        <v>5626</v>
      </c>
      <c r="AH10" s="26">
        <f t="shared" si="10"/>
        <v>17847.599999999999</v>
      </c>
      <c r="AI10" s="25">
        <v>8147.75</v>
      </c>
      <c r="AJ10" s="25">
        <f t="shared" si="11"/>
        <v>5626</v>
      </c>
      <c r="AK10" s="26">
        <f t="shared" si="12"/>
        <v>13773.75</v>
      </c>
      <c r="AL10" s="25">
        <v>0</v>
      </c>
      <c r="AM10" s="25">
        <f t="shared" si="13"/>
        <v>5626</v>
      </c>
      <c r="AN10" s="26">
        <f t="shared" si="14"/>
        <v>5626</v>
      </c>
      <c r="AO10" s="24">
        <v>4</v>
      </c>
      <c r="AR10" s="34" t="s">
        <v>10</v>
      </c>
      <c r="AS10" s="35">
        <f>400*2.35</f>
        <v>940</v>
      </c>
      <c r="AU10" s="8" t="s">
        <v>101</v>
      </c>
      <c r="AV10" s="8">
        <v>230</v>
      </c>
      <c r="AY10" s="8">
        <v>75</v>
      </c>
      <c r="BA10" s="11">
        <f t="shared" ref="BA10:BA11" si="24">(AS$9+AS$10)*(AY10/100)</f>
        <v>2550</v>
      </c>
      <c r="BE10" s="10">
        <v>1</v>
      </c>
      <c r="BF10" s="61">
        <f t="shared" si="15"/>
        <v>1127</v>
      </c>
      <c r="BG10" s="12">
        <f t="shared" si="16"/>
        <v>45.08</v>
      </c>
      <c r="BJ10" s="10">
        <v>1</v>
      </c>
      <c r="BK10" s="61">
        <f t="shared" si="17"/>
        <v>1290.0999999999999</v>
      </c>
      <c r="BL10" s="12">
        <f t="shared" si="18"/>
        <v>51.603999999999992</v>
      </c>
    </row>
    <row r="11" spans="7:64" ht="14.4" thickBot="1" x14ac:dyDescent="0.3">
      <c r="I11" s="24">
        <v>5</v>
      </c>
      <c r="J11" s="25">
        <f t="shared" si="19"/>
        <v>19554.54</v>
      </c>
      <c r="K11" s="25">
        <v>0</v>
      </c>
      <c r="L11" s="26">
        <f t="shared" si="0"/>
        <v>19554.54</v>
      </c>
      <c r="M11" s="25">
        <f t="shared" si="20"/>
        <v>17599.086000000003</v>
      </c>
      <c r="N11" s="25">
        <f t="shared" si="21"/>
        <v>21074</v>
      </c>
      <c r="O11" s="26">
        <f t="shared" si="1"/>
        <v>38673.086000000003</v>
      </c>
      <c r="P11" s="25">
        <v>14665.92</v>
      </c>
      <c r="Q11" s="25">
        <f t="shared" si="2"/>
        <v>21074</v>
      </c>
      <c r="R11" s="26">
        <f t="shared" si="3"/>
        <v>35739.919999999998</v>
      </c>
      <c r="S11" s="25">
        <v>9777.2999999999993</v>
      </c>
      <c r="T11" s="25">
        <f t="shared" si="4"/>
        <v>21074</v>
      </c>
      <c r="U11" s="26">
        <f t="shared" si="5"/>
        <v>30851.3</v>
      </c>
      <c r="V11" s="25">
        <v>0</v>
      </c>
      <c r="W11" s="25">
        <f t="shared" si="6"/>
        <v>21074</v>
      </c>
      <c r="X11" s="26">
        <f t="shared" si="7"/>
        <v>21074</v>
      </c>
      <c r="Y11" s="24">
        <v>5</v>
      </c>
      <c r="Z11" s="25">
        <v>19554.54</v>
      </c>
      <c r="AA11" s="25">
        <v>0</v>
      </c>
      <c r="AB11" s="26">
        <v>19554.54</v>
      </c>
      <c r="AC11" s="25">
        <v>17599.080000000002</v>
      </c>
      <c r="AD11" s="25">
        <f t="shared" si="22"/>
        <v>6125</v>
      </c>
      <c r="AE11" s="26">
        <f t="shared" si="8"/>
        <v>23724.080000000002</v>
      </c>
      <c r="AF11" s="25">
        <v>14665.92</v>
      </c>
      <c r="AG11" s="25">
        <f t="shared" si="9"/>
        <v>6125</v>
      </c>
      <c r="AH11" s="26">
        <f t="shared" si="10"/>
        <v>20790.919999999998</v>
      </c>
      <c r="AI11" s="25">
        <v>9777.2999999999993</v>
      </c>
      <c r="AJ11" s="25">
        <f t="shared" si="11"/>
        <v>6125</v>
      </c>
      <c r="AK11" s="26">
        <f t="shared" si="12"/>
        <v>15902.3</v>
      </c>
      <c r="AL11" s="25">
        <v>0</v>
      </c>
      <c r="AM11" s="25">
        <f t="shared" si="13"/>
        <v>6125</v>
      </c>
      <c r="AN11" s="26">
        <f t="shared" si="14"/>
        <v>6125</v>
      </c>
      <c r="AO11" s="24">
        <v>5</v>
      </c>
      <c r="AR11" s="8" t="s">
        <v>99</v>
      </c>
      <c r="AS11" s="8">
        <v>2900</v>
      </c>
      <c r="AY11" s="8">
        <v>100</v>
      </c>
      <c r="BA11" s="11">
        <f t="shared" si="24"/>
        <v>3400</v>
      </c>
    </row>
    <row r="12" spans="7:64" ht="14.4" thickBot="1" x14ac:dyDescent="0.3">
      <c r="I12" s="24">
        <v>6</v>
      </c>
      <c r="J12" s="25">
        <f t="shared" si="19"/>
        <v>22813.63</v>
      </c>
      <c r="K12" s="25">
        <v>0</v>
      </c>
      <c r="L12" s="26">
        <f t="shared" si="0"/>
        <v>22813.63</v>
      </c>
      <c r="M12" s="25">
        <f t="shared" si="20"/>
        <v>20532.267000000003</v>
      </c>
      <c r="N12" s="25">
        <f t="shared" si="21"/>
        <v>21183</v>
      </c>
      <c r="O12" s="26">
        <f t="shared" si="1"/>
        <v>41715.267000000007</v>
      </c>
      <c r="P12" s="25">
        <v>17110.240000000002</v>
      </c>
      <c r="Q12" s="25">
        <f t="shared" si="2"/>
        <v>21183</v>
      </c>
      <c r="R12" s="26">
        <f t="shared" si="3"/>
        <v>38293.240000000005</v>
      </c>
      <c r="S12" s="25">
        <v>11406.85</v>
      </c>
      <c r="T12" s="25">
        <f t="shared" si="4"/>
        <v>21183</v>
      </c>
      <c r="U12" s="26">
        <f t="shared" si="5"/>
        <v>32589.85</v>
      </c>
      <c r="V12" s="25">
        <v>0</v>
      </c>
      <c r="W12" s="25">
        <f t="shared" si="6"/>
        <v>21183</v>
      </c>
      <c r="X12" s="26">
        <f t="shared" si="7"/>
        <v>21183</v>
      </c>
      <c r="Y12" s="24">
        <v>6</v>
      </c>
      <c r="Z12" s="25">
        <v>22813.63</v>
      </c>
      <c r="AA12" s="25">
        <v>0</v>
      </c>
      <c r="AB12" s="26">
        <v>22813.63</v>
      </c>
      <c r="AC12" s="25">
        <v>20532.259999999998</v>
      </c>
      <c r="AD12" s="25">
        <f t="shared" si="22"/>
        <v>6624</v>
      </c>
      <c r="AE12" s="26">
        <f t="shared" si="8"/>
        <v>27156.26</v>
      </c>
      <c r="AF12" s="25">
        <v>17110.240000000002</v>
      </c>
      <c r="AG12" s="25">
        <f t="shared" si="9"/>
        <v>6624</v>
      </c>
      <c r="AH12" s="26">
        <f t="shared" si="10"/>
        <v>23734.240000000002</v>
      </c>
      <c r="AI12" s="25">
        <v>11406.85</v>
      </c>
      <c r="AJ12" s="25">
        <f t="shared" si="11"/>
        <v>6624</v>
      </c>
      <c r="AK12" s="26">
        <f t="shared" si="12"/>
        <v>18030.849999999999</v>
      </c>
      <c r="AL12" s="25">
        <v>0</v>
      </c>
      <c r="AM12" s="25">
        <f t="shared" si="13"/>
        <v>6624</v>
      </c>
      <c r="AN12" s="26">
        <f t="shared" si="14"/>
        <v>6624</v>
      </c>
      <c r="AO12" s="24">
        <v>6</v>
      </c>
      <c r="AR12" s="8" t="s">
        <v>101</v>
      </c>
      <c r="AS12" s="8">
        <v>230</v>
      </c>
      <c r="BE12" s="8" t="s">
        <v>21</v>
      </c>
    </row>
    <row r="13" spans="7:64" ht="14.4" thickBot="1" x14ac:dyDescent="0.3">
      <c r="I13" s="24">
        <v>7</v>
      </c>
      <c r="J13" s="25">
        <f t="shared" si="19"/>
        <v>26072.720000000001</v>
      </c>
      <c r="K13" s="25">
        <v>0</v>
      </c>
      <c r="L13" s="26">
        <f t="shared" si="0"/>
        <v>26072.720000000001</v>
      </c>
      <c r="M13" s="25">
        <f t="shared" si="20"/>
        <v>23465.448000000004</v>
      </c>
      <c r="N13" s="25">
        <f t="shared" si="21"/>
        <v>21292</v>
      </c>
      <c r="O13" s="26">
        <f t="shared" si="1"/>
        <v>44757.448000000004</v>
      </c>
      <c r="P13" s="25">
        <v>19554.560000000001</v>
      </c>
      <c r="Q13" s="25">
        <f t="shared" si="2"/>
        <v>21292</v>
      </c>
      <c r="R13" s="26">
        <f t="shared" si="3"/>
        <v>40846.559999999998</v>
      </c>
      <c r="S13" s="25">
        <v>13036.4</v>
      </c>
      <c r="T13" s="25">
        <f t="shared" si="4"/>
        <v>21292</v>
      </c>
      <c r="U13" s="26">
        <f t="shared" si="5"/>
        <v>34328.400000000001</v>
      </c>
      <c r="V13" s="25">
        <v>0</v>
      </c>
      <c r="W13" s="25">
        <f t="shared" si="6"/>
        <v>21292</v>
      </c>
      <c r="X13" s="26">
        <f t="shared" si="7"/>
        <v>21292</v>
      </c>
      <c r="Y13" s="24">
        <v>7</v>
      </c>
      <c r="Z13" s="25">
        <v>26072.720000000001</v>
      </c>
      <c r="AA13" s="25">
        <v>0</v>
      </c>
      <c r="AB13" s="26">
        <v>26072.720000000001</v>
      </c>
      <c r="AC13" s="25">
        <v>23465.439999999999</v>
      </c>
      <c r="AD13" s="25">
        <f t="shared" si="22"/>
        <v>7123</v>
      </c>
      <c r="AE13" s="26">
        <f t="shared" si="8"/>
        <v>30588.44</v>
      </c>
      <c r="AF13" s="25">
        <v>19554.560000000001</v>
      </c>
      <c r="AG13" s="25">
        <f t="shared" si="9"/>
        <v>7123</v>
      </c>
      <c r="AH13" s="26">
        <f t="shared" si="10"/>
        <v>26677.56</v>
      </c>
      <c r="AI13" s="25">
        <v>13036.4</v>
      </c>
      <c r="AJ13" s="25">
        <f t="shared" si="11"/>
        <v>7123</v>
      </c>
      <c r="AK13" s="26">
        <f t="shared" si="12"/>
        <v>20159.400000000001</v>
      </c>
      <c r="AL13" s="25">
        <v>0</v>
      </c>
      <c r="AM13" s="25">
        <f t="shared" si="13"/>
        <v>7123</v>
      </c>
      <c r="AN13" s="26">
        <f t="shared" si="14"/>
        <v>7123</v>
      </c>
      <c r="AO13" s="24">
        <v>7</v>
      </c>
      <c r="BE13" s="8" t="s">
        <v>56</v>
      </c>
      <c r="BF13" s="8">
        <v>163.1</v>
      </c>
    </row>
    <row r="14" spans="7:64" ht="14.4" thickBot="1" x14ac:dyDescent="0.3">
      <c r="I14" s="24">
        <v>8</v>
      </c>
      <c r="J14" s="25">
        <f t="shared" si="19"/>
        <v>29331.81</v>
      </c>
      <c r="K14" s="25">
        <v>0</v>
      </c>
      <c r="L14" s="26">
        <f t="shared" si="0"/>
        <v>29331.81</v>
      </c>
      <c r="M14" s="25">
        <f t="shared" si="20"/>
        <v>26398.629000000004</v>
      </c>
      <c r="N14" s="25">
        <f t="shared" si="21"/>
        <v>21401</v>
      </c>
      <c r="O14" s="26">
        <f t="shared" si="1"/>
        <v>47799.629000000001</v>
      </c>
      <c r="P14" s="25">
        <v>21998.880000000001</v>
      </c>
      <c r="Q14" s="25">
        <f t="shared" si="2"/>
        <v>21401</v>
      </c>
      <c r="R14" s="26">
        <f t="shared" si="3"/>
        <v>43399.880000000005</v>
      </c>
      <c r="S14" s="25">
        <v>14665.95</v>
      </c>
      <c r="T14" s="25">
        <f t="shared" si="4"/>
        <v>21401</v>
      </c>
      <c r="U14" s="26">
        <f t="shared" si="5"/>
        <v>36066.949999999997</v>
      </c>
      <c r="V14" s="25">
        <v>0</v>
      </c>
      <c r="W14" s="25">
        <f t="shared" si="6"/>
        <v>21401</v>
      </c>
      <c r="X14" s="26">
        <f t="shared" si="7"/>
        <v>21401</v>
      </c>
      <c r="Y14" s="24">
        <v>8</v>
      </c>
      <c r="Z14" s="25">
        <v>29331.81</v>
      </c>
      <c r="AA14" s="25">
        <v>0</v>
      </c>
      <c r="AB14" s="26">
        <v>29331.81</v>
      </c>
      <c r="AC14" s="25">
        <v>26398.62</v>
      </c>
      <c r="AD14" s="25">
        <f t="shared" si="22"/>
        <v>7622</v>
      </c>
      <c r="AE14" s="26">
        <f t="shared" si="8"/>
        <v>34020.619999999995</v>
      </c>
      <c r="AF14" s="25">
        <v>21998.880000000001</v>
      </c>
      <c r="AG14" s="25">
        <f t="shared" si="9"/>
        <v>7622</v>
      </c>
      <c r="AH14" s="26">
        <f t="shared" si="10"/>
        <v>29620.880000000001</v>
      </c>
      <c r="AI14" s="25">
        <v>14665.95</v>
      </c>
      <c r="AJ14" s="25">
        <f t="shared" si="11"/>
        <v>7622</v>
      </c>
      <c r="AK14" s="26">
        <f t="shared" si="12"/>
        <v>22287.95</v>
      </c>
      <c r="AL14" s="25">
        <v>0</v>
      </c>
      <c r="AM14" s="25">
        <f t="shared" si="13"/>
        <v>7622</v>
      </c>
      <c r="AN14" s="26">
        <f t="shared" si="14"/>
        <v>7622</v>
      </c>
      <c r="AO14" s="24">
        <v>8</v>
      </c>
      <c r="BE14" s="8" t="s">
        <v>20</v>
      </c>
      <c r="BF14" s="8">
        <v>887</v>
      </c>
    </row>
    <row r="15" spans="7:64" ht="14.4" thickBot="1" x14ac:dyDescent="0.3">
      <c r="I15" s="24">
        <v>9</v>
      </c>
      <c r="J15" s="25">
        <f t="shared" si="19"/>
        <v>32590.9</v>
      </c>
      <c r="K15" s="25">
        <v>0</v>
      </c>
      <c r="L15" s="26">
        <f t="shared" si="0"/>
        <v>32590.9</v>
      </c>
      <c r="M15" s="25">
        <f t="shared" si="20"/>
        <v>29331.810000000005</v>
      </c>
      <c r="N15" s="25">
        <f t="shared" si="21"/>
        <v>21510</v>
      </c>
      <c r="O15" s="26">
        <f t="shared" si="1"/>
        <v>50841.810000000005</v>
      </c>
      <c r="P15" s="25">
        <v>24443.200000000001</v>
      </c>
      <c r="Q15" s="25">
        <f t="shared" si="2"/>
        <v>21510</v>
      </c>
      <c r="R15" s="26">
        <f t="shared" si="3"/>
        <v>45953.2</v>
      </c>
      <c r="S15" s="25">
        <v>16295.5</v>
      </c>
      <c r="T15" s="25">
        <f t="shared" si="4"/>
        <v>21510</v>
      </c>
      <c r="U15" s="26">
        <f t="shared" si="5"/>
        <v>37805.5</v>
      </c>
      <c r="V15" s="25">
        <v>0</v>
      </c>
      <c r="W15" s="25">
        <f t="shared" si="6"/>
        <v>21510</v>
      </c>
      <c r="X15" s="26">
        <f t="shared" si="7"/>
        <v>21510</v>
      </c>
      <c r="Y15" s="24">
        <v>9</v>
      </c>
      <c r="Z15" s="25">
        <v>32590.9</v>
      </c>
      <c r="AA15" s="25">
        <v>0</v>
      </c>
      <c r="AB15" s="26">
        <v>32590.9</v>
      </c>
      <c r="AC15" s="25">
        <v>29331.8</v>
      </c>
      <c r="AD15" s="25">
        <f t="shared" si="22"/>
        <v>8121</v>
      </c>
      <c r="AE15" s="26">
        <f t="shared" si="8"/>
        <v>37452.800000000003</v>
      </c>
      <c r="AF15" s="25">
        <v>24443.200000000001</v>
      </c>
      <c r="AG15" s="25">
        <f t="shared" si="9"/>
        <v>8121</v>
      </c>
      <c r="AH15" s="26">
        <f t="shared" si="10"/>
        <v>32564.2</v>
      </c>
      <c r="AI15" s="25">
        <v>16295.5</v>
      </c>
      <c r="AJ15" s="25">
        <f t="shared" si="11"/>
        <v>8121</v>
      </c>
      <c r="AK15" s="26">
        <f t="shared" si="12"/>
        <v>24416.5</v>
      </c>
      <c r="AL15" s="25">
        <v>0</v>
      </c>
      <c r="AM15" s="25">
        <f t="shared" si="13"/>
        <v>8121</v>
      </c>
      <c r="AN15" s="26">
        <f t="shared" si="14"/>
        <v>8121</v>
      </c>
      <c r="AO15" s="24">
        <v>9</v>
      </c>
      <c r="BE15" s="8" t="s">
        <v>22</v>
      </c>
      <c r="BF15" s="8">
        <v>240</v>
      </c>
    </row>
    <row r="16" spans="7:64" ht="14.4" thickBot="1" x14ac:dyDescent="0.3">
      <c r="I16" s="24">
        <v>10</v>
      </c>
      <c r="J16" s="25">
        <f t="shared" si="19"/>
        <v>35849.990000000005</v>
      </c>
      <c r="K16" s="25">
        <v>0</v>
      </c>
      <c r="L16" s="26">
        <f t="shared" si="0"/>
        <v>35849.990000000005</v>
      </c>
      <c r="M16" s="25">
        <f t="shared" si="20"/>
        <v>32264.991000000005</v>
      </c>
      <c r="N16" s="25">
        <f t="shared" si="21"/>
        <v>21619</v>
      </c>
      <c r="O16" s="26">
        <f t="shared" si="1"/>
        <v>53883.991000000009</v>
      </c>
      <c r="P16" s="25">
        <v>26887.52</v>
      </c>
      <c r="Q16" s="25">
        <f t="shared" si="2"/>
        <v>21619</v>
      </c>
      <c r="R16" s="26">
        <f t="shared" si="3"/>
        <v>48506.520000000004</v>
      </c>
      <c r="S16" s="25">
        <v>17925.05</v>
      </c>
      <c r="T16" s="25">
        <f t="shared" si="4"/>
        <v>21619</v>
      </c>
      <c r="U16" s="26">
        <f t="shared" si="5"/>
        <v>39544.050000000003</v>
      </c>
      <c r="V16" s="25">
        <v>0</v>
      </c>
      <c r="W16" s="25">
        <f t="shared" si="6"/>
        <v>21619</v>
      </c>
      <c r="X16" s="26">
        <f t="shared" si="7"/>
        <v>21619</v>
      </c>
      <c r="Y16" s="24">
        <v>10</v>
      </c>
      <c r="Z16" s="25">
        <v>35849.99</v>
      </c>
      <c r="AA16" s="25">
        <v>0</v>
      </c>
      <c r="AB16" s="26">
        <v>35849.99</v>
      </c>
      <c r="AC16" s="25">
        <v>32264.98</v>
      </c>
      <c r="AD16" s="25">
        <f t="shared" si="22"/>
        <v>8620</v>
      </c>
      <c r="AE16" s="26">
        <f t="shared" si="8"/>
        <v>40884.979999999996</v>
      </c>
      <c r="AF16" s="25">
        <v>26887.52</v>
      </c>
      <c r="AG16" s="25">
        <f t="shared" si="9"/>
        <v>8620</v>
      </c>
      <c r="AH16" s="26">
        <f t="shared" si="10"/>
        <v>35507.520000000004</v>
      </c>
      <c r="AI16" s="25">
        <v>17925.05</v>
      </c>
      <c r="AJ16" s="25">
        <f t="shared" si="11"/>
        <v>8620</v>
      </c>
      <c r="AK16" s="26">
        <f t="shared" si="12"/>
        <v>26545.05</v>
      </c>
      <c r="AL16" s="25">
        <v>0</v>
      </c>
      <c r="AM16" s="25">
        <f t="shared" si="13"/>
        <v>8620</v>
      </c>
      <c r="AN16" s="26">
        <f t="shared" si="14"/>
        <v>8620</v>
      </c>
      <c r="AO16" s="24">
        <v>10</v>
      </c>
      <c r="BE16" s="8" t="s">
        <v>55</v>
      </c>
      <c r="BF16" s="8">
        <f>BF14+BF15</f>
        <v>1127</v>
      </c>
    </row>
    <row r="17" spans="9:58" ht="14.4" thickBot="1" x14ac:dyDescent="0.3">
      <c r="I17" s="24">
        <v>11</v>
      </c>
      <c r="J17" s="25">
        <f t="shared" si="19"/>
        <v>39109.08</v>
      </c>
      <c r="K17" s="25">
        <v>0</v>
      </c>
      <c r="L17" s="26">
        <f t="shared" si="0"/>
        <v>39109.08</v>
      </c>
      <c r="M17" s="25">
        <f t="shared" si="20"/>
        <v>35198.172000000006</v>
      </c>
      <c r="N17" s="25">
        <f t="shared" si="21"/>
        <v>21728</v>
      </c>
      <c r="O17" s="26">
        <f t="shared" si="1"/>
        <v>56926.172000000006</v>
      </c>
      <c r="P17" s="25">
        <v>29331.84</v>
      </c>
      <c r="Q17" s="25">
        <f t="shared" si="2"/>
        <v>21728</v>
      </c>
      <c r="R17" s="26">
        <f t="shared" si="3"/>
        <v>51059.839999999997</v>
      </c>
      <c r="S17" s="25">
        <v>19554.599999999999</v>
      </c>
      <c r="T17" s="25">
        <f t="shared" si="4"/>
        <v>21728</v>
      </c>
      <c r="U17" s="26">
        <f t="shared" si="5"/>
        <v>41282.6</v>
      </c>
      <c r="V17" s="25">
        <v>0</v>
      </c>
      <c r="W17" s="25">
        <f t="shared" si="6"/>
        <v>21728</v>
      </c>
      <c r="X17" s="26">
        <f t="shared" si="7"/>
        <v>21728</v>
      </c>
      <c r="Y17" s="24">
        <v>11</v>
      </c>
      <c r="Z17" s="25">
        <v>39109.08</v>
      </c>
      <c r="AA17" s="25">
        <v>0</v>
      </c>
      <c r="AB17" s="26">
        <v>39109.08</v>
      </c>
      <c r="AC17" s="25">
        <v>35198.160000000003</v>
      </c>
      <c r="AD17" s="25">
        <f t="shared" si="22"/>
        <v>9119</v>
      </c>
      <c r="AE17" s="26">
        <f t="shared" si="8"/>
        <v>44317.16</v>
      </c>
      <c r="AF17" s="25">
        <v>29331.84</v>
      </c>
      <c r="AG17" s="25">
        <f t="shared" si="9"/>
        <v>9119</v>
      </c>
      <c r="AH17" s="26">
        <f t="shared" si="10"/>
        <v>38450.839999999997</v>
      </c>
      <c r="AI17" s="25">
        <v>19554.599999999999</v>
      </c>
      <c r="AJ17" s="25">
        <f t="shared" si="11"/>
        <v>9119</v>
      </c>
      <c r="AK17" s="26">
        <f t="shared" si="12"/>
        <v>28673.599999999999</v>
      </c>
      <c r="AL17" s="25">
        <v>0</v>
      </c>
      <c r="AM17" s="25">
        <f t="shared" si="13"/>
        <v>9119</v>
      </c>
      <c r="AN17" s="26">
        <f t="shared" si="14"/>
        <v>9119</v>
      </c>
      <c r="AO17" s="24">
        <v>11</v>
      </c>
      <c r="BE17" s="8" t="s">
        <v>57</v>
      </c>
      <c r="BF17" s="8">
        <f>SUM(BF13:BF15)</f>
        <v>1290.0999999999999</v>
      </c>
    </row>
    <row r="18" spans="9:58" ht="14.4" thickBot="1" x14ac:dyDescent="0.3">
      <c r="I18" s="24">
        <v>12</v>
      </c>
      <c r="J18" s="25">
        <f t="shared" si="19"/>
        <v>42368.17</v>
      </c>
      <c r="K18" s="25">
        <v>0</v>
      </c>
      <c r="L18" s="26">
        <f t="shared" si="0"/>
        <v>42368.17</v>
      </c>
      <c r="M18" s="25">
        <f t="shared" si="20"/>
        <v>38131.353000000003</v>
      </c>
      <c r="N18" s="25">
        <f t="shared" si="21"/>
        <v>21837</v>
      </c>
      <c r="O18" s="26">
        <f t="shared" si="1"/>
        <v>59968.353000000003</v>
      </c>
      <c r="P18" s="25">
        <v>31776.16</v>
      </c>
      <c r="Q18" s="25">
        <f t="shared" si="2"/>
        <v>21837</v>
      </c>
      <c r="R18" s="26">
        <f t="shared" si="3"/>
        <v>53613.16</v>
      </c>
      <c r="S18" s="25">
        <v>21184.15</v>
      </c>
      <c r="T18" s="25">
        <f t="shared" si="4"/>
        <v>21837</v>
      </c>
      <c r="U18" s="26">
        <f t="shared" si="5"/>
        <v>43021.15</v>
      </c>
      <c r="V18" s="25">
        <v>0</v>
      </c>
      <c r="W18" s="25">
        <f t="shared" si="6"/>
        <v>21837</v>
      </c>
      <c r="X18" s="26">
        <f t="shared" si="7"/>
        <v>21837</v>
      </c>
      <c r="Y18" s="24">
        <v>12</v>
      </c>
      <c r="Z18" s="25">
        <v>42368.17</v>
      </c>
      <c r="AA18" s="25">
        <v>0</v>
      </c>
      <c r="AB18" s="26">
        <v>42368.17</v>
      </c>
      <c r="AC18" s="25">
        <v>38131.339999999997</v>
      </c>
      <c r="AD18" s="25">
        <f t="shared" si="22"/>
        <v>9618</v>
      </c>
      <c r="AE18" s="26">
        <f t="shared" si="8"/>
        <v>47749.34</v>
      </c>
      <c r="AF18" s="25">
        <v>31776.16</v>
      </c>
      <c r="AG18" s="25">
        <f t="shared" si="9"/>
        <v>9618</v>
      </c>
      <c r="AH18" s="26">
        <f t="shared" si="10"/>
        <v>41394.160000000003</v>
      </c>
      <c r="AI18" s="25">
        <v>21184.15</v>
      </c>
      <c r="AJ18" s="25">
        <f t="shared" si="11"/>
        <v>9618</v>
      </c>
      <c r="AK18" s="26">
        <f t="shared" si="12"/>
        <v>30802.15</v>
      </c>
      <c r="AL18" s="25">
        <v>0</v>
      </c>
      <c r="AM18" s="25">
        <f t="shared" si="13"/>
        <v>9618</v>
      </c>
      <c r="AN18" s="26">
        <f t="shared" si="14"/>
        <v>9618</v>
      </c>
      <c r="AO18" s="24">
        <v>12</v>
      </c>
    </row>
    <row r="19" spans="9:58" ht="14.4" thickBot="1" x14ac:dyDescent="0.3">
      <c r="I19" s="24">
        <v>13</v>
      </c>
      <c r="J19" s="25">
        <f t="shared" si="19"/>
        <v>45627.259999999995</v>
      </c>
      <c r="K19" s="25">
        <v>0</v>
      </c>
      <c r="L19" s="26">
        <f t="shared" si="0"/>
        <v>45627.259999999995</v>
      </c>
      <c r="M19" s="25">
        <f t="shared" si="20"/>
        <v>41064.534</v>
      </c>
      <c r="N19" s="25">
        <f t="shared" si="21"/>
        <v>21946</v>
      </c>
      <c r="O19" s="26">
        <f t="shared" si="1"/>
        <v>63010.534</v>
      </c>
      <c r="P19" s="25">
        <v>34220.480000000003</v>
      </c>
      <c r="Q19" s="25">
        <f t="shared" si="2"/>
        <v>21946</v>
      </c>
      <c r="R19" s="26">
        <f t="shared" si="3"/>
        <v>56166.48</v>
      </c>
      <c r="S19" s="25">
        <v>22813.7</v>
      </c>
      <c r="T19" s="25">
        <f t="shared" si="4"/>
        <v>21946</v>
      </c>
      <c r="U19" s="26">
        <f t="shared" si="5"/>
        <v>44759.7</v>
      </c>
      <c r="V19" s="25">
        <v>0</v>
      </c>
      <c r="W19" s="25">
        <f t="shared" si="6"/>
        <v>21946</v>
      </c>
      <c r="X19" s="26">
        <f t="shared" si="7"/>
        <v>21946</v>
      </c>
      <c r="Y19" s="24">
        <v>13</v>
      </c>
      <c r="Z19" s="25">
        <v>45627.26</v>
      </c>
      <c r="AA19" s="25">
        <v>0</v>
      </c>
      <c r="AB19" s="26">
        <v>45627.26</v>
      </c>
      <c r="AC19" s="25">
        <v>41064.519999999997</v>
      </c>
      <c r="AD19" s="25">
        <f t="shared" si="22"/>
        <v>10117</v>
      </c>
      <c r="AE19" s="26">
        <f t="shared" si="8"/>
        <v>51181.52</v>
      </c>
      <c r="AF19" s="25">
        <v>34220.480000000003</v>
      </c>
      <c r="AG19" s="25">
        <f t="shared" si="9"/>
        <v>10117</v>
      </c>
      <c r="AH19" s="26">
        <f t="shared" si="10"/>
        <v>44337.48</v>
      </c>
      <c r="AI19" s="25">
        <v>22813.7</v>
      </c>
      <c r="AJ19" s="25">
        <f t="shared" si="11"/>
        <v>10117</v>
      </c>
      <c r="AK19" s="26">
        <f t="shared" si="12"/>
        <v>32930.699999999997</v>
      </c>
      <c r="AL19" s="25">
        <v>0</v>
      </c>
      <c r="AM19" s="25">
        <f t="shared" si="13"/>
        <v>10117</v>
      </c>
      <c r="AN19" s="26">
        <f t="shared" si="14"/>
        <v>10117</v>
      </c>
      <c r="AO19" s="24">
        <v>13</v>
      </c>
    </row>
    <row r="20" spans="9:58" ht="14.4" thickBot="1" x14ac:dyDescent="0.3">
      <c r="I20" s="24">
        <v>14</v>
      </c>
      <c r="J20" s="25">
        <f t="shared" si="19"/>
        <v>48886.349999999991</v>
      </c>
      <c r="K20" s="25">
        <v>0</v>
      </c>
      <c r="L20" s="26">
        <f t="shared" si="0"/>
        <v>48886.349999999991</v>
      </c>
      <c r="M20" s="25">
        <f t="shared" si="20"/>
        <v>43997.714999999997</v>
      </c>
      <c r="N20" s="25">
        <f t="shared" si="21"/>
        <v>22055</v>
      </c>
      <c r="O20" s="26">
        <f t="shared" si="1"/>
        <v>66052.714999999997</v>
      </c>
      <c r="P20" s="25">
        <v>36664.800000000003</v>
      </c>
      <c r="Q20" s="25">
        <f t="shared" si="2"/>
        <v>22055</v>
      </c>
      <c r="R20" s="26">
        <f t="shared" si="3"/>
        <v>58719.8</v>
      </c>
      <c r="S20" s="25">
        <v>24443.25</v>
      </c>
      <c r="T20" s="25">
        <f t="shared" si="4"/>
        <v>22055</v>
      </c>
      <c r="U20" s="26">
        <f t="shared" si="5"/>
        <v>46498.25</v>
      </c>
      <c r="V20" s="25">
        <v>0</v>
      </c>
      <c r="W20" s="25">
        <f t="shared" si="6"/>
        <v>22055</v>
      </c>
      <c r="X20" s="26">
        <f t="shared" si="7"/>
        <v>22055</v>
      </c>
      <c r="Y20" s="24">
        <v>14</v>
      </c>
      <c r="Z20" s="25">
        <v>48886.35</v>
      </c>
      <c r="AA20" s="25">
        <v>0</v>
      </c>
      <c r="AB20" s="26">
        <v>48886.35</v>
      </c>
      <c r="AC20" s="25">
        <v>43997.7</v>
      </c>
      <c r="AD20" s="25">
        <f t="shared" si="22"/>
        <v>10616</v>
      </c>
      <c r="AE20" s="26">
        <f t="shared" si="8"/>
        <v>54613.7</v>
      </c>
      <c r="AF20" s="25">
        <v>36664.800000000003</v>
      </c>
      <c r="AG20" s="25">
        <f t="shared" si="9"/>
        <v>10616</v>
      </c>
      <c r="AH20" s="26">
        <f t="shared" si="10"/>
        <v>47280.800000000003</v>
      </c>
      <c r="AI20" s="25">
        <v>24443.25</v>
      </c>
      <c r="AJ20" s="25">
        <f t="shared" si="11"/>
        <v>10616</v>
      </c>
      <c r="AK20" s="26">
        <f t="shared" si="12"/>
        <v>35059.25</v>
      </c>
      <c r="AL20" s="25">
        <v>0</v>
      </c>
      <c r="AM20" s="25">
        <f t="shared" si="13"/>
        <v>10616</v>
      </c>
      <c r="AN20" s="26">
        <f t="shared" si="14"/>
        <v>10616</v>
      </c>
      <c r="AO20" s="24">
        <v>14</v>
      </c>
    </row>
    <row r="21" spans="9:58" ht="14.4" thickBot="1" x14ac:dyDescent="0.3">
      <c r="I21" s="24">
        <v>15</v>
      </c>
      <c r="J21" s="25">
        <f t="shared" si="19"/>
        <v>52145.439999999988</v>
      </c>
      <c r="K21" s="25">
        <v>0</v>
      </c>
      <c r="L21" s="26">
        <f t="shared" si="0"/>
        <v>52145.439999999988</v>
      </c>
      <c r="M21" s="25">
        <f t="shared" si="20"/>
        <v>46930.895999999993</v>
      </c>
      <c r="N21" s="25">
        <f t="shared" si="21"/>
        <v>22164</v>
      </c>
      <c r="O21" s="26">
        <f t="shared" si="1"/>
        <v>69094.895999999993</v>
      </c>
      <c r="P21" s="25">
        <v>39109.120000000003</v>
      </c>
      <c r="Q21" s="25">
        <f t="shared" si="2"/>
        <v>22164</v>
      </c>
      <c r="R21" s="26">
        <f t="shared" si="3"/>
        <v>61273.120000000003</v>
      </c>
      <c r="S21" s="25">
        <v>26072.799999999999</v>
      </c>
      <c r="T21" s="25">
        <f t="shared" si="4"/>
        <v>22164</v>
      </c>
      <c r="U21" s="26">
        <f t="shared" si="5"/>
        <v>48236.800000000003</v>
      </c>
      <c r="V21" s="25">
        <v>0</v>
      </c>
      <c r="W21" s="25">
        <f t="shared" si="6"/>
        <v>22164</v>
      </c>
      <c r="X21" s="26">
        <f t="shared" si="7"/>
        <v>22164</v>
      </c>
      <c r="Y21" s="24">
        <v>15</v>
      </c>
      <c r="Z21" s="25">
        <v>52145.440000000002</v>
      </c>
      <c r="AA21" s="25">
        <v>0</v>
      </c>
      <c r="AB21" s="26">
        <v>52145.440000000002</v>
      </c>
      <c r="AC21" s="25">
        <v>46930.879999999997</v>
      </c>
      <c r="AD21" s="25">
        <f t="shared" si="22"/>
        <v>11115</v>
      </c>
      <c r="AE21" s="26">
        <f t="shared" si="8"/>
        <v>58045.88</v>
      </c>
      <c r="AF21" s="25">
        <v>39109.120000000003</v>
      </c>
      <c r="AG21" s="25">
        <f t="shared" si="9"/>
        <v>11115</v>
      </c>
      <c r="AH21" s="26">
        <f t="shared" si="10"/>
        <v>50224.12</v>
      </c>
      <c r="AI21" s="25">
        <v>26072.799999999999</v>
      </c>
      <c r="AJ21" s="25">
        <f t="shared" si="11"/>
        <v>11115</v>
      </c>
      <c r="AK21" s="26">
        <f t="shared" si="12"/>
        <v>37187.800000000003</v>
      </c>
      <c r="AL21" s="25">
        <v>0</v>
      </c>
      <c r="AM21" s="25">
        <f t="shared" si="13"/>
        <v>11115</v>
      </c>
      <c r="AN21" s="26">
        <f t="shared" si="14"/>
        <v>11115</v>
      </c>
      <c r="AO21" s="24">
        <v>15</v>
      </c>
    </row>
    <row r="22" spans="9:58" ht="14.4" thickBot="1" x14ac:dyDescent="0.3">
      <c r="I22" s="24">
        <v>16</v>
      </c>
      <c r="J22" s="25">
        <f t="shared" si="19"/>
        <v>55404.529999999984</v>
      </c>
      <c r="K22" s="25">
        <v>0</v>
      </c>
      <c r="L22" s="26">
        <f t="shared" si="0"/>
        <v>55404.529999999984</v>
      </c>
      <c r="M22" s="25">
        <f t="shared" si="20"/>
        <v>49864.07699999999</v>
      </c>
      <c r="N22" s="25">
        <f t="shared" si="21"/>
        <v>22273</v>
      </c>
      <c r="O22" s="26">
        <f t="shared" si="1"/>
        <v>72137.07699999999</v>
      </c>
      <c r="P22" s="25">
        <v>41553.440000000002</v>
      </c>
      <c r="Q22" s="25">
        <f t="shared" si="2"/>
        <v>22273</v>
      </c>
      <c r="R22" s="26">
        <f t="shared" si="3"/>
        <v>63826.44</v>
      </c>
      <c r="S22" s="25">
        <v>27702.35</v>
      </c>
      <c r="T22" s="25">
        <f t="shared" si="4"/>
        <v>22273</v>
      </c>
      <c r="U22" s="26">
        <f t="shared" si="5"/>
        <v>49975.35</v>
      </c>
      <c r="V22" s="25">
        <v>0</v>
      </c>
      <c r="W22" s="25">
        <f t="shared" si="6"/>
        <v>22273</v>
      </c>
      <c r="X22" s="26">
        <f t="shared" si="7"/>
        <v>22273</v>
      </c>
      <c r="Y22" s="24">
        <v>16</v>
      </c>
      <c r="Z22" s="25">
        <v>55404.53</v>
      </c>
      <c r="AA22" s="25">
        <v>0</v>
      </c>
      <c r="AB22" s="26">
        <v>55404.53</v>
      </c>
      <c r="AC22" s="25">
        <v>49864.06</v>
      </c>
      <c r="AD22" s="25">
        <f t="shared" si="22"/>
        <v>11614</v>
      </c>
      <c r="AE22" s="26">
        <f t="shared" si="8"/>
        <v>61478.06</v>
      </c>
      <c r="AF22" s="25">
        <v>41553.440000000002</v>
      </c>
      <c r="AG22" s="25">
        <f t="shared" si="9"/>
        <v>11614</v>
      </c>
      <c r="AH22" s="26">
        <f t="shared" si="10"/>
        <v>53167.44</v>
      </c>
      <c r="AI22" s="25">
        <v>27702.35</v>
      </c>
      <c r="AJ22" s="25">
        <f t="shared" si="11"/>
        <v>11614</v>
      </c>
      <c r="AK22" s="26">
        <f t="shared" si="12"/>
        <v>39316.35</v>
      </c>
      <c r="AL22" s="25">
        <v>0</v>
      </c>
      <c r="AM22" s="25">
        <f t="shared" si="13"/>
        <v>11614</v>
      </c>
      <c r="AN22" s="26">
        <f t="shared" si="14"/>
        <v>11614</v>
      </c>
      <c r="AO22" s="24">
        <v>16</v>
      </c>
    </row>
    <row r="23" spans="9:58" ht="14.4" thickBot="1" x14ac:dyDescent="0.3">
      <c r="I23" s="24">
        <v>17</v>
      </c>
      <c r="J23" s="25">
        <f t="shared" si="19"/>
        <v>58663.619999999981</v>
      </c>
      <c r="K23" s="25">
        <v>0</v>
      </c>
      <c r="L23" s="26">
        <f t="shared" si="0"/>
        <v>58663.619999999981</v>
      </c>
      <c r="M23" s="25">
        <f t="shared" si="20"/>
        <v>52797.257999999987</v>
      </c>
      <c r="N23" s="25">
        <f t="shared" si="21"/>
        <v>22382</v>
      </c>
      <c r="O23" s="26">
        <f t="shared" si="1"/>
        <v>75179.257999999987</v>
      </c>
      <c r="P23" s="25">
        <v>43997.760000000002</v>
      </c>
      <c r="Q23" s="25">
        <f t="shared" si="2"/>
        <v>22382</v>
      </c>
      <c r="R23" s="26">
        <f t="shared" si="3"/>
        <v>66379.760000000009</v>
      </c>
      <c r="S23" s="25">
        <v>29331.9</v>
      </c>
      <c r="T23" s="25">
        <f t="shared" si="4"/>
        <v>22382</v>
      </c>
      <c r="U23" s="26">
        <f t="shared" si="5"/>
        <v>51713.9</v>
      </c>
      <c r="V23" s="25">
        <v>0</v>
      </c>
      <c r="W23" s="25">
        <f t="shared" si="6"/>
        <v>22382</v>
      </c>
      <c r="X23" s="26">
        <f t="shared" si="7"/>
        <v>22382</v>
      </c>
      <c r="Y23" s="24">
        <v>17</v>
      </c>
      <c r="Z23" s="25">
        <v>58663.62</v>
      </c>
      <c r="AA23" s="25">
        <v>0</v>
      </c>
      <c r="AB23" s="26">
        <v>58663.62</v>
      </c>
      <c r="AC23" s="25">
        <v>52797.24</v>
      </c>
      <c r="AD23" s="25">
        <f t="shared" si="22"/>
        <v>12113</v>
      </c>
      <c r="AE23" s="26">
        <f t="shared" si="8"/>
        <v>64910.239999999998</v>
      </c>
      <c r="AF23" s="25">
        <v>43997.760000000002</v>
      </c>
      <c r="AG23" s="25">
        <f t="shared" si="9"/>
        <v>12113</v>
      </c>
      <c r="AH23" s="26">
        <f t="shared" si="10"/>
        <v>56110.76</v>
      </c>
      <c r="AI23" s="25">
        <v>29331.9</v>
      </c>
      <c r="AJ23" s="25">
        <f t="shared" si="11"/>
        <v>12113</v>
      </c>
      <c r="AK23" s="26">
        <f t="shared" si="12"/>
        <v>41444.9</v>
      </c>
      <c r="AL23" s="25">
        <v>0</v>
      </c>
      <c r="AM23" s="25">
        <f t="shared" si="13"/>
        <v>12113</v>
      </c>
      <c r="AN23" s="26">
        <f t="shared" si="14"/>
        <v>12113</v>
      </c>
      <c r="AO23" s="24">
        <v>17</v>
      </c>
    </row>
    <row r="24" spans="9:58" ht="14.4" thickBot="1" x14ac:dyDescent="0.3">
      <c r="I24" s="37">
        <v>18</v>
      </c>
      <c r="J24" s="25">
        <f t="shared" si="19"/>
        <v>61922.709999999977</v>
      </c>
      <c r="K24" s="38">
        <v>0</v>
      </c>
      <c r="L24" s="26">
        <f t="shared" si="0"/>
        <v>61922.709999999977</v>
      </c>
      <c r="M24" s="25">
        <f t="shared" si="20"/>
        <v>55730.438999999984</v>
      </c>
      <c r="N24" s="25">
        <f t="shared" si="21"/>
        <v>22491</v>
      </c>
      <c r="O24" s="26">
        <f t="shared" si="1"/>
        <v>78221.438999999984</v>
      </c>
      <c r="P24" s="38">
        <v>46442.080000000002</v>
      </c>
      <c r="Q24" s="25">
        <f t="shared" si="2"/>
        <v>22491</v>
      </c>
      <c r="R24" s="26">
        <f t="shared" si="3"/>
        <v>68933.08</v>
      </c>
      <c r="S24" s="38">
        <v>30961.45</v>
      </c>
      <c r="T24" s="25">
        <f t="shared" si="4"/>
        <v>22491</v>
      </c>
      <c r="U24" s="26">
        <f t="shared" si="5"/>
        <v>53452.45</v>
      </c>
      <c r="V24" s="25">
        <v>0</v>
      </c>
      <c r="W24" s="25">
        <f t="shared" si="6"/>
        <v>22491</v>
      </c>
      <c r="X24" s="26">
        <f t="shared" si="7"/>
        <v>22491</v>
      </c>
      <c r="Y24" s="37">
        <v>18</v>
      </c>
      <c r="Z24" s="38">
        <v>61922.71</v>
      </c>
      <c r="AA24" s="38">
        <v>0</v>
      </c>
      <c r="AB24" s="40">
        <v>61922.71</v>
      </c>
      <c r="AC24" s="38">
        <v>55730.42</v>
      </c>
      <c r="AD24" s="25">
        <f t="shared" si="22"/>
        <v>12612</v>
      </c>
      <c r="AE24" s="26">
        <f t="shared" si="8"/>
        <v>68342.42</v>
      </c>
      <c r="AF24" s="38">
        <v>46442.080000000002</v>
      </c>
      <c r="AG24" s="25">
        <f t="shared" si="9"/>
        <v>12612</v>
      </c>
      <c r="AH24" s="26">
        <f t="shared" si="10"/>
        <v>59054.080000000002</v>
      </c>
      <c r="AI24" s="38">
        <v>30961.45</v>
      </c>
      <c r="AJ24" s="25">
        <f t="shared" si="11"/>
        <v>12612</v>
      </c>
      <c r="AK24" s="26">
        <f t="shared" si="12"/>
        <v>43573.45</v>
      </c>
      <c r="AL24" s="25">
        <v>0</v>
      </c>
      <c r="AM24" s="25">
        <f t="shared" si="13"/>
        <v>12612</v>
      </c>
      <c r="AN24" s="26">
        <f t="shared" si="14"/>
        <v>12612</v>
      </c>
      <c r="AO24" s="37">
        <v>18</v>
      </c>
    </row>
    <row r="25" spans="9:58" ht="14.4" thickBot="1" x14ac:dyDescent="0.3">
      <c r="I25" s="24">
        <v>19</v>
      </c>
      <c r="J25" s="25">
        <f t="shared" si="19"/>
        <v>65181.799999999974</v>
      </c>
      <c r="K25" s="25">
        <v>0</v>
      </c>
      <c r="L25" s="26">
        <f t="shared" si="0"/>
        <v>65181.799999999974</v>
      </c>
      <c r="M25" s="25">
        <f t="shared" si="20"/>
        <v>58663.619999999981</v>
      </c>
      <c r="N25" s="25">
        <f>N24+AS8+BA7</f>
        <v>22940</v>
      </c>
      <c r="O25" s="26">
        <f t="shared" si="1"/>
        <v>81603.619999999981</v>
      </c>
      <c r="P25" s="25">
        <v>48886.400000000001</v>
      </c>
      <c r="Q25" s="25">
        <f>Q24+AS8+BA8</f>
        <v>23450</v>
      </c>
      <c r="R25" s="26">
        <f t="shared" si="3"/>
        <v>72336.399999999994</v>
      </c>
      <c r="S25" s="25">
        <v>32591</v>
      </c>
      <c r="T25" s="25">
        <f>T24+AS8+BA9</f>
        <v>24300</v>
      </c>
      <c r="U25" s="26">
        <f t="shared" si="5"/>
        <v>56891</v>
      </c>
      <c r="V25" s="25">
        <v>0</v>
      </c>
      <c r="W25" s="25">
        <f>W24+AS8+BA11</f>
        <v>26000</v>
      </c>
      <c r="X25" s="26">
        <f t="shared" si="7"/>
        <v>26000</v>
      </c>
      <c r="Y25" s="24">
        <v>19</v>
      </c>
      <c r="Z25" s="25">
        <v>65181.8</v>
      </c>
      <c r="AA25" s="25">
        <v>0</v>
      </c>
      <c r="AB25" s="26">
        <v>65181.8</v>
      </c>
      <c r="AC25" s="25">
        <v>58663.6</v>
      </c>
      <c r="AD25" s="25">
        <f>AV7+AD24+BA7</f>
        <v>13451</v>
      </c>
      <c r="AE25" s="26">
        <f t="shared" si="8"/>
        <v>72114.600000000006</v>
      </c>
      <c r="AF25" s="25">
        <v>48886.400000000001</v>
      </c>
      <c r="AG25" s="25">
        <f>AG24+AV7+BA8</f>
        <v>13961</v>
      </c>
      <c r="AH25" s="26">
        <f t="shared" si="10"/>
        <v>62847.4</v>
      </c>
      <c r="AI25" s="25">
        <v>32591</v>
      </c>
      <c r="AJ25" s="25">
        <f>AJ24+AV7+BA9</f>
        <v>14811</v>
      </c>
      <c r="AK25" s="26">
        <f t="shared" si="12"/>
        <v>47402</v>
      </c>
      <c r="AL25" s="25">
        <v>0</v>
      </c>
      <c r="AM25" s="25">
        <f>AM24+AV7+BA11</f>
        <v>16511</v>
      </c>
      <c r="AN25" s="26">
        <f t="shared" si="14"/>
        <v>16511</v>
      </c>
      <c r="AO25" s="24">
        <v>19</v>
      </c>
    </row>
    <row r="26" spans="9:58" ht="14.4" thickBot="1" x14ac:dyDescent="0.3">
      <c r="I26" s="24">
        <v>20</v>
      </c>
      <c r="J26" s="25">
        <f t="shared" si="19"/>
        <v>68440.88999999997</v>
      </c>
      <c r="K26" s="25">
        <v>0</v>
      </c>
      <c r="L26" s="26">
        <f t="shared" si="0"/>
        <v>68440.88999999997</v>
      </c>
      <c r="M26" s="25">
        <f t="shared" si="20"/>
        <v>61596.800999999978</v>
      </c>
      <c r="N26" s="25">
        <f>N25+AS$8</f>
        <v>23049</v>
      </c>
      <c r="O26" s="26">
        <f t="shared" si="1"/>
        <v>84645.800999999978</v>
      </c>
      <c r="P26" s="25">
        <v>51330.720000000001</v>
      </c>
      <c r="Q26" s="25">
        <f>Q25+AS$8</f>
        <v>23559</v>
      </c>
      <c r="R26" s="26">
        <f t="shared" si="3"/>
        <v>74889.72</v>
      </c>
      <c r="S26" s="25">
        <v>34220.550000000003</v>
      </c>
      <c r="T26" s="25">
        <f>T25+AS$8</f>
        <v>24409</v>
      </c>
      <c r="U26" s="26">
        <f t="shared" si="5"/>
        <v>58629.55</v>
      </c>
      <c r="V26" s="25">
        <v>0</v>
      </c>
      <c r="W26" s="25">
        <f>W25+AS$8</f>
        <v>26109</v>
      </c>
      <c r="X26" s="26">
        <f t="shared" si="7"/>
        <v>26109</v>
      </c>
      <c r="Y26" s="24">
        <v>20</v>
      </c>
      <c r="Z26" s="25">
        <v>68440.89</v>
      </c>
      <c r="AA26" s="25">
        <v>0</v>
      </c>
      <c r="AB26" s="26">
        <v>68440.89</v>
      </c>
      <c r="AC26" s="25">
        <v>61596.78</v>
      </c>
      <c r="AD26" s="25">
        <f>AD25+AV$7</f>
        <v>13950</v>
      </c>
      <c r="AE26" s="26">
        <f t="shared" si="8"/>
        <v>75546.78</v>
      </c>
      <c r="AF26" s="25">
        <v>51330.720000000001</v>
      </c>
      <c r="AG26" s="25">
        <f>AG25+AV$7</f>
        <v>14460</v>
      </c>
      <c r="AH26" s="26">
        <f t="shared" si="10"/>
        <v>65790.720000000001</v>
      </c>
      <c r="AI26" s="25">
        <v>34220.550000000003</v>
      </c>
      <c r="AJ26" s="25">
        <f>AJ25+AV$7</f>
        <v>15310</v>
      </c>
      <c r="AK26" s="26">
        <f t="shared" si="12"/>
        <v>49530.55</v>
      </c>
      <c r="AL26" s="25">
        <v>0</v>
      </c>
      <c r="AM26" s="25">
        <f>AM25+AV$7</f>
        <v>17010</v>
      </c>
      <c r="AN26" s="26">
        <f t="shared" si="14"/>
        <v>17010</v>
      </c>
      <c r="AO26" s="24">
        <v>20</v>
      </c>
    </row>
    <row r="27" spans="9:58" ht="14.4" thickBot="1" x14ac:dyDescent="0.3">
      <c r="I27" s="24">
        <v>21</v>
      </c>
      <c r="J27" s="25">
        <f t="shared" si="19"/>
        <v>71699.979999999967</v>
      </c>
      <c r="K27" s="25">
        <v>0</v>
      </c>
      <c r="L27" s="26">
        <f t="shared" si="0"/>
        <v>71699.979999999967</v>
      </c>
      <c r="M27" s="25">
        <f t="shared" si="20"/>
        <v>64529.981999999975</v>
      </c>
      <c r="N27" s="25">
        <f t="shared" ref="N27:N42" si="25">N26+AS$8</f>
        <v>23158</v>
      </c>
      <c r="O27" s="26">
        <f t="shared" si="1"/>
        <v>87687.981999999975</v>
      </c>
      <c r="P27" s="25">
        <v>53775.040000000001</v>
      </c>
      <c r="Q27" s="25">
        <f t="shared" ref="Q27:Q42" si="26">Q26+AS$8</f>
        <v>23668</v>
      </c>
      <c r="R27" s="26">
        <f t="shared" si="3"/>
        <v>77443.040000000008</v>
      </c>
      <c r="S27" s="25">
        <v>35850.1</v>
      </c>
      <c r="T27" s="25">
        <f t="shared" ref="T27:T42" si="27">T26+AS$8</f>
        <v>24518</v>
      </c>
      <c r="U27" s="26">
        <f t="shared" si="5"/>
        <v>60368.1</v>
      </c>
      <c r="V27" s="25">
        <v>0</v>
      </c>
      <c r="W27" s="25">
        <f t="shared" ref="W27:W42" si="28">W26+AS$8</f>
        <v>26218</v>
      </c>
      <c r="X27" s="26">
        <f t="shared" si="7"/>
        <v>26218</v>
      </c>
      <c r="Y27" s="24">
        <v>21</v>
      </c>
      <c r="Z27" s="25">
        <v>71699.98</v>
      </c>
      <c r="AA27" s="25">
        <v>0</v>
      </c>
      <c r="AB27" s="26">
        <v>71699.98</v>
      </c>
      <c r="AC27" s="25">
        <v>64529.96</v>
      </c>
      <c r="AD27" s="25">
        <f t="shared" ref="AD27:AD42" si="29">AD26+AV$7</f>
        <v>14449</v>
      </c>
      <c r="AE27" s="26">
        <f t="shared" si="8"/>
        <v>78978.959999999992</v>
      </c>
      <c r="AF27" s="25">
        <v>53775.040000000001</v>
      </c>
      <c r="AG27" s="25">
        <f t="shared" ref="AG27:AG42" si="30">AG26+AV$7</f>
        <v>14959</v>
      </c>
      <c r="AH27" s="26">
        <f t="shared" si="10"/>
        <v>68734.040000000008</v>
      </c>
      <c r="AI27" s="25">
        <v>35850.1</v>
      </c>
      <c r="AJ27" s="25">
        <f t="shared" ref="AJ27:AJ42" si="31">AJ26+AV$7</f>
        <v>15809</v>
      </c>
      <c r="AK27" s="26">
        <f t="shared" si="12"/>
        <v>51659.1</v>
      </c>
      <c r="AL27" s="25">
        <v>0</v>
      </c>
      <c r="AM27" s="25">
        <f t="shared" ref="AM27:AM42" si="32">AM26+AV$7</f>
        <v>17509</v>
      </c>
      <c r="AN27" s="26">
        <f t="shared" si="14"/>
        <v>17509</v>
      </c>
      <c r="AO27" s="24">
        <v>21</v>
      </c>
    </row>
    <row r="28" spans="9:58" ht="14.4" thickBot="1" x14ac:dyDescent="0.3">
      <c r="I28" s="24">
        <v>22</v>
      </c>
      <c r="J28" s="25">
        <f t="shared" si="19"/>
        <v>74959.069999999963</v>
      </c>
      <c r="K28" s="25">
        <v>0</v>
      </c>
      <c r="L28" s="26">
        <f t="shared" si="0"/>
        <v>74959.069999999963</v>
      </c>
      <c r="M28" s="25">
        <f t="shared" si="20"/>
        <v>67463.162999999971</v>
      </c>
      <c r="N28" s="25">
        <f t="shared" si="25"/>
        <v>23267</v>
      </c>
      <c r="O28" s="26">
        <f t="shared" si="1"/>
        <v>90730.162999999971</v>
      </c>
      <c r="P28" s="25">
        <v>56219.360000000001</v>
      </c>
      <c r="Q28" s="25">
        <f t="shared" si="26"/>
        <v>23777</v>
      </c>
      <c r="R28" s="26">
        <f t="shared" si="3"/>
        <v>79996.36</v>
      </c>
      <c r="S28" s="25">
        <v>37479.65</v>
      </c>
      <c r="T28" s="25">
        <f t="shared" si="27"/>
        <v>24627</v>
      </c>
      <c r="U28" s="26">
        <f t="shared" si="5"/>
        <v>62106.65</v>
      </c>
      <c r="V28" s="25">
        <v>0</v>
      </c>
      <c r="W28" s="25">
        <f t="shared" si="28"/>
        <v>26327</v>
      </c>
      <c r="X28" s="26">
        <f t="shared" si="7"/>
        <v>26327</v>
      </c>
      <c r="Y28" s="24">
        <v>22</v>
      </c>
      <c r="Z28" s="25">
        <v>74959.070000000007</v>
      </c>
      <c r="AA28" s="25">
        <v>0</v>
      </c>
      <c r="AB28" s="26">
        <v>74959.070000000007</v>
      </c>
      <c r="AC28" s="25">
        <v>67463.14</v>
      </c>
      <c r="AD28" s="25">
        <f t="shared" si="29"/>
        <v>14948</v>
      </c>
      <c r="AE28" s="26">
        <f t="shared" si="8"/>
        <v>82411.14</v>
      </c>
      <c r="AF28" s="25">
        <v>56219.360000000001</v>
      </c>
      <c r="AG28" s="25">
        <f t="shared" si="30"/>
        <v>15458</v>
      </c>
      <c r="AH28" s="26">
        <f t="shared" si="10"/>
        <v>71677.36</v>
      </c>
      <c r="AI28" s="25">
        <v>37479.65</v>
      </c>
      <c r="AJ28" s="25">
        <f t="shared" si="31"/>
        <v>16308</v>
      </c>
      <c r="AK28" s="26">
        <f t="shared" si="12"/>
        <v>53787.65</v>
      </c>
      <c r="AL28" s="25">
        <v>0</v>
      </c>
      <c r="AM28" s="25">
        <f t="shared" si="32"/>
        <v>18008</v>
      </c>
      <c r="AN28" s="26">
        <f t="shared" si="14"/>
        <v>18008</v>
      </c>
      <c r="AO28" s="24">
        <v>22</v>
      </c>
    </row>
    <row r="29" spans="9:58" ht="14.4" thickBot="1" x14ac:dyDescent="0.3">
      <c r="I29" s="24">
        <v>23</v>
      </c>
      <c r="J29" s="25">
        <f t="shared" si="19"/>
        <v>78218.15999999996</v>
      </c>
      <c r="K29" s="25">
        <v>0</v>
      </c>
      <c r="L29" s="26">
        <f t="shared" si="0"/>
        <v>78218.15999999996</v>
      </c>
      <c r="M29" s="25">
        <f t="shared" si="20"/>
        <v>70396.343999999968</v>
      </c>
      <c r="N29" s="25">
        <f t="shared" si="25"/>
        <v>23376</v>
      </c>
      <c r="O29" s="26">
        <f t="shared" si="1"/>
        <v>93772.343999999968</v>
      </c>
      <c r="P29" s="25">
        <v>58663.68</v>
      </c>
      <c r="Q29" s="25">
        <f t="shared" si="26"/>
        <v>23886</v>
      </c>
      <c r="R29" s="26">
        <f t="shared" si="3"/>
        <v>82549.679999999993</v>
      </c>
      <c r="S29" s="25">
        <v>39109.199999999997</v>
      </c>
      <c r="T29" s="25">
        <f t="shared" si="27"/>
        <v>24736</v>
      </c>
      <c r="U29" s="26">
        <f t="shared" si="5"/>
        <v>63845.2</v>
      </c>
      <c r="V29" s="25">
        <v>0</v>
      </c>
      <c r="W29" s="25">
        <f t="shared" si="28"/>
        <v>26436</v>
      </c>
      <c r="X29" s="26">
        <f t="shared" si="7"/>
        <v>26436</v>
      </c>
      <c r="Y29" s="24">
        <v>23</v>
      </c>
      <c r="Z29" s="25">
        <v>78218.16</v>
      </c>
      <c r="AA29" s="25">
        <v>0</v>
      </c>
      <c r="AB29" s="26">
        <v>78218.16</v>
      </c>
      <c r="AC29" s="25">
        <v>70396.320000000007</v>
      </c>
      <c r="AD29" s="25">
        <f t="shared" si="29"/>
        <v>15447</v>
      </c>
      <c r="AE29" s="26">
        <f t="shared" si="8"/>
        <v>85843.32</v>
      </c>
      <c r="AF29" s="25">
        <v>58663.68</v>
      </c>
      <c r="AG29" s="25">
        <f t="shared" si="30"/>
        <v>15957</v>
      </c>
      <c r="AH29" s="26">
        <f t="shared" si="10"/>
        <v>74620.679999999993</v>
      </c>
      <c r="AI29" s="25">
        <v>39109.199999999997</v>
      </c>
      <c r="AJ29" s="25">
        <f t="shared" si="31"/>
        <v>16807</v>
      </c>
      <c r="AK29" s="26">
        <f t="shared" si="12"/>
        <v>55916.2</v>
      </c>
      <c r="AL29" s="25">
        <v>0</v>
      </c>
      <c r="AM29" s="25">
        <f t="shared" si="32"/>
        <v>18507</v>
      </c>
      <c r="AN29" s="26">
        <f t="shared" si="14"/>
        <v>18507</v>
      </c>
      <c r="AO29" s="24">
        <v>23</v>
      </c>
    </row>
    <row r="30" spans="9:58" ht="14.4" thickBot="1" x14ac:dyDescent="0.3">
      <c r="I30" s="24">
        <v>24</v>
      </c>
      <c r="J30" s="25">
        <f t="shared" si="19"/>
        <v>81477.249999999956</v>
      </c>
      <c r="K30" s="25">
        <v>0</v>
      </c>
      <c r="L30" s="26">
        <f t="shared" si="0"/>
        <v>81477.249999999956</v>
      </c>
      <c r="M30" s="25">
        <f t="shared" si="20"/>
        <v>73329.524999999965</v>
      </c>
      <c r="N30" s="25">
        <f t="shared" si="25"/>
        <v>23485</v>
      </c>
      <c r="O30" s="26">
        <f t="shared" si="1"/>
        <v>96814.524999999965</v>
      </c>
      <c r="P30" s="25">
        <v>61108</v>
      </c>
      <c r="Q30" s="25">
        <f t="shared" si="26"/>
        <v>23995</v>
      </c>
      <c r="R30" s="26">
        <f t="shared" si="3"/>
        <v>85103</v>
      </c>
      <c r="S30" s="25">
        <v>40738.75</v>
      </c>
      <c r="T30" s="25">
        <f t="shared" si="27"/>
        <v>24845</v>
      </c>
      <c r="U30" s="26">
        <f t="shared" si="5"/>
        <v>65583.75</v>
      </c>
      <c r="V30" s="25">
        <v>0</v>
      </c>
      <c r="W30" s="25">
        <f t="shared" si="28"/>
        <v>26545</v>
      </c>
      <c r="X30" s="26">
        <f t="shared" si="7"/>
        <v>26545</v>
      </c>
      <c r="Y30" s="24">
        <v>24</v>
      </c>
      <c r="Z30" s="25">
        <v>81477.25</v>
      </c>
      <c r="AA30" s="25">
        <v>0</v>
      </c>
      <c r="AB30" s="26">
        <v>81477.25</v>
      </c>
      <c r="AC30" s="25">
        <v>73329.5</v>
      </c>
      <c r="AD30" s="25">
        <f t="shared" si="29"/>
        <v>15946</v>
      </c>
      <c r="AE30" s="26">
        <f t="shared" si="8"/>
        <v>89275.5</v>
      </c>
      <c r="AF30" s="25">
        <v>61108</v>
      </c>
      <c r="AG30" s="25">
        <f t="shared" si="30"/>
        <v>16456</v>
      </c>
      <c r="AH30" s="26">
        <f t="shared" si="10"/>
        <v>77564</v>
      </c>
      <c r="AI30" s="25">
        <v>40738.75</v>
      </c>
      <c r="AJ30" s="25">
        <f t="shared" si="31"/>
        <v>17306</v>
      </c>
      <c r="AK30" s="26">
        <f t="shared" si="12"/>
        <v>58044.75</v>
      </c>
      <c r="AL30" s="25">
        <v>0</v>
      </c>
      <c r="AM30" s="25">
        <f t="shared" si="32"/>
        <v>19006</v>
      </c>
      <c r="AN30" s="26">
        <f t="shared" si="14"/>
        <v>19006</v>
      </c>
      <c r="AO30" s="24">
        <v>24</v>
      </c>
    </row>
    <row r="31" spans="9:58" ht="14.4" thickBot="1" x14ac:dyDescent="0.3">
      <c r="I31" s="24">
        <v>25</v>
      </c>
      <c r="J31" s="25">
        <f t="shared" si="19"/>
        <v>84736.339999999953</v>
      </c>
      <c r="K31" s="25">
        <v>0</v>
      </c>
      <c r="L31" s="26">
        <f t="shared" si="0"/>
        <v>84736.339999999953</v>
      </c>
      <c r="M31" s="25">
        <f t="shared" si="20"/>
        <v>76262.705999999962</v>
      </c>
      <c r="N31" s="25">
        <f t="shared" si="25"/>
        <v>23594</v>
      </c>
      <c r="O31" s="26">
        <f t="shared" si="1"/>
        <v>99856.705999999962</v>
      </c>
      <c r="P31" s="25">
        <v>63552.32</v>
      </c>
      <c r="Q31" s="25">
        <f t="shared" si="26"/>
        <v>24104</v>
      </c>
      <c r="R31" s="26">
        <f t="shared" si="3"/>
        <v>87656.320000000007</v>
      </c>
      <c r="S31" s="25">
        <v>42368.3</v>
      </c>
      <c r="T31" s="25">
        <f t="shared" si="27"/>
        <v>24954</v>
      </c>
      <c r="U31" s="26">
        <f t="shared" si="5"/>
        <v>67322.3</v>
      </c>
      <c r="V31" s="25">
        <v>0</v>
      </c>
      <c r="W31" s="25">
        <f t="shared" si="28"/>
        <v>26654</v>
      </c>
      <c r="X31" s="26">
        <f t="shared" si="7"/>
        <v>26654</v>
      </c>
      <c r="Y31" s="24">
        <v>25</v>
      </c>
      <c r="Z31" s="25">
        <v>84736.34</v>
      </c>
      <c r="AA31" s="25">
        <v>0</v>
      </c>
      <c r="AB31" s="26">
        <v>84736.34</v>
      </c>
      <c r="AC31" s="25">
        <v>76262.679999999993</v>
      </c>
      <c r="AD31" s="25">
        <f t="shared" si="29"/>
        <v>16445</v>
      </c>
      <c r="AE31" s="26">
        <f t="shared" si="8"/>
        <v>92707.68</v>
      </c>
      <c r="AF31" s="25">
        <v>63552.32</v>
      </c>
      <c r="AG31" s="25">
        <f t="shared" si="30"/>
        <v>16955</v>
      </c>
      <c r="AH31" s="26">
        <f t="shared" si="10"/>
        <v>80507.320000000007</v>
      </c>
      <c r="AI31" s="25">
        <v>42368.3</v>
      </c>
      <c r="AJ31" s="25">
        <f t="shared" si="31"/>
        <v>17805</v>
      </c>
      <c r="AK31" s="26">
        <f t="shared" si="12"/>
        <v>60173.3</v>
      </c>
      <c r="AL31" s="25">
        <v>0</v>
      </c>
      <c r="AM31" s="25">
        <f t="shared" si="32"/>
        <v>19505</v>
      </c>
      <c r="AN31" s="26">
        <f t="shared" si="14"/>
        <v>19505</v>
      </c>
      <c r="AO31" s="24">
        <v>25</v>
      </c>
    </row>
    <row r="32" spans="9:58" ht="14.4" thickBot="1" x14ac:dyDescent="0.3">
      <c r="I32" s="24">
        <v>26</v>
      </c>
      <c r="J32" s="25">
        <f t="shared" si="19"/>
        <v>87995.429999999949</v>
      </c>
      <c r="K32" s="25">
        <v>0</v>
      </c>
      <c r="L32" s="26">
        <f t="shared" si="0"/>
        <v>87995.429999999949</v>
      </c>
      <c r="M32" s="25">
        <f t="shared" si="20"/>
        <v>79195.886999999959</v>
      </c>
      <c r="N32" s="25">
        <f t="shared" si="25"/>
        <v>23703</v>
      </c>
      <c r="O32" s="26">
        <f t="shared" si="1"/>
        <v>102898.88699999996</v>
      </c>
      <c r="P32" s="25">
        <v>65996.639999999999</v>
      </c>
      <c r="Q32" s="25">
        <f t="shared" si="26"/>
        <v>24213</v>
      </c>
      <c r="R32" s="26">
        <f t="shared" si="3"/>
        <v>90209.64</v>
      </c>
      <c r="S32" s="25">
        <v>43997.85</v>
      </c>
      <c r="T32" s="25">
        <f t="shared" si="27"/>
        <v>25063</v>
      </c>
      <c r="U32" s="26">
        <f t="shared" si="5"/>
        <v>69060.850000000006</v>
      </c>
      <c r="V32" s="25">
        <v>0</v>
      </c>
      <c r="W32" s="25">
        <f t="shared" si="28"/>
        <v>26763</v>
      </c>
      <c r="X32" s="26">
        <f t="shared" si="7"/>
        <v>26763</v>
      </c>
      <c r="Y32" s="24">
        <v>26</v>
      </c>
      <c r="Z32" s="25">
        <v>87995.43</v>
      </c>
      <c r="AA32" s="25">
        <v>0</v>
      </c>
      <c r="AB32" s="26">
        <v>87995.43</v>
      </c>
      <c r="AC32" s="25">
        <v>79195.86</v>
      </c>
      <c r="AD32" s="25">
        <f t="shared" si="29"/>
        <v>16944</v>
      </c>
      <c r="AE32" s="26">
        <f t="shared" si="8"/>
        <v>96139.86</v>
      </c>
      <c r="AF32" s="25">
        <v>65996.639999999999</v>
      </c>
      <c r="AG32" s="25">
        <f t="shared" si="30"/>
        <v>17454</v>
      </c>
      <c r="AH32" s="26">
        <f t="shared" si="10"/>
        <v>83450.64</v>
      </c>
      <c r="AI32" s="25">
        <v>43997.85</v>
      </c>
      <c r="AJ32" s="25">
        <f t="shared" si="31"/>
        <v>18304</v>
      </c>
      <c r="AK32" s="26">
        <f t="shared" si="12"/>
        <v>62301.85</v>
      </c>
      <c r="AL32" s="25">
        <v>0</v>
      </c>
      <c r="AM32" s="25">
        <f t="shared" si="32"/>
        <v>20004</v>
      </c>
      <c r="AN32" s="26">
        <f t="shared" si="14"/>
        <v>20004</v>
      </c>
      <c r="AO32" s="24">
        <v>26</v>
      </c>
    </row>
    <row r="33" spans="9:45" ht="14.4" thickBot="1" x14ac:dyDescent="0.3">
      <c r="I33" s="24">
        <v>27</v>
      </c>
      <c r="J33" s="25">
        <f t="shared" si="19"/>
        <v>91254.519999999946</v>
      </c>
      <c r="K33" s="25">
        <v>0</v>
      </c>
      <c r="L33" s="26">
        <f t="shared" si="0"/>
        <v>91254.519999999946</v>
      </c>
      <c r="M33" s="25">
        <f t="shared" si="20"/>
        <v>82129.067999999956</v>
      </c>
      <c r="N33" s="25">
        <f t="shared" si="25"/>
        <v>23812</v>
      </c>
      <c r="O33" s="26">
        <f t="shared" si="1"/>
        <v>105941.06799999996</v>
      </c>
      <c r="P33" s="25">
        <v>68440.960000000006</v>
      </c>
      <c r="Q33" s="25">
        <f t="shared" si="26"/>
        <v>24322</v>
      </c>
      <c r="R33" s="26">
        <f t="shared" si="3"/>
        <v>92762.96</v>
      </c>
      <c r="S33" s="25">
        <v>45627.4</v>
      </c>
      <c r="T33" s="25">
        <f t="shared" si="27"/>
        <v>25172</v>
      </c>
      <c r="U33" s="26">
        <f t="shared" si="5"/>
        <v>70799.399999999994</v>
      </c>
      <c r="V33" s="25">
        <v>0</v>
      </c>
      <c r="W33" s="25">
        <f t="shared" si="28"/>
        <v>26872</v>
      </c>
      <c r="X33" s="26">
        <f t="shared" si="7"/>
        <v>26872</v>
      </c>
      <c r="Y33" s="24">
        <v>27</v>
      </c>
      <c r="Z33" s="25">
        <v>91254.52</v>
      </c>
      <c r="AA33" s="25">
        <v>0</v>
      </c>
      <c r="AB33" s="26">
        <v>91254.52</v>
      </c>
      <c r="AC33" s="25">
        <v>82129.039999999994</v>
      </c>
      <c r="AD33" s="25">
        <f t="shared" si="29"/>
        <v>17443</v>
      </c>
      <c r="AE33" s="26">
        <f t="shared" si="8"/>
        <v>99572.04</v>
      </c>
      <c r="AF33" s="25">
        <v>68440.960000000006</v>
      </c>
      <c r="AG33" s="25">
        <f t="shared" si="30"/>
        <v>17953</v>
      </c>
      <c r="AH33" s="26">
        <f t="shared" si="10"/>
        <v>86393.96</v>
      </c>
      <c r="AI33" s="25">
        <v>45627.4</v>
      </c>
      <c r="AJ33" s="25">
        <f t="shared" si="31"/>
        <v>18803</v>
      </c>
      <c r="AK33" s="26">
        <f t="shared" si="12"/>
        <v>64430.400000000001</v>
      </c>
      <c r="AL33" s="25">
        <v>0</v>
      </c>
      <c r="AM33" s="25">
        <f t="shared" si="32"/>
        <v>20503</v>
      </c>
      <c r="AN33" s="26">
        <f t="shared" si="14"/>
        <v>20503</v>
      </c>
      <c r="AO33" s="24">
        <v>27</v>
      </c>
    </row>
    <row r="34" spans="9:45" ht="14.4" thickBot="1" x14ac:dyDescent="0.3">
      <c r="I34" s="24">
        <v>28</v>
      </c>
      <c r="J34" s="25">
        <f t="shared" si="19"/>
        <v>94513.609999999942</v>
      </c>
      <c r="K34" s="25">
        <v>0</v>
      </c>
      <c r="L34" s="26">
        <f t="shared" si="0"/>
        <v>94513.609999999942</v>
      </c>
      <c r="M34" s="25">
        <f t="shared" si="20"/>
        <v>85062.248999999953</v>
      </c>
      <c r="N34" s="25">
        <f t="shared" si="25"/>
        <v>23921</v>
      </c>
      <c r="O34" s="26">
        <f t="shared" si="1"/>
        <v>108983.24899999995</v>
      </c>
      <c r="P34" s="25">
        <v>70885.279999999999</v>
      </c>
      <c r="Q34" s="25">
        <f t="shared" si="26"/>
        <v>24431</v>
      </c>
      <c r="R34" s="26">
        <f t="shared" si="3"/>
        <v>95316.28</v>
      </c>
      <c r="S34" s="25">
        <v>47256.95</v>
      </c>
      <c r="T34" s="25">
        <f t="shared" si="27"/>
        <v>25281</v>
      </c>
      <c r="U34" s="26">
        <f t="shared" si="5"/>
        <v>72537.95</v>
      </c>
      <c r="V34" s="25">
        <v>0</v>
      </c>
      <c r="W34" s="25">
        <f t="shared" si="28"/>
        <v>26981</v>
      </c>
      <c r="X34" s="26">
        <f t="shared" si="7"/>
        <v>26981</v>
      </c>
      <c r="Y34" s="24">
        <v>28</v>
      </c>
      <c r="Z34" s="25">
        <v>94513.61</v>
      </c>
      <c r="AA34" s="25">
        <v>0</v>
      </c>
      <c r="AB34" s="26">
        <v>94513.61</v>
      </c>
      <c r="AC34" s="25">
        <v>85062.22</v>
      </c>
      <c r="AD34" s="25">
        <f t="shared" si="29"/>
        <v>17942</v>
      </c>
      <c r="AE34" s="26">
        <f t="shared" si="8"/>
        <v>103004.22</v>
      </c>
      <c r="AF34" s="25">
        <v>70885.279999999999</v>
      </c>
      <c r="AG34" s="25">
        <f t="shared" si="30"/>
        <v>18452</v>
      </c>
      <c r="AH34" s="26">
        <f t="shared" si="10"/>
        <v>89337.279999999999</v>
      </c>
      <c r="AI34" s="25">
        <v>47256.95</v>
      </c>
      <c r="AJ34" s="25">
        <f t="shared" si="31"/>
        <v>19302</v>
      </c>
      <c r="AK34" s="26">
        <f t="shared" si="12"/>
        <v>66558.95</v>
      </c>
      <c r="AL34" s="25">
        <v>0</v>
      </c>
      <c r="AM34" s="25">
        <f t="shared" si="32"/>
        <v>21002</v>
      </c>
      <c r="AN34" s="26">
        <f t="shared" si="14"/>
        <v>21002</v>
      </c>
      <c r="AO34" s="24">
        <v>28</v>
      </c>
      <c r="AR34" s="17"/>
      <c r="AS34" s="17"/>
    </row>
    <row r="35" spans="9:45" ht="14.4" thickBot="1" x14ac:dyDescent="0.3">
      <c r="I35" s="24">
        <v>29</v>
      </c>
      <c r="J35" s="25">
        <f t="shared" si="19"/>
        <v>97772.699999999939</v>
      </c>
      <c r="K35" s="25">
        <v>0</v>
      </c>
      <c r="L35" s="26">
        <f t="shared" si="0"/>
        <v>97772.699999999939</v>
      </c>
      <c r="M35" s="25">
        <f t="shared" si="20"/>
        <v>87995.429999999949</v>
      </c>
      <c r="N35" s="25">
        <f t="shared" si="25"/>
        <v>24030</v>
      </c>
      <c r="O35" s="26">
        <f t="shared" si="1"/>
        <v>112025.42999999995</v>
      </c>
      <c r="P35" s="25">
        <v>73329.600000000006</v>
      </c>
      <c r="Q35" s="25">
        <f t="shared" si="26"/>
        <v>24540</v>
      </c>
      <c r="R35" s="26">
        <f t="shared" si="3"/>
        <v>97869.6</v>
      </c>
      <c r="S35" s="25">
        <v>48886.5</v>
      </c>
      <c r="T35" s="25">
        <f t="shared" si="27"/>
        <v>25390</v>
      </c>
      <c r="U35" s="26">
        <f t="shared" si="5"/>
        <v>74276.5</v>
      </c>
      <c r="V35" s="25">
        <v>0</v>
      </c>
      <c r="W35" s="25">
        <f t="shared" si="28"/>
        <v>27090</v>
      </c>
      <c r="X35" s="26">
        <f t="shared" si="7"/>
        <v>27090</v>
      </c>
      <c r="Y35" s="24">
        <v>29</v>
      </c>
      <c r="Z35" s="25">
        <v>97772.7</v>
      </c>
      <c r="AA35" s="25">
        <v>0</v>
      </c>
      <c r="AB35" s="26">
        <v>97772.7</v>
      </c>
      <c r="AC35" s="25">
        <v>87995.4</v>
      </c>
      <c r="AD35" s="25">
        <f t="shared" si="29"/>
        <v>18441</v>
      </c>
      <c r="AE35" s="26">
        <f t="shared" si="8"/>
        <v>106436.4</v>
      </c>
      <c r="AF35" s="25">
        <v>73329.600000000006</v>
      </c>
      <c r="AG35" s="25">
        <f t="shared" si="30"/>
        <v>18951</v>
      </c>
      <c r="AH35" s="26">
        <f t="shared" si="10"/>
        <v>92280.6</v>
      </c>
      <c r="AI35" s="25">
        <v>48886.5</v>
      </c>
      <c r="AJ35" s="25">
        <f t="shared" si="31"/>
        <v>19801</v>
      </c>
      <c r="AK35" s="26">
        <f t="shared" si="12"/>
        <v>68687.5</v>
      </c>
      <c r="AL35" s="25">
        <v>0</v>
      </c>
      <c r="AM35" s="25">
        <f t="shared" si="32"/>
        <v>21501</v>
      </c>
      <c r="AN35" s="26">
        <f t="shared" si="14"/>
        <v>21501</v>
      </c>
      <c r="AO35" s="24">
        <v>29</v>
      </c>
    </row>
    <row r="36" spans="9:45" ht="14.4" thickBot="1" x14ac:dyDescent="0.3">
      <c r="I36" s="24">
        <v>30</v>
      </c>
      <c r="J36" s="25">
        <f t="shared" si="19"/>
        <v>101031.78999999994</v>
      </c>
      <c r="K36" s="25">
        <v>0</v>
      </c>
      <c r="L36" s="26">
        <f t="shared" si="0"/>
        <v>101031.78999999994</v>
      </c>
      <c r="M36" s="25">
        <f t="shared" si="20"/>
        <v>90928.610999999946</v>
      </c>
      <c r="N36" s="25">
        <f t="shared" si="25"/>
        <v>24139</v>
      </c>
      <c r="O36" s="26">
        <f t="shared" si="1"/>
        <v>115067.61099999995</v>
      </c>
      <c r="P36" s="25">
        <v>75773.919999999998</v>
      </c>
      <c r="Q36" s="25">
        <f t="shared" si="26"/>
        <v>24649</v>
      </c>
      <c r="R36" s="26">
        <f t="shared" si="3"/>
        <v>100422.92</v>
      </c>
      <c r="S36" s="25">
        <v>50516.05</v>
      </c>
      <c r="T36" s="25">
        <f t="shared" si="27"/>
        <v>25499</v>
      </c>
      <c r="U36" s="26">
        <f t="shared" si="5"/>
        <v>76015.05</v>
      </c>
      <c r="V36" s="25">
        <v>0</v>
      </c>
      <c r="W36" s="25">
        <f t="shared" si="28"/>
        <v>27199</v>
      </c>
      <c r="X36" s="26">
        <f t="shared" si="7"/>
        <v>27199</v>
      </c>
      <c r="Y36" s="24">
        <v>30</v>
      </c>
      <c r="Z36" s="25">
        <v>101031.79</v>
      </c>
      <c r="AA36" s="25">
        <v>0</v>
      </c>
      <c r="AB36" s="26">
        <v>101031.79</v>
      </c>
      <c r="AC36" s="25">
        <v>90928.58</v>
      </c>
      <c r="AD36" s="25">
        <f t="shared" si="29"/>
        <v>18940</v>
      </c>
      <c r="AE36" s="26">
        <f t="shared" si="8"/>
        <v>109868.58</v>
      </c>
      <c r="AF36" s="25">
        <v>75773.919999999998</v>
      </c>
      <c r="AG36" s="25">
        <f t="shared" si="30"/>
        <v>19450</v>
      </c>
      <c r="AH36" s="26">
        <f t="shared" si="10"/>
        <v>95223.92</v>
      </c>
      <c r="AI36" s="25">
        <v>50516.05</v>
      </c>
      <c r="AJ36" s="25">
        <f t="shared" si="31"/>
        <v>20300</v>
      </c>
      <c r="AK36" s="26">
        <f t="shared" si="12"/>
        <v>70816.05</v>
      </c>
      <c r="AL36" s="25">
        <v>0</v>
      </c>
      <c r="AM36" s="25">
        <f t="shared" si="32"/>
        <v>22000</v>
      </c>
      <c r="AN36" s="26">
        <f t="shared" si="14"/>
        <v>22000</v>
      </c>
      <c r="AO36" s="24">
        <v>30</v>
      </c>
    </row>
    <row r="37" spans="9:45" ht="14.4" thickBot="1" x14ac:dyDescent="0.3">
      <c r="I37" s="24">
        <v>31</v>
      </c>
      <c r="J37" s="25">
        <f t="shared" si="19"/>
        <v>104290.87999999993</v>
      </c>
      <c r="K37" s="25">
        <v>0</v>
      </c>
      <c r="L37" s="26">
        <f t="shared" si="0"/>
        <v>104290.87999999993</v>
      </c>
      <c r="M37" s="25">
        <f t="shared" si="20"/>
        <v>93861.791999999943</v>
      </c>
      <c r="N37" s="25">
        <f t="shared" si="25"/>
        <v>24248</v>
      </c>
      <c r="O37" s="26">
        <f t="shared" si="1"/>
        <v>118109.79199999994</v>
      </c>
      <c r="P37" s="25">
        <v>78218.240000000005</v>
      </c>
      <c r="Q37" s="25">
        <f t="shared" si="26"/>
        <v>24758</v>
      </c>
      <c r="R37" s="26">
        <f t="shared" si="3"/>
        <v>102976.24</v>
      </c>
      <c r="S37" s="25">
        <v>52145.599999999999</v>
      </c>
      <c r="T37" s="25">
        <f t="shared" si="27"/>
        <v>25608</v>
      </c>
      <c r="U37" s="26">
        <f t="shared" si="5"/>
        <v>77753.600000000006</v>
      </c>
      <c r="V37" s="25">
        <v>0</v>
      </c>
      <c r="W37" s="25">
        <f t="shared" si="28"/>
        <v>27308</v>
      </c>
      <c r="X37" s="26">
        <f t="shared" si="7"/>
        <v>27308</v>
      </c>
      <c r="Y37" s="24">
        <v>31</v>
      </c>
      <c r="Z37" s="25">
        <v>104290.88</v>
      </c>
      <c r="AA37" s="25">
        <v>0</v>
      </c>
      <c r="AB37" s="26">
        <v>104290.88</v>
      </c>
      <c r="AC37" s="25">
        <v>93861.759999999995</v>
      </c>
      <c r="AD37" s="25">
        <f t="shared" si="29"/>
        <v>19439</v>
      </c>
      <c r="AE37" s="26">
        <f t="shared" si="8"/>
        <v>113300.76</v>
      </c>
      <c r="AF37" s="25">
        <v>78218.240000000005</v>
      </c>
      <c r="AG37" s="25">
        <f t="shared" si="30"/>
        <v>19949</v>
      </c>
      <c r="AH37" s="26">
        <f t="shared" si="10"/>
        <v>98167.24</v>
      </c>
      <c r="AI37" s="25">
        <v>52145.599999999999</v>
      </c>
      <c r="AJ37" s="25">
        <f t="shared" si="31"/>
        <v>20799</v>
      </c>
      <c r="AK37" s="26">
        <f t="shared" si="12"/>
        <v>72944.600000000006</v>
      </c>
      <c r="AL37" s="25">
        <v>0</v>
      </c>
      <c r="AM37" s="25">
        <f t="shared" si="32"/>
        <v>22499</v>
      </c>
      <c r="AN37" s="26">
        <f t="shared" si="14"/>
        <v>22499</v>
      </c>
      <c r="AO37" s="24">
        <v>31</v>
      </c>
    </row>
    <row r="38" spans="9:45" ht="14.4" thickBot="1" x14ac:dyDescent="0.3">
      <c r="I38" s="24">
        <v>32</v>
      </c>
      <c r="J38" s="25">
        <f t="shared" si="19"/>
        <v>107549.96999999993</v>
      </c>
      <c r="K38" s="25">
        <v>0</v>
      </c>
      <c r="L38" s="26">
        <f t="shared" si="0"/>
        <v>107549.96999999993</v>
      </c>
      <c r="M38" s="25">
        <f t="shared" si="20"/>
        <v>96794.97299999994</v>
      </c>
      <c r="N38" s="25">
        <f t="shared" si="25"/>
        <v>24357</v>
      </c>
      <c r="O38" s="26">
        <f t="shared" si="1"/>
        <v>121151.97299999994</v>
      </c>
      <c r="P38" s="25">
        <v>80662.559999999998</v>
      </c>
      <c r="Q38" s="25">
        <f t="shared" si="26"/>
        <v>24867</v>
      </c>
      <c r="R38" s="26">
        <f t="shared" si="3"/>
        <v>105529.56</v>
      </c>
      <c r="S38" s="25">
        <v>53775.15</v>
      </c>
      <c r="T38" s="25">
        <f t="shared" si="27"/>
        <v>25717</v>
      </c>
      <c r="U38" s="26">
        <f t="shared" si="5"/>
        <v>79492.149999999994</v>
      </c>
      <c r="V38" s="25">
        <v>0</v>
      </c>
      <c r="W38" s="25">
        <f t="shared" si="28"/>
        <v>27417</v>
      </c>
      <c r="X38" s="26">
        <f t="shared" si="7"/>
        <v>27417</v>
      </c>
      <c r="Y38" s="24">
        <v>32</v>
      </c>
      <c r="Z38" s="25">
        <v>107549.97</v>
      </c>
      <c r="AA38" s="25">
        <v>0</v>
      </c>
      <c r="AB38" s="26">
        <v>107549.97</v>
      </c>
      <c r="AC38" s="25">
        <v>96794.94</v>
      </c>
      <c r="AD38" s="25">
        <f t="shared" si="29"/>
        <v>19938</v>
      </c>
      <c r="AE38" s="26">
        <f t="shared" si="8"/>
        <v>116732.94</v>
      </c>
      <c r="AF38" s="25">
        <v>80662.559999999998</v>
      </c>
      <c r="AG38" s="25">
        <f t="shared" si="30"/>
        <v>20448</v>
      </c>
      <c r="AH38" s="26">
        <f t="shared" si="10"/>
        <v>101110.56</v>
      </c>
      <c r="AI38" s="25">
        <v>53775.15</v>
      </c>
      <c r="AJ38" s="25">
        <f t="shared" si="31"/>
        <v>21298</v>
      </c>
      <c r="AK38" s="26">
        <f t="shared" si="12"/>
        <v>75073.149999999994</v>
      </c>
      <c r="AL38" s="25">
        <v>0</v>
      </c>
      <c r="AM38" s="25">
        <f t="shared" si="32"/>
        <v>22998</v>
      </c>
      <c r="AN38" s="26">
        <f t="shared" si="14"/>
        <v>22998</v>
      </c>
      <c r="AO38" s="24">
        <v>32</v>
      </c>
    </row>
    <row r="39" spans="9:45" ht="14.4" thickBot="1" x14ac:dyDescent="0.3">
      <c r="I39" s="24">
        <v>33</v>
      </c>
      <c r="J39" s="25">
        <f t="shared" si="19"/>
        <v>110809.05999999992</v>
      </c>
      <c r="K39" s="25">
        <v>0</v>
      </c>
      <c r="L39" s="26">
        <f t="shared" si="0"/>
        <v>110809.05999999992</v>
      </c>
      <c r="M39" s="25">
        <f t="shared" si="20"/>
        <v>99728.153999999937</v>
      </c>
      <c r="N39" s="25">
        <f t="shared" si="25"/>
        <v>24466</v>
      </c>
      <c r="O39" s="26">
        <f t="shared" si="1"/>
        <v>124194.15399999994</v>
      </c>
      <c r="P39" s="25">
        <v>83106.880000000005</v>
      </c>
      <c r="Q39" s="25">
        <f t="shared" si="26"/>
        <v>24976</v>
      </c>
      <c r="R39" s="26">
        <f t="shared" si="3"/>
        <v>108082.88</v>
      </c>
      <c r="S39" s="25">
        <v>55404.7</v>
      </c>
      <c r="T39" s="25">
        <f t="shared" si="27"/>
        <v>25826</v>
      </c>
      <c r="U39" s="26">
        <f t="shared" si="5"/>
        <v>81230.7</v>
      </c>
      <c r="V39" s="25">
        <v>0</v>
      </c>
      <c r="W39" s="25">
        <f t="shared" si="28"/>
        <v>27526</v>
      </c>
      <c r="X39" s="26">
        <f t="shared" si="7"/>
        <v>27526</v>
      </c>
      <c r="Y39" s="24">
        <v>33</v>
      </c>
      <c r="Z39" s="25">
        <v>110809.06</v>
      </c>
      <c r="AA39" s="25">
        <v>0</v>
      </c>
      <c r="AB39" s="26">
        <v>110809.06</v>
      </c>
      <c r="AC39" s="25">
        <v>99728.12</v>
      </c>
      <c r="AD39" s="25">
        <f t="shared" si="29"/>
        <v>20437</v>
      </c>
      <c r="AE39" s="26">
        <f t="shared" si="8"/>
        <v>120165.12</v>
      </c>
      <c r="AF39" s="25">
        <v>83106.880000000005</v>
      </c>
      <c r="AG39" s="25">
        <f t="shared" si="30"/>
        <v>20947</v>
      </c>
      <c r="AH39" s="26">
        <f t="shared" si="10"/>
        <v>104053.88</v>
      </c>
      <c r="AI39" s="25">
        <v>55404.7</v>
      </c>
      <c r="AJ39" s="25">
        <f t="shared" si="31"/>
        <v>21797</v>
      </c>
      <c r="AK39" s="26">
        <f t="shared" si="12"/>
        <v>77201.7</v>
      </c>
      <c r="AL39" s="25">
        <v>0</v>
      </c>
      <c r="AM39" s="25">
        <f>AM38+AV$7</f>
        <v>23497</v>
      </c>
      <c r="AN39" s="26">
        <f t="shared" si="14"/>
        <v>23497</v>
      </c>
      <c r="AO39" s="24">
        <v>33</v>
      </c>
    </row>
    <row r="40" spans="9:45" ht="14.4" thickBot="1" x14ac:dyDescent="0.3">
      <c r="I40" s="24">
        <v>34</v>
      </c>
      <c r="J40" s="25">
        <f t="shared" si="19"/>
        <v>114068.14999999992</v>
      </c>
      <c r="K40" s="25">
        <v>0</v>
      </c>
      <c r="L40" s="26">
        <f t="shared" si="0"/>
        <v>114068.14999999992</v>
      </c>
      <c r="M40" s="25">
        <f t="shared" si="20"/>
        <v>102661.33499999993</v>
      </c>
      <c r="N40" s="25">
        <f t="shared" si="25"/>
        <v>24575</v>
      </c>
      <c r="O40" s="26">
        <f t="shared" si="1"/>
        <v>127236.33499999993</v>
      </c>
      <c r="P40" s="25">
        <v>85551.2</v>
      </c>
      <c r="Q40" s="25">
        <f t="shared" si="26"/>
        <v>25085</v>
      </c>
      <c r="R40" s="26">
        <f t="shared" si="3"/>
        <v>110636.2</v>
      </c>
      <c r="S40" s="25">
        <v>57034.25</v>
      </c>
      <c r="T40" s="25">
        <f t="shared" si="27"/>
        <v>25935</v>
      </c>
      <c r="U40" s="26">
        <f t="shared" si="5"/>
        <v>82969.25</v>
      </c>
      <c r="V40" s="25">
        <v>0</v>
      </c>
      <c r="W40" s="25">
        <f t="shared" si="28"/>
        <v>27635</v>
      </c>
      <c r="X40" s="26">
        <f t="shared" si="7"/>
        <v>27635</v>
      </c>
      <c r="Y40" s="24">
        <v>34</v>
      </c>
      <c r="Z40" s="25">
        <v>114068.15</v>
      </c>
      <c r="AA40" s="25">
        <v>0</v>
      </c>
      <c r="AB40" s="26">
        <v>114068.15</v>
      </c>
      <c r="AC40" s="25">
        <v>102661.3</v>
      </c>
      <c r="AD40" s="25">
        <f t="shared" si="29"/>
        <v>20936</v>
      </c>
      <c r="AE40" s="26">
        <f t="shared" si="8"/>
        <v>123597.3</v>
      </c>
      <c r="AF40" s="25">
        <v>85551.2</v>
      </c>
      <c r="AG40" s="25">
        <f t="shared" si="30"/>
        <v>21446</v>
      </c>
      <c r="AH40" s="26">
        <f t="shared" si="10"/>
        <v>106997.2</v>
      </c>
      <c r="AI40" s="25">
        <v>57034.25</v>
      </c>
      <c r="AJ40" s="25">
        <f t="shared" si="31"/>
        <v>22296</v>
      </c>
      <c r="AK40" s="26">
        <f t="shared" si="12"/>
        <v>79330.25</v>
      </c>
      <c r="AL40" s="25">
        <v>0</v>
      </c>
      <c r="AM40" s="25">
        <f t="shared" si="32"/>
        <v>23996</v>
      </c>
      <c r="AN40" s="26">
        <f t="shared" si="14"/>
        <v>23996</v>
      </c>
      <c r="AO40" s="24">
        <v>34</v>
      </c>
    </row>
    <row r="41" spans="9:45" ht="14.4" thickBot="1" x14ac:dyDescent="0.3">
      <c r="I41" s="24">
        <v>35</v>
      </c>
      <c r="J41" s="25">
        <f t="shared" si="19"/>
        <v>117327.23999999992</v>
      </c>
      <c r="K41" s="25">
        <v>0</v>
      </c>
      <c r="L41" s="26">
        <f t="shared" si="0"/>
        <v>117327.23999999992</v>
      </c>
      <c r="M41" s="25">
        <f t="shared" si="20"/>
        <v>105594.51599999993</v>
      </c>
      <c r="N41" s="25">
        <f t="shared" si="25"/>
        <v>24684</v>
      </c>
      <c r="O41" s="26">
        <f t="shared" si="1"/>
        <v>130278.51599999993</v>
      </c>
      <c r="P41" s="25">
        <v>87995.520000000004</v>
      </c>
      <c r="Q41" s="25">
        <f t="shared" si="26"/>
        <v>25194</v>
      </c>
      <c r="R41" s="26">
        <f t="shared" si="3"/>
        <v>113189.52</v>
      </c>
      <c r="S41" s="25">
        <v>58663.8</v>
      </c>
      <c r="T41" s="25">
        <f t="shared" si="27"/>
        <v>26044</v>
      </c>
      <c r="U41" s="26">
        <f t="shared" si="5"/>
        <v>84707.8</v>
      </c>
      <c r="V41" s="25">
        <v>0</v>
      </c>
      <c r="W41" s="25">
        <f t="shared" si="28"/>
        <v>27744</v>
      </c>
      <c r="X41" s="26">
        <f t="shared" si="7"/>
        <v>27744</v>
      </c>
      <c r="Y41" s="24">
        <v>35</v>
      </c>
      <c r="Z41" s="25">
        <v>117327.24</v>
      </c>
      <c r="AA41" s="25">
        <v>0</v>
      </c>
      <c r="AB41" s="26">
        <v>117327.24</v>
      </c>
      <c r="AC41" s="25">
        <v>105594.48</v>
      </c>
      <c r="AD41" s="25">
        <f t="shared" si="29"/>
        <v>21435</v>
      </c>
      <c r="AE41" s="26">
        <f t="shared" si="8"/>
        <v>127029.48</v>
      </c>
      <c r="AF41" s="25">
        <v>87995.520000000004</v>
      </c>
      <c r="AG41" s="25">
        <f t="shared" si="30"/>
        <v>21945</v>
      </c>
      <c r="AH41" s="26">
        <f t="shared" si="10"/>
        <v>109940.52</v>
      </c>
      <c r="AI41" s="25">
        <v>58663.8</v>
      </c>
      <c r="AJ41" s="25">
        <f t="shared" si="31"/>
        <v>22795</v>
      </c>
      <c r="AK41" s="26">
        <f t="shared" si="12"/>
        <v>81458.8</v>
      </c>
      <c r="AL41" s="25">
        <v>0</v>
      </c>
      <c r="AM41" s="25">
        <f t="shared" si="32"/>
        <v>24495</v>
      </c>
      <c r="AN41" s="26">
        <f t="shared" si="14"/>
        <v>24495</v>
      </c>
      <c r="AO41" s="24">
        <v>35</v>
      </c>
    </row>
    <row r="42" spans="9:45" ht="14.4" thickBot="1" x14ac:dyDescent="0.3">
      <c r="I42" s="42">
        <v>36</v>
      </c>
      <c r="J42" s="25">
        <f t="shared" si="19"/>
        <v>120586.32999999991</v>
      </c>
      <c r="K42" s="39">
        <v>0</v>
      </c>
      <c r="L42" s="26">
        <f t="shared" si="0"/>
        <v>120586.32999999991</v>
      </c>
      <c r="M42" s="25">
        <f t="shared" si="20"/>
        <v>108527.69699999993</v>
      </c>
      <c r="N42" s="25">
        <f t="shared" si="25"/>
        <v>24793</v>
      </c>
      <c r="O42" s="26">
        <f t="shared" si="1"/>
        <v>133320.69699999993</v>
      </c>
      <c r="P42" s="39">
        <v>90439.84</v>
      </c>
      <c r="Q42" s="25">
        <f t="shared" si="26"/>
        <v>25303</v>
      </c>
      <c r="R42" s="26">
        <f t="shared" si="3"/>
        <v>115742.84</v>
      </c>
      <c r="S42" s="39">
        <v>60293.35</v>
      </c>
      <c r="T42" s="25">
        <f t="shared" si="27"/>
        <v>26153</v>
      </c>
      <c r="U42" s="26">
        <f t="shared" si="5"/>
        <v>86446.35</v>
      </c>
      <c r="V42" s="25">
        <v>0</v>
      </c>
      <c r="W42" s="25">
        <f t="shared" si="28"/>
        <v>27853</v>
      </c>
      <c r="X42" s="26">
        <f t="shared" si="7"/>
        <v>27853</v>
      </c>
      <c r="Y42" s="42">
        <v>36</v>
      </c>
      <c r="Z42" s="39">
        <v>120586.33</v>
      </c>
      <c r="AA42" s="39">
        <v>0</v>
      </c>
      <c r="AB42" s="43">
        <v>120586.33</v>
      </c>
      <c r="AC42" s="39">
        <v>108527.66</v>
      </c>
      <c r="AD42" s="25">
        <f t="shared" si="29"/>
        <v>21934</v>
      </c>
      <c r="AE42" s="26">
        <f t="shared" si="8"/>
        <v>130461.66</v>
      </c>
      <c r="AF42" s="39">
        <v>90439.84</v>
      </c>
      <c r="AG42" s="25">
        <f t="shared" si="30"/>
        <v>22444</v>
      </c>
      <c r="AH42" s="26">
        <f t="shared" si="10"/>
        <v>112883.84</v>
      </c>
      <c r="AI42" s="39">
        <v>60293.35</v>
      </c>
      <c r="AJ42" s="25">
        <f t="shared" si="31"/>
        <v>23294</v>
      </c>
      <c r="AK42" s="26">
        <f t="shared" si="12"/>
        <v>83587.350000000006</v>
      </c>
      <c r="AL42" s="25">
        <v>0</v>
      </c>
      <c r="AM42" s="25">
        <f t="shared" si="32"/>
        <v>24994</v>
      </c>
      <c r="AN42" s="26">
        <f t="shared" si="14"/>
        <v>24994</v>
      </c>
      <c r="AO42" s="42">
        <v>36</v>
      </c>
    </row>
    <row r="43" spans="9:45" ht="14.4" thickBot="1" x14ac:dyDescent="0.3">
      <c r="I43" s="24">
        <v>37</v>
      </c>
      <c r="J43" s="25">
        <f t="shared" si="19"/>
        <v>123845.41999999991</v>
      </c>
      <c r="K43" s="25">
        <v>0</v>
      </c>
      <c r="L43" s="26">
        <f t="shared" si="0"/>
        <v>123845.41999999991</v>
      </c>
      <c r="M43" s="25">
        <f t="shared" si="20"/>
        <v>111460.87799999992</v>
      </c>
      <c r="N43" s="25">
        <f>N42+AS8+BA7</f>
        <v>25242</v>
      </c>
      <c r="O43" s="26">
        <f t="shared" si="1"/>
        <v>136702.87799999991</v>
      </c>
      <c r="P43" s="25">
        <v>92884.160000000003</v>
      </c>
      <c r="Q43" s="25">
        <f>Q42+AS8+BA8</f>
        <v>26262</v>
      </c>
      <c r="R43" s="26">
        <f t="shared" si="3"/>
        <v>119146.16</v>
      </c>
      <c r="S43" s="25">
        <v>61922.9</v>
      </c>
      <c r="T43" s="25">
        <f>T42+AS8+BA9</f>
        <v>27962</v>
      </c>
      <c r="U43" s="26">
        <f t="shared" si="5"/>
        <v>89884.9</v>
      </c>
      <c r="V43" s="25">
        <v>0</v>
      </c>
      <c r="W43" s="25">
        <f>W42+AS8+BA11</f>
        <v>31362</v>
      </c>
      <c r="X43" s="26">
        <f t="shared" si="7"/>
        <v>31362</v>
      </c>
      <c r="Y43" s="24">
        <v>37</v>
      </c>
      <c r="Z43" s="25">
        <v>123845.42</v>
      </c>
      <c r="AA43" s="25">
        <v>0</v>
      </c>
      <c r="AB43" s="26">
        <v>123845.42</v>
      </c>
      <c r="AC43" s="25">
        <v>111460.84</v>
      </c>
      <c r="AD43" s="25">
        <f>AD42+AV7+BA7</f>
        <v>22773</v>
      </c>
      <c r="AE43" s="26">
        <f t="shared" si="8"/>
        <v>134233.84</v>
      </c>
      <c r="AF43" s="25">
        <v>92884.160000000003</v>
      </c>
      <c r="AG43" s="25">
        <f>AG42+AV7+BA8</f>
        <v>23793</v>
      </c>
      <c r="AH43" s="26">
        <f t="shared" si="10"/>
        <v>116677.16</v>
      </c>
      <c r="AI43" s="25">
        <v>61922.9</v>
      </c>
      <c r="AJ43" s="25">
        <f>AJ42+AV7+BA9</f>
        <v>25493</v>
      </c>
      <c r="AK43" s="26">
        <f t="shared" si="12"/>
        <v>87415.9</v>
      </c>
      <c r="AL43" s="25">
        <v>0</v>
      </c>
      <c r="AM43" s="25">
        <f>AM42+AV7+BA11</f>
        <v>28893</v>
      </c>
      <c r="AN43" s="26">
        <f t="shared" si="14"/>
        <v>28893</v>
      </c>
      <c r="AO43" s="24">
        <v>37</v>
      </c>
    </row>
    <row r="44" spans="9:45" ht="14.4" thickBot="1" x14ac:dyDescent="0.3">
      <c r="I44" s="24">
        <v>38</v>
      </c>
      <c r="J44" s="25">
        <f t="shared" si="19"/>
        <v>127104.50999999991</v>
      </c>
      <c r="K44" s="25">
        <v>0</v>
      </c>
      <c r="L44" s="26">
        <f t="shared" si="0"/>
        <v>127104.50999999991</v>
      </c>
      <c r="M44" s="25">
        <f t="shared" si="20"/>
        <v>114394.05899999992</v>
      </c>
      <c r="N44" s="25">
        <f>N43+AS$8</f>
        <v>25351</v>
      </c>
      <c r="O44" s="26">
        <f t="shared" si="1"/>
        <v>139745.05899999992</v>
      </c>
      <c r="P44" s="25">
        <v>95328.48</v>
      </c>
      <c r="Q44" s="25">
        <f>Q43+AS$8</f>
        <v>26371</v>
      </c>
      <c r="R44" s="26">
        <f t="shared" si="3"/>
        <v>121699.48</v>
      </c>
      <c r="S44" s="25">
        <v>63552.45</v>
      </c>
      <c r="T44" s="25">
        <f>T43+AS$8</f>
        <v>28071</v>
      </c>
      <c r="U44" s="26">
        <f t="shared" si="5"/>
        <v>91623.45</v>
      </c>
      <c r="V44" s="25">
        <v>0</v>
      </c>
      <c r="W44" s="25">
        <f>W43+AS$8</f>
        <v>31471</v>
      </c>
      <c r="X44" s="26">
        <f t="shared" si="7"/>
        <v>31471</v>
      </c>
      <c r="Y44" s="24">
        <v>38</v>
      </c>
      <c r="Z44" s="25">
        <v>127104.51</v>
      </c>
      <c r="AA44" s="25">
        <v>0</v>
      </c>
      <c r="AB44" s="26">
        <v>127104.51</v>
      </c>
      <c r="AC44" s="25">
        <v>114394.02</v>
      </c>
      <c r="AD44" s="25">
        <f>AD43+AV$7</f>
        <v>23272</v>
      </c>
      <c r="AE44" s="26">
        <f t="shared" si="8"/>
        <v>137666.02000000002</v>
      </c>
      <c r="AF44" s="25">
        <v>95328.48</v>
      </c>
      <c r="AG44" s="25">
        <f>AG43+AV$7</f>
        <v>24292</v>
      </c>
      <c r="AH44" s="26">
        <f t="shared" si="10"/>
        <v>119620.48</v>
      </c>
      <c r="AI44" s="25">
        <v>63552.45</v>
      </c>
      <c r="AJ44" s="25">
        <f>AJ43+AV$7</f>
        <v>25992</v>
      </c>
      <c r="AK44" s="26">
        <f t="shared" si="12"/>
        <v>89544.45</v>
      </c>
      <c r="AL44" s="25">
        <v>0</v>
      </c>
      <c r="AM44" s="25">
        <f>AM43+AV$7</f>
        <v>29392</v>
      </c>
      <c r="AN44" s="26">
        <f t="shared" si="14"/>
        <v>29392</v>
      </c>
      <c r="AO44" s="24">
        <v>38</v>
      </c>
    </row>
    <row r="45" spans="9:45" ht="14.4" thickBot="1" x14ac:dyDescent="0.3">
      <c r="I45" s="24">
        <v>39</v>
      </c>
      <c r="J45" s="25">
        <f t="shared" si="19"/>
        <v>130363.5999999999</v>
      </c>
      <c r="K45" s="25">
        <v>0</v>
      </c>
      <c r="L45" s="26">
        <f t="shared" si="0"/>
        <v>130363.5999999999</v>
      </c>
      <c r="M45" s="25">
        <f t="shared" si="20"/>
        <v>117327.23999999992</v>
      </c>
      <c r="N45" s="25">
        <f t="shared" ref="N45:N54" si="33">N44+AS$8</f>
        <v>25460</v>
      </c>
      <c r="O45" s="26">
        <f t="shared" si="1"/>
        <v>142787.23999999993</v>
      </c>
      <c r="P45" s="25">
        <v>97772.800000000003</v>
      </c>
      <c r="Q45" s="25">
        <f t="shared" ref="Q45:Q54" si="34">Q44+AS$8</f>
        <v>26480</v>
      </c>
      <c r="R45" s="26">
        <f t="shared" si="3"/>
        <v>124252.8</v>
      </c>
      <c r="S45" s="25">
        <v>65182</v>
      </c>
      <c r="T45" s="25">
        <f t="shared" ref="T45:T54" si="35">T44+AS$8</f>
        <v>28180</v>
      </c>
      <c r="U45" s="26">
        <f t="shared" si="5"/>
        <v>93362</v>
      </c>
      <c r="V45" s="25">
        <v>0</v>
      </c>
      <c r="W45" s="25">
        <f t="shared" ref="W45:W54" si="36">W44+AS$8</f>
        <v>31580</v>
      </c>
      <c r="X45" s="26">
        <f t="shared" si="7"/>
        <v>31580</v>
      </c>
      <c r="Y45" s="24">
        <v>39</v>
      </c>
      <c r="Z45" s="25">
        <v>130363.6</v>
      </c>
      <c r="AA45" s="25">
        <v>0</v>
      </c>
      <c r="AB45" s="26">
        <v>130363.6</v>
      </c>
      <c r="AC45" s="25">
        <v>117327.2</v>
      </c>
      <c r="AD45" s="25">
        <f t="shared" ref="AD45:AD54" si="37">AD44+AV$7</f>
        <v>23771</v>
      </c>
      <c r="AE45" s="26">
        <f t="shared" si="8"/>
        <v>141098.20000000001</v>
      </c>
      <c r="AF45" s="25">
        <v>97772.800000000003</v>
      </c>
      <c r="AG45" s="25">
        <f t="shared" ref="AG45:AG54" si="38">AG44+AV$7</f>
        <v>24791</v>
      </c>
      <c r="AH45" s="26">
        <f t="shared" si="10"/>
        <v>122563.8</v>
      </c>
      <c r="AI45" s="25">
        <v>65182</v>
      </c>
      <c r="AJ45" s="25">
        <f t="shared" ref="AJ45:AJ54" si="39">AJ44+AV$7</f>
        <v>26491</v>
      </c>
      <c r="AK45" s="26">
        <f t="shared" si="12"/>
        <v>91673</v>
      </c>
      <c r="AL45" s="25">
        <v>0</v>
      </c>
      <c r="AM45" s="25">
        <f t="shared" ref="AM45:AM54" si="40">AM44+AV$7</f>
        <v>29891</v>
      </c>
      <c r="AN45" s="26">
        <f t="shared" si="14"/>
        <v>29891</v>
      </c>
      <c r="AO45" s="24">
        <v>39</v>
      </c>
    </row>
    <row r="46" spans="9:45" ht="14.4" thickBot="1" x14ac:dyDescent="0.3">
      <c r="I46" s="24">
        <v>40</v>
      </c>
      <c r="J46" s="25">
        <f t="shared" si="19"/>
        <v>133622.68999999992</v>
      </c>
      <c r="K46" s="25">
        <v>0</v>
      </c>
      <c r="L46" s="26">
        <f t="shared" si="0"/>
        <v>133622.68999999992</v>
      </c>
      <c r="M46" s="25">
        <f t="shared" si="20"/>
        <v>120260.42099999991</v>
      </c>
      <c r="N46" s="25">
        <f t="shared" si="33"/>
        <v>25569</v>
      </c>
      <c r="O46" s="26">
        <f t="shared" si="1"/>
        <v>145829.42099999991</v>
      </c>
      <c r="P46" s="25">
        <v>100217.12</v>
      </c>
      <c r="Q46" s="25">
        <f t="shared" si="34"/>
        <v>26589</v>
      </c>
      <c r="R46" s="26">
        <f t="shared" si="3"/>
        <v>126806.12</v>
      </c>
      <c r="S46" s="25">
        <v>66811.55</v>
      </c>
      <c r="T46" s="25">
        <f t="shared" si="35"/>
        <v>28289</v>
      </c>
      <c r="U46" s="26">
        <f t="shared" si="5"/>
        <v>95100.55</v>
      </c>
      <c r="V46" s="25">
        <v>0</v>
      </c>
      <c r="W46" s="25">
        <f t="shared" si="36"/>
        <v>31689</v>
      </c>
      <c r="X46" s="26">
        <f t="shared" si="7"/>
        <v>31689</v>
      </c>
      <c r="Y46" s="24">
        <v>40</v>
      </c>
      <c r="Z46" s="25">
        <v>133622.69</v>
      </c>
      <c r="AA46" s="25">
        <v>0</v>
      </c>
      <c r="AB46" s="26">
        <v>133622.69</v>
      </c>
      <c r="AC46" s="25">
        <v>120260.38</v>
      </c>
      <c r="AD46" s="25">
        <f t="shared" si="37"/>
        <v>24270</v>
      </c>
      <c r="AE46" s="26">
        <f t="shared" si="8"/>
        <v>144530.38</v>
      </c>
      <c r="AF46" s="25">
        <v>100217.12</v>
      </c>
      <c r="AG46" s="25">
        <f t="shared" si="38"/>
        <v>25290</v>
      </c>
      <c r="AH46" s="26">
        <f t="shared" si="10"/>
        <v>125507.12</v>
      </c>
      <c r="AI46" s="25">
        <v>66811.55</v>
      </c>
      <c r="AJ46" s="25">
        <f t="shared" si="39"/>
        <v>26990</v>
      </c>
      <c r="AK46" s="26">
        <f t="shared" si="12"/>
        <v>93801.55</v>
      </c>
      <c r="AL46" s="25">
        <v>0</v>
      </c>
      <c r="AM46" s="25">
        <f t="shared" si="40"/>
        <v>30390</v>
      </c>
      <c r="AN46" s="26">
        <f t="shared" si="14"/>
        <v>30390</v>
      </c>
      <c r="AO46" s="24">
        <v>40</v>
      </c>
    </row>
    <row r="47" spans="9:45" ht="14.4" thickBot="1" x14ac:dyDescent="0.3">
      <c r="I47" s="24">
        <v>41</v>
      </c>
      <c r="J47" s="25">
        <f t="shared" si="19"/>
        <v>136881.77999999991</v>
      </c>
      <c r="K47" s="25">
        <v>0</v>
      </c>
      <c r="L47" s="26">
        <f t="shared" si="0"/>
        <v>136881.77999999991</v>
      </c>
      <c r="M47" s="25">
        <f t="shared" si="20"/>
        <v>123193.60199999991</v>
      </c>
      <c r="N47" s="25">
        <f t="shared" si="33"/>
        <v>25678</v>
      </c>
      <c r="O47" s="26">
        <f t="shared" si="1"/>
        <v>148871.6019999999</v>
      </c>
      <c r="P47" s="25">
        <v>102661.44</v>
      </c>
      <c r="Q47" s="25">
        <f t="shared" si="34"/>
        <v>26698</v>
      </c>
      <c r="R47" s="26">
        <f t="shared" si="3"/>
        <v>129359.44</v>
      </c>
      <c r="S47" s="25">
        <v>68441.100000000006</v>
      </c>
      <c r="T47" s="25">
        <f t="shared" si="35"/>
        <v>28398</v>
      </c>
      <c r="U47" s="26">
        <f t="shared" si="5"/>
        <v>96839.1</v>
      </c>
      <c r="V47" s="25">
        <v>0</v>
      </c>
      <c r="W47" s="25">
        <f t="shared" si="36"/>
        <v>31798</v>
      </c>
      <c r="X47" s="26">
        <f t="shared" si="7"/>
        <v>31798</v>
      </c>
      <c r="Y47" s="24">
        <v>41</v>
      </c>
      <c r="Z47" s="25">
        <v>136881.78</v>
      </c>
      <c r="AA47" s="25">
        <v>0</v>
      </c>
      <c r="AB47" s="26">
        <v>136881.78</v>
      </c>
      <c r="AC47" s="25">
        <v>123193.56</v>
      </c>
      <c r="AD47" s="25">
        <f t="shared" si="37"/>
        <v>24769</v>
      </c>
      <c r="AE47" s="26">
        <f t="shared" si="8"/>
        <v>147962.56</v>
      </c>
      <c r="AF47" s="25">
        <v>102661.44</v>
      </c>
      <c r="AG47" s="25">
        <f t="shared" si="38"/>
        <v>25789</v>
      </c>
      <c r="AH47" s="26">
        <f t="shared" si="10"/>
        <v>128450.44</v>
      </c>
      <c r="AI47" s="25">
        <v>68441.100000000006</v>
      </c>
      <c r="AJ47" s="25">
        <f t="shared" si="39"/>
        <v>27489</v>
      </c>
      <c r="AK47" s="26">
        <f t="shared" si="12"/>
        <v>95930.1</v>
      </c>
      <c r="AL47" s="25">
        <v>0</v>
      </c>
      <c r="AM47" s="25">
        <f t="shared" si="40"/>
        <v>30889</v>
      </c>
      <c r="AN47" s="26">
        <f t="shared" si="14"/>
        <v>30889</v>
      </c>
      <c r="AO47" s="24">
        <v>41</v>
      </c>
    </row>
    <row r="48" spans="9:45" ht="14.4" thickBot="1" x14ac:dyDescent="0.3">
      <c r="I48" s="24">
        <v>42</v>
      </c>
      <c r="J48" s="25">
        <f t="shared" si="19"/>
        <v>140140.86999999991</v>
      </c>
      <c r="K48" s="25">
        <v>0</v>
      </c>
      <c r="L48" s="26">
        <f t="shared" si="0"/>
        <v>140140.86999999991</v>
      </c>
      <c r="M48" s="25">
        <f t="shared" si="20"/>
        <v>126126.78299999991</v>
      </c>
      <c r="N48" s="25">
        <f t="shared" si="33"/>
        <v>25787</v>
      </c>
      <c r="O48" s="26">
        <f t="shared" si="1"/>
        <v>151913.78299999991</v>
      </c>
      <c r="P48" s="25">
        <v>105105.76</v>
      </c>
      <c r="Q48" s="25">
        <f t="shared" si="34"/>
        <v>26807</v>
      </c>
      <c r="R48" s="26">
        <f t="shared" si="3"/>
        <v>131912.76</v>
      </c>
      <c r="S48" s="25">
        <v>70070.649999999994</v>
      </c>
      <c r="T48" s="25">
        <f t="shared" si="35"/>
        <v>28507</v>
      </c>
      <c r="U48" s="26">
        <f t="shared" si="5"/>
        <v>98577.65</v>
      </c>
      <c r="V48" s="25">
        <v>0</v>
      </c>
      <c r="W48" s="25">
        <f t="shared" si="36"/>
        <v>31907</v>
      </c>
      <c r="X48" s="26">
        <f t="shared" si="7"/>
        <v>31907</v>
      </c>
      <c r="Y48" s="24">
        <v>42</v>
      </c>
      <c r="Z48" s="25">
        <v>140140.87</v>
      </c>
      <c r="AA48" s="25">
        <v>0</v>
      </c>
      <c r="AB48" s="26">
        <v>140140.87</v>
      </c>
      <c r="AC48" s="25">
        <v>126126.74</v>
      </c>
      <c r="AD48" s="25">
        <f t="shared" si="37"/>
        <v>25268</v>
      </c>
      <c r="AE48" s="26">
        <f t="shared" si="8"/>
        <v>151394.74</v>
      </c>
      <c r="AF48" s="25">
        <v>105105.76</v>
      </c>
      <c r="AG48" s="25">
        <f t="shared" si="38"/>
        <v>26288</v>
      </c>
      <c r="AH48" s="26">
        <f t="shared" si="10"/>
        <v>131393.76</v>
      </c>
      <c r="AI48" s="25">
        <v>70070.649999999994</v>
      </c>
      <c r="AJ48" s="25">
        <f t="shared" si="39"/>
        <v>27988</v>
      </c>
      <c r="AK48" s="26">
        <f t="shared" si="12"/>
        <v>98058.65</v>
      </c>
      <c r="AL48" s="25">
        <v>0</v>
      </c>
      <c r="AM48" s="25">
        <f t="shared" si="40"/>
        <v>31388</v>
      </c>
      <c r="AN48" s="26">
        <f t="shared" si="14"/>
        <v>31388</v>
      </c>
      <c r="AO48" s="24">
        <v>42</v>
      </c>
    </row>
    <row r="49" spans="1:41" ht="14.4" thickBot="1" x14ac:dyDescent="0.3">
      <c r="I49" s="24">
        <v>43</v>
      </c>
      <c r="J49" s="25">
        <f t="shared" si="19"/>
        <v>143399.9599999999</v>
      </c>
      <c r="K49" s="25">
        <v>0</v>
      </c>
      <c r="L49" s="26">
        <f t="shared" si="0"/>
        <v>143399.9599999999</v>
      </c>
      <c r="M49" s="25">
        <f t="shared" si="20"/>
        <v>129059.96399999991</v>
      </c>
      <c r="N49" s="25">
        <f t="shared" si="33"/>
        <v>25896</v>
      </c>
      <c r="O49" s="26">
        <f t="shared" si="1"/>
        <v>154955.96399999992</v>
      </c>
      <c r="P49" s="25">
        <v>107550.08</v>
      </c>
      <c r="Q49" s="25">
        <f t="shared" si="34"/>
        <v>26916</v>
      </c>
      <c r="R49" s="26">
        <f t="shared" si="3"/>
        <v>134466.08000000002</v>
      </c>
      <c r="S49" s="25">
        <v>71700.2</v>
      </c>
      <c r="T49" s="25">
        <f t="shared" si="35"/>
        <v>28616</v>
      </c>
      <c r="U49" s="26">
        <f t="shared" si="5"/>
        <v>100316.2</v>
      </c>
      <c r="V49" s="25">
        <v>0</v>
      </c>
      <c r="W49" s="25">
        <f t="shared" si="36"/>
        <v>32016</v>
      </c>
      <c r="X49" s="26">
        <f t="shared" si="7"/>
        <v>32016</v>
      </c>
      <c r="Y49" s="24">
        <v>43</v>
      </c>
      <c r="Z49" s="25">
        <v>143399.96</v>
      </c>
      <c r="AA49" s="25">
        <v>0</v>
      </c>
      <c r="AB49" s="26">
        <v>143399.96</v>
      </c>
      <c r="AC49" s="25">
        <v>129059.92</v>
      </c>
      <c r="AD49" s="25">
        <f t="shared" si="37"/>
        <v>25767</v>
      </c>
      <c r="AE49" s="26">
        <f t="shared" si="8"/>
        <v>154826.91999999998</v>
      </c>
      <c r="AF49" s="25">
        <v>107550.08</v>
      </c>
      <c r="AG49" s="25">
        <f t="shared" si="38"/>
        <v>26787</v>
      </c>
      <c r="AH49" s="26">
        <f t="shared" si="10"/>
        <v>134337.08000000002</v>
      </c>
      <c r="AI49" s="25">
        <v>71700.2</v>
      </c>
      <c r="AJ49" s="25">
        <f t="shared" si="39"/>
        <v>28487</v>
      </c>
      <c r="AK49" s="26">
        <f t="shared" si="12"/>
        <v>100187.2</v>
      </c>
      <c r="AL49" s="25">
        <v>0</v>
      </c>
      <c r="AM49" s="25">
        <f t="shared" si="40"/>
        <v>31887</v>
      </c>
      <c r="AN49" s="26">
        <f t="shared" si="14"/>
        <v>31887</v>
      </c>
      <c r="AO49" s="24">
        <v>43</v>
      </c>
    </row>
    <row r="50" spans="1:41" ht="14.4" thickBot="1" x14ac:dyDescent="0.3">
      <c r="I50" s="24">
        <v>44</v>
      </c>
      <c r="J50" s="25">
        <f t="shared" si="19"/>
        <v>146659.0499999999</v>
      </c>
      <c r="K50" s="25">
        <v>0</v>
      </c>
      <c r="L50" s="26">
        <f t="shared" si="0"/>
        <v>146659.0499999999</v>
      </c>
      <c r="M50" s="25">
        <f t="shared" si="20"/>
        <v>131993.1449999999</v>
      </c>
      <c r="N50" s="25">
        <f t="shared" si="33"/>
        <v>26005</v>
      </c>
      <c r="O50" s="26">
        <f t="shared" si="1"/>
        <v>157998.1449999999</v>
      </c>
      <c r="P50" s="25">
        <v>109994.4</v>
      </c>
      <c r="Q50" s="25">
        <f t="shared" si="34"/>
        <v>27025</v>
      </c>
      <c r="R50" s="26">
        <f t="shared" si="3"/>
        <v>137019.4</v>
      </c>
      <c r="S50" s="25">
        <v>73329.75</v>
      </c>
      <c r="T50" s="25">
        <f t="shared" si="35"/>
        <v>28725</v>
      </c>
      <c r="U50" s="26">
        <f t="shared" si="5"/>
        <v>102054.75</v>
      </c>
      <c r="V50" s="25">
        <v>0</v>
      </c>
      <c r="W50" s="25">
        <f t="shared" si="36"/>
        <v>32125</v>
      </c>
      <c r="X50" s="26">
        <f t="shared" si="7"/>
        <v>32125</v>
      </c>
      <c r="Y50" s="24">
        <v>44</v>
      </c>
      <c r="Z50" s="25">
        <v>146659.04999999999</v>
      </c>
      <c r="AA50" s="25">
        <v>0</v>
      </c>
      <c r="AB50" s="26">
        <v>146659.04999999999</v>
      </c>
      <c r="AC50" s="25">
        <v>131993.1</v>
      </c>
      <c r="AD50" s="25">
        <f t="shared" si="37"/>
        <v>26266</v>
      </c>
      <c r="AE50" s="26">
        <f t="shared" si="8"/>
        <v>158259.1</v>
      </c>
      <c r="AF50" s="25">
        <v>109994.4</v>
      </c>
      <c r="AG50" s="25">
        <f t="shared" si="38"/>
        <v>27286</v>
      </c>
      <c r="AH50" s="26">
        <f t="shared" si="10"/>
        <v>137280.4</v>
      </c>
      <c r="AI50" s="25">
        <v>73329.75</v>
      </c>
      <c r="AJ50" s="25">
        <f t="shared" si="39"/>
        <v>28986</v>
      </c>
      <c r="AK50" s="26">
        <f t="shared" si="12"/>
        <v>102315.75</v>
      </c>
      <c r="AL50" s="25">
        <v>0</v>
      </c>
      <c r="AM50" s="25">
        <f t="shared" si="40"/>
        <v>32386</v>
      </c>
      <c r="AN50" s="26">
        <f t="shared" si="14"/>
        <v>32386</v>
      </c>
      <c r="AO50" s="24">
        <v>44</v>
      </c>
    </row>
    <row r="51" spans="1:41" ht="14.4" thickBot="1" x14ac:dyDescent="0.3">
      <c r="I51" s="24">
        <v>45</v>
      </c>
      <c r="J51" s="25">
        <f t="shared" si="19"/>
        <v>149918.1399999999</v>
      </c>
      <c r="K51" s="25">
        <v>0</v>
      </c>
      <c r="L51" s="26">
        <f t="shared" si="0"/>
        <v>149918.1399999999</v>
      </c>
      <c r="M51" s="25">
        <f t="shared" si="20"/>
        <v>134926.32599999991</v>
      </c>
      <c r="N51" s="25">
        <f t="shared" si="33"/>
        <v>26114</v>
      </c>
      <c r="O51" s="26">
        <f t="shared" si="1"/>
        <v>161040.32599999991</v>
      </c>
      <c r="P51" s="25">
        <v>112438.72</v>
      </c>
      <c r="Q51" s="25">
        <f t="shared" si="34"/>
        <v>27134</v>
      </c>
      <c r="R51" s="26">
        <f t="shared" si="3"/>
        <v>139572.72</v>
      </c>
      <c r="S51" s="25">
        <v>74959.3</v>
      </c>
      <c r="T51" s="25">
        <f t="shared" si="35"/>
        <v>28834</v>
      </c>
      <c r="U51" s="26">
        <f t="shared" si="5"/>
        <v>103793.3</v>
      </c>
      <c r="V51" s="25">
        <v>0</v>
      </c>
      <c r="W51" s="25">
        <f t="shared" si="36"/>
        <v>32234</v>
      </c>
      <c r="X51" s="26">
        <f t="shared" si="7"/>
        <v>32234</v>
      </c>
      <c r="Y51" s="24">
        <v>45</v>
      </c>
      <c r="Z51" s="25">
        <v>149918.14000000001</v>
      </c>
      <c r="AA51" s="25">
        <v>0</v>
      </c>
      <c r="AB51" s="26">
        <v>149918.14000000001</v>
      </c>
      <c r="AC51" s="25">
        <v>134926.28</v>
      </c>
      <c r="AD51" s="25">
        <f t="shared" si="37"/>
        <v>26765</v>
      </c>
      <c r="AE51" s="26">
        <f t="shared" si="8"/>
        <v>161691.28</v>
      </c>
      <c r="AF51" s="25">
        <v>112438.72</v>
      </c>
      <c r="AG51" s="25">
        <f t="shared" si="38"/>
        <v>27785</v>
      </c>
      <c r="AH51" s="26">
        <f t="shared" si="10"/>
        <v>140223.72</v>
      </c>
      <c r="AI51" s="25">
        <v>74959.3</v>
      </c>
      <c r="AJ51" s="25">
        <f t="shared" si="39"/>
        <v>29485</v>
      </c>
      <c r="AK51" s="26">
        <f t="shared" si="12"/>
        <v>104444.3</v>
      </c>
      <c r="AL51" s="25">
        <v>0</v>
      </c>
      <c r="AM51" s="25">
        <f t="shared" si="40"/>
        <v>32885</v>
      </c>
      <c r="AN51" s="26">
        <f t="shared" si="14"/>
        <v>32885</v>
      </c>
      <c r="AO51" s="24">
        <v>45</v>
      </c>
    </row>
    <row r="52" spans="1:41" ht="14.4" thickBot="1" x14ac:dyDescent="0.3">
      <c r="I52" s="24">
        <v>46</v>
      </c>
      <c r="J52" s="25">
        <f t="shared" si="19"/>
        <v>153177.22999999989</v>
      </c>
      <c r="K52" s="25">
        <v>0</v>
      </c>
      <c r="L52" s="26">
        <f t="shared" si="0"/>
        <v>153177.22999999989</v>
      </c>
      <c r="M52" s="25">
        <f t="shared" si="20"/>
        <v>137859.50699999993</v>
      </c>
      <c r="N52" s="25">
        <f t="shared" si="33"/>
        <v>26223</v>
      </c>
      <c r="O52" s="26">
        <f t="shared" si="1"/>
        <v>164082.50699999993</v>
      </c>
      <c r="P52" s="25">
        <v>114883.04</v>
      </c>
      <c r="Q52" s="25">
        <f t="shared" si="34"/>
        <v>27243</v>
      </c>
      <c r="R52" s="26">
        <f t="shared" si="3"/>
        <v>142126.03999999998</v>
      </c>
      <c r="S52" s="25">
        <v>76588.850000000006</v>
      </c>
      <c r="T52" s="25">
        <f t="shared" si="35"/>
        <v>28943</v>
      </c>
      <c r="U52" s="26">
        <f t="shared" si="5"/>
        <v>105531.85</v>
      </c>
      <c r="V52" s="25">
        <v>0</v>
      </c>
      <c r="W52" s="25">
        <f t="shared" si="36"/>
        <v>32343</v>
      </c>
      <c r="X52" s="26">
        <f t="shared" si="7"/>
        <v>32343</v>
      </c>
      <c r="Y52" s="24">
        <v>46</v>
      </c>
      <c r="Z52" s="25">
        <v>153177.23000000001</v>
      </c>
      <c r="AA52" s="25">
        <v>0</v>
      </c>
      <c r="AB52" s="26">
        <v>153177.23000000001</v>
      </c>
      <c r="AC52" s="25">
        <v>137859.46</v>
      </c>
      <c r="AD52" s="25">
        <f t="shared" si="37"/>
        <v>27264</v>
      </c>
      <c r="AE52" s="26">
        <f t="shared" si="8"/>
        <v>165123.46</v>
      </c>
      <c r="AF52" s="25">
        <v>114883.04</v>
      </c>
      <c r="AG52" s="25">
        <f t="shared" si="38"/>
        <v>28284</v>
      </c>
      <c r="AH52" s="26">
        <f t="shared" si="10"/>
        <v>143167.03999999998</v>
      </c>
      <c r="AI52" s="25">
        <v>76588.850000000006</v>
      </c>
      <c r="AJ52" s="25">
        <f t="shared" si="39"/>
        <v>29984</v>
      </c>
      <c r="AK52" s="26">
        <f t="shared" si="12"/>
        <v>106572.85</v>
      </c>
      <c r="AL52" s="25">
        <v>0</v>
      </c>
      <c r="AM52" s="25">
        <f t="shared" si="40"/>
        <v>33384</v>
      </c>
      <c r="AN52" s="26">
        <f t="shared" si="14"/>
        <v>33384</v>
      </c>
      <c r="AO52" s="24">
        <v>46</v>
      </c>
    </row>
    <row r="53" spans="1:41" ht="14.4" thickBot="1" x14ac:dyDescent="0.3">
      <c r="A53" s="8" t="s">
        <v>48</v>
      </c>
      <c r="B53" s="59">
        <v>4019.38</v>
      </c>
      <c r="I53" s="24">
        <v>47</v>
      </c>
      <c r="J53" s="25">
        <f t="shared" si="19"/>
        <v>156436.31999999989</v>
      </c>
      <c r="K53" s="25">
        <v>0</v>
      </c>
      <c r="L53" s="26">
        <f t="shared" si="0"/>
        <v>156436.31999999989</v>
      </c>
      <c r="M53" s="25">
        <f t="shared" si="20"/>
        <v>140792.68799999994</v>
      </c>
      <c r="N53" s="25">
        <f t="shared" si="33"/>
        <v>26332</v>
      </c>
      <c r="O53" s="26">
        <f t="shared" si="1"/>
        <v>167124.68799999994</v>
      </c>
      <c r="P53" s="25">
        <v>117327.36</v>
      </c>
      <c r="Q53" s="25">
        <f t="shared" si="34"/>
        <v>27352</v>
      </c>
      <c r="R53" s="26">
        <f t="shared" si="3"/>
        <v>144679.35999999999</v>
      </c>
      <c r="S53" s="25">
        <v>78218.399999999994</v>
      </c>
      <c r="T53" s="25">
        <f t="shared" si="35"/>
        <v>29052</v>
      </c>
      <c r="U53" s="26">
        <f t="shared" si="5"/>
        <v>107270.39999999999</v>
      </c>
      <c r="V53" s="25">
        <v>0</v>
      </c>
      <c r="W53" s="25">
        <f t="shared" si="36"/>
        <v>32452</v>
      </c>
      <c r="X53" s="26">
        <f t="shared" si="7"/>
        <v>32452</v>
      </c>
      <c r="Y53" s="24">
        <v>47</v>
      </c>
      <c r="Z53" s="25">
        <v>156436.32</v>
      </c>
      <c r="AA53" s="25">
        <v>0</v>
      </c>
      <c r="AB53" s="26">
        <v>156436.32</v>
      </c>
      <c r="AC53" s="25">
        <v>140792.64000000001</v>
      </c>
      <c r="AD53" s="25">
        <f t="shared" si="37"/>
        <v>27763</v>
      </c>
      <c r="AE53" s="26">
        <f t="shared" si="8"/>
        <v>168555.64</v>
      </c>
      <c r="AF53" s="25">
        <v>117327.36</v>
      </c>
      <c r="AG53" s="25">
        <f t="shared" si="38"/>
        <v>28783</v>
      </c>
      <c r="AH53" s="26">
        <f t="shared" si="10"/>
        <v>146110.35999999999</v>
      </c>
      <c r="AI53" s="25">
        <v>78218.399999999994</v>
      </c>
      <c r="AJ53" s="25">
        <f t="shared" si="39"/>
        <v>30483</v>
      </c>
      <c r="AK53" s="26">
        <f t="shared" si="12"/>
        <v>108701.4</v>
      </c>
      <c r="AL53" s="25">
        <v>0</v>
      </c>
      <c r="AM53" s="25">
        <f t="shared" si="40"/>
        <v>33883</v>
      </c>
      <c r="AN53" s="26">
        <f t="shared" si="14"/>
        <v>33883</v>
      </c>
      <c r="AO53" s="24">
        <v>47</v>
      </c>
    </row>
    <row r="54" spans="1:41" ht="14.4" thickBot="1" x14ac:dyDescent="0.3">
      <c r="A54" s="8" t="s">
        <v>50</v>
      </c>
      <c r="B54" s="53">
        <f>B55*1.5</f>
        <v>3014.5349999999999</v>
      </c>
      <c r="I54" s="24">
        <v>48</v>
      </c>
      <c r="J54" s="25">
        <f t="shared" si="19"/>
        <v>159695.40999999989</v>
      </c>
      <c r="K54" s="25">
        <v>0</v>
      </c>
      <c r="L54" s="26">
        <f t="shared" si="0"/>
        <v>159695.40999999989</v>
      </c>
      <c r="M54" s="25">
        <f t="shared" si="20"/>
        <v>143725.86899999995</v>
      </c>
      <c r="N54" s="25">
        <f t="shared" si="33"/>
        <v>26441</v>
      </c>
      <c r="O54" s="26">
        <f t="shared" si="1"/>
        <v>170166.86899999995</v>
      </c>
      <c r="P54" s="25">
        <v>119771.68</v>
      </c>
      <c r="Q54" s="25">
        <f t="shared" si="34"/>
        <v>27461</v>
      </c>
      <c r="R54" s="26">
        <f t="shared" si="3"/>
        <v>147232.68</v>
      </c>
      <c r="S54" s="25">
        <v>79847.95</v>
      </c>
      <c r="T54" s="25">
        <f t="shared" si="35"/>
        <v>29161</v>
      </c>
      <c r="U54" s="26">
        <f t="shared" si="5"/>
        <v>109008.95</v>
      </c>
      <c r="V54" s="25">
        <v>0</v>
      </c>
      <c r="W54" s="25">
        <f t="shared" si="36"/>
        <v>32561</v>
      </c>
      <c r="X54" s="26">
        <f t="shared" si="7"/>
        <v>32561</v>
      </c>
      <c r="Y54" s="24">
        <v>48</v>
      </c>
      <c r="Z54" s="25">
        <v>159695.41</v>
      </c>
      <c r="AA54" s="25">
        <v>0</v>
      </c>
      <c r="AB54" s="26">
        <v>159695.41</v>
      </c>
      <c r="AC54" s="25">
        <v>143725.82</v>
      </c>
      <c r="AD54" s="25">
        <f t="shared" si="37"/>
        <v>28262</v>
      </c>
      <c r="AE54" s="26">
        <f t="shared" si="8"/>
        <v>171987.82</v>
      </c>
      <c r="AF54" s="25">
        <v>119771.68</v>
      </c>
      <c r="AG54" s="25">
        <f t="shared" si="38"/>
        <v>29282</v>
      </c>
      <c r="AH54" s="26">
        <f t="shared" si="10"/>
        <v>149053.68</v>
      </c>
      <c r="AI54" s="25">
        <v>79847.95</v>
      </c>
      <c r="AJ54" s="25">
        <f t="shared" si="39"/>
        <v>30982</v>
      </c>
      <c r="AK54" s="26">
        <f t="shared" si="12"/>
        <v>110829.95</v>
      </c>
      <c r="AL54" s="25">
        <v>0</v>
      </c>
      <c r="AM54" s="25">
        <f t="shared" si="40"/>
        <v>34382</v>
      </c>
      <c r="AN54" s="26">
        <f t="shared" si="14"/>
        <v>34382</v>
      </c>
      <c r="AO54" s="24">
        <v>48</v>
      </c>
    </row>
    <row r="55" spans="1:41" x14ac:dyDescent="0.25">
      <c r="A55" s="8" t="s">
        <v>51</v>
      </c>
      <c r="B55" s="53">
        <f>B53*0.5</f>
        <v>2009.69</v>
      </c>
    </row>
    <row r="59" spans="1:41" x14ac:dyDescent="0.25"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41" ht="14.4" thickBot="1" x14ac:dyDescent="0.3">
      <c r="A60" s="8" t="s">
        <v>11</v>
      </c>
      <c r="D60" s="8" t="s">
        <v>12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41" ht="14.4" thickBot="1" x14ac:dyDescent="0.3">
      <c r="A61" s="27" t="s">
        <v>8</v>
      </c>
      <c r="B61" s="28">
        <v>13999</v>
      </c>
      <c r="D61" s="29" t="s">
        <v>15</v>
      </c>
      <c r="E61" s="30">
        <v>5988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41" ht="14.4" thickBot="1" x14ac:dyDescent="0.3">
      <c r="A62" s="13" t="s">
        <v>15</v>
      </c>
      <c r="B62" s="14">
        <v>1308</v>
      </c>
      <c r="D62" s="8" t="s">
        <v>19</v>
      </c>
      <c r="E62" s="8">
        <f>499</f>
        <v>499</v>
      </c>
      <c r="I62" s="17"/>
      <c r="J62" s="36"/>
      <c r="K62" s="211"/>
      <c r="L62" s="211"/>
      <c r="M62" s="211"/>
      <c r="N62" s="211"/>
      <c r="O62" s="211"/>
      <c r="P62" s="211"/>
      <c r="Q62" s="211"/>
      <c r="R62" s="211"/>
      <c r="S62" s="211"/>
      <c r="T62" s="210"/>
      <c r="U62" s="210"/>
      <c r="V62" s="210"/>
      <c r="W62" s="210"/>
      <c r="X62" s="210"/>
      <c r="Y62" s="210"/>
      <c r="Z62" s="210"/>
      <c r="AA62" s="210"/>
      <c r="AB62" s="210"/>
      <c r="AC62" s="17"/>
      <c r="AD62" s="17"/>
      <c r="AE62" s="17"/>
      <c r="AF62" s="17"/>
      <c r="AG62" s="17"/>
    </row>
    <row r="63" spans="1:41" ht="14.4" thickBot="1" x14ac:dyDescent="0.3">
      <c r="A63" s="8" t="s">
        <v>19</v>
      </c>
      <c r="B63" s="15">
        <f>B62/12</f>
        <v>109</v>
      </c>
      <c r="D63" s="31" t="s">
        <v>9</v>
      </c>
      <c r="E63" s="32">
        <f>600*4.1</f>
        <v>2460</v>
      </c>
      <c r="I63" s="17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17"/>
      <c r="AD63" s="17"/>
      <c r="AE63" s="17"/>
      <c r="AF63" s="17"/>
      <c r="AG63" s="17"/>
    </row>
    <row r="64" spans="1:41" ht="14.4" thickBot="1" x14ac:dyDescent="0.3">
      <c r="A64" s="33" t="s">
        <v>9</v>
      </c>
      <c r="B64" s="32">
        <f>600*4.1</f>
        <v>2460</v>
      </c>
      <c r="D64" s="34" t="s">
        <v>10</v>
      </c>
      <c r="E64" s="35">
        <f>400*2.35</f>
        <v>940</v>
      </c>
      <c r="I64" s="17"/>
      <c r="J64" s="44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17"/>
      <c r="AD64" s="17"/>
      <c r="AE64" s="17"/>
      <c r="AF64" s="17"/>
      <c r="AG64" s="17"/>
    </row>
    <row r="65" spans="1:41" ht="14.4" thickBot="1" x14ac:dyDescent="0.3">
      <c r="A65" s="34" t="s">
        <v>10</v>
      </c>
      <c r="B65" s="35">
        <f>400*2.35</f>
        <v>940</v>
      </c>
      <c r="D65" s="9" t="s">
        <v>49</v>
      </c>
      <c r="E65" s="12">
        <f>350*3.99</f>
        <v>1396.5</v>
      </c>
      <c r="I65" s="17"/>
      <c r="J65" s="44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17"/>
      <c r="AD65" s="17"/>
      <c r="AE65" s="17"/>
      <c r="AF65" s="17"/>
      <c r="AG65" s="17"/>
    </row>
    <row r="66" spans="1:41" ht="30" customHeight="1" x14ac:dyDescent="0.25">
      <c r="A66" s="9" t="s">
        <v>49</v>
      </c>
      <c r="B66" s="12">
        <f>350*3.99</f>
        <v>1396.5</v>
      </c>
      <c r="I66" s="17"/>
      <c r="J66" s="44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17"/>
      <c r="AD66" s="17"/>
      <c r="AE66" s="17"/>
      <c r="AF66" s="17"/>
      <c r="AG66" s="17"/>
    </row>
    <row r="67" spans="1:41" ht="19.8" customHeight="1" x14ac:dyDescent="0.25">
      <c r="A67" s="8" t="s">
        <v>102</v>
      </c>
      <c r="B67" s="8">
        <v>2900</v>
      </c>
      <c r="I67" s="17"/>
      <c r="J67" s="44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17"/>
      <c r="AD67" s="17"/>
      <c r="AE67" s="17"/>
      <c r="AF67" s="17"/>
      <c r="AG67" s="17"/>
    </row>
    <row r="68" spans="1:41" x14ac:dyDescent="0.25">
      <c r="A68" s="8" t="s">
        <v>101</v>
      </c>
      <c r="B68" s="8">
        <v>230</v>
      </c>
      <c r="I68" s="17"/>
      <c r="J68" s="44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17"/>
      <c r="AD68" s="17"/>
      <c r="AE68" s="17"/>
      <c r="AF68" s="17"/>
      <c r="AG68" s="17"/>
    </row>
    <row r="69" spans="1:41" x14ac:dyDescent="0.25">
      <c r="I69" s="17"/>
      <c r="J69" s="44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17"/>
      <c r="AD69" s="17"/>
      <c r="AE69" s="17"/>
      <c r="AF69" s="17"/>
      <c r="AG69" s="17"/>
    </row>
    <row r="70" spans="1:41" ht="14.4" thickBot="1" x14ac:dyDescent="0.3">
      <c r="G70" s="209" t="s">
        <v>47</v>
      </c>
      <c r="H70" s="209"/>
      <c r="I70" s="205" t="s">
        <v>17</v>
      </c>
      <c r="J70" s="205"/>
      <c r="Y70" s="204" t="s">
        <v>18</v>
      </c>
      <c r="Z70" s="205"/>
    </row>
    <row r="71" spans="1:41" ht="14.4" thickBot="1" x14ac:dyDescent="0.3">
      <c r="I71" s="22"/>
      <c r="J71" s="206" t="s">
        <v>0</v>
      </c>
      <c r="K71" s="207"/>
      <c r="L71" s="208"/>
      <c r="M71" s="206" t="s">
        <v>2</v>
      </c>
      <c r="N71" s="207"/>
      <c r="O71" s="208"/>
      <c r="P71" s="206" t="s">
        <v>3</v>
      </c>
      <c r="Q71" s="207"/>
      <c r="R71" s="208"/>
      <c r="S71" s="199" t="s">
        <v>170</v>
      </c>
      <c r="T71" s="200"/>
      <c r="U71" s="201"/>
      <c r="V71" s="199" t="s">
        <v>46</v>
      </c>
      <c r="W71" s="200"/>
      <c r="X71" s="201"/>
      <c r="Y71" s="22"/>
      <c r="Z71" s="206" t="s">
        <v>0</v>
      </c>
      <c r="AA71" s="207"/>
      <c r="AB71" s="208"/>
      <c r="AC71" s="206" t="s">
        <v>2</v>
      </c>
      <c r="AD71" s="207"/>
      <c r="AE71" s="208"/>
      <c r="AF71" s="206" t="s">
        <v>3</v>
      </c>
      <c r="AG71" s="207"/>
      <c r="AH71" s="208"/>
      <c r="AI71" s="199" t="s">
        <v>170</v>
      </c>
      <c r="AJ71" s="200"/>
      <c r="AK71" s="201"/>
      <c r="AL71" s="199" t="s">
        <v>46</v>
      </c>
      <c r="AM71" s="200"/>
      <c r="AN71" s="201"/>
    </row>
    <row r="72" spans="1:41" ht="42" thickBot="1" x14ac:dyDescent="0.3">
      <c r="I72" s="22" t="s">
        <v>4</v>
      </c>
      <c r="J72" s="23" t="s">
        <v>5</v>
      </c>
      <c r="K72" s="23" t="s">
        <v>6</v>
      </c>
      <c r="L72" s="22" t="s">
        <v>7</v>
      </c>
      <c r="M72" s="23" t="s">
        <v>5</v>
      </c>
      <c r="N72" s="23" t="s">
        <v>6</v>
      </c>
      <c r="O72" s="22" t="s">
        <v>7</v>
      </c>
      <c r="P72" s="23" t="s">
        <v>5</v>
      </c>
      <c r="Q72" s="23" t="s">
        <v>6</v>
      </c>
      <c r="R72" s="22" t="s">
        <v>7</v>
      </c>
      <c r="S72" s="23" t="s">
        <v>5</v>
      </c>
      <c r="T72" s="23" t="s">
        <v>6</v>
      </c>
      <c r="U72" s="22" t="s">
        <v>7</v>
      </c>
      <c r="V72" s="23" t="s">
        <v>5</v>
      </c>
      <c r="W72" s="23" t="s">
        <v>6</v>
      </c>
      <c r="X72" s="22" t="s">
        <v>7</v>
      </c>
      <c r="Y72" s="22" t="s">
        <v>4</v>
      </c>
      <c r="Z72" s="23" t="s">
        <v>5</v>
      </c>
      <c r="AA72" s="23" t="s">
        <v>6</v>
      </c>
      <c r="AB72" s="22" t="s">
        <v>7</v>
      </c>
      <c r="AC72" s="23" t="s">
        <v>5</v>
      </c>
      <c r="AD72" s="23" t="s">
        <v>6</v>
      </c>
      <c r="AE72" s="22" t="s">
        <v>7</v>
      </c>
      <c r="AF72" s="23" t="s">
        <v>5</v>
      </c>
      <c r="AG72" s="23" t="s">
        <v>6</v>
      </c>
      <c r="AH72" s="22" t="s">
        <v>7</v>
      </c>
      <c r="AI72" s="23" t="s">
        <v>5</v>
      </c>
      <c r="AJ72" s="23" t="s">
        <v>6</v>
      </c>
      <c r="AK72" s="22" t="s">
        <v>7</v>
      </c>
      <c r="AL72" s="23" t="s">
        <v>5</v>
      </c>
      <c r="AM72" s="23" t="s">
        <v>6</v>
      </c>
      <c r="AN72" s="22" t="s">
        <v>7</v>
      </c>
      <c r="AO72" s="22" t="s">
        <v>4</v>
      </c>
    </row>
    <row r="73" spans="1:41" ht="14.4" thickBot="1" x14ac:dyDescent="0.3">
      <c r="A73" s="57" t="s">
        <v>29</v>
      </c>
      <c r="B73" s="60">
        <f>SUM(B64:B66)</f>
        <v>4796.5</v>
      </c>
      <c r="I73" s="24">
        <v>0</v>
      </c>
      <c r="J73" s="25">
        <v>0</v>
      </c>
      <c r="K73" s="25">
        <v>0</v>
      </c>
      <c r="L73" s="26">
        <f>J73</f>
        <v>0</v>
      </c>
      <c r="M73" s="25">
        <f>0</f>
        <v>0</v>
      </c>
      <c r="N73" s="136">
        <f>E$89</f>
        <v>21726</v>
      </c>
      <c r="O73" s="26">
        <f>N73+M73</f>
        <v>21726</v>
      </c>
      <c r="P73" s="25">
        <v>0</v>
      </c>
      <c r="Q73" s="136">
        <f>E$89</f>
        <v>21726</v>
      </c>
      <c r="R73" s="26">
        <f>Q73+P73</f>
        <v>21726</v>
      </c>
      <c r="S73" s="8">
        <v>0</v>
      </c>
      <c r="T73" s="227">
        <f>$E$89</f>
        <v>21726</v>
      </c>
      <c r="U73" s="227">
        <f>T73+S73</f>
        <v>21726</v>
      </c>
      <c r="V73" s="25">
        <v>0</v>
      </c>
      <c r="W73" s="136">
        <f>$E$89</f>
        <v>21726</v>
      </c>
      <c r="X73" s="26">
        <f>W73+V73</f>
        <v>21726</v>
      </c>
      <c r="Y73" s="24">
        <v>0</v>
      </c>
      <c r="Z73" s="25"/>
      <c r="AA73" s="25"/>
      <c r="AB73" s="26">
        <f>L73</f>
        <v>0</v>
      </c>
      <c r="AC73" s="25">
        <f>M73</f>
        <v>0</v>
      </c>
      <c r="AD73" s="136">
        <f>$H$89</f>
        <v>7727</v>
      </c>
      <c r="AE73" s="26">
        <f>AD73+AC73</f>
        <v>7727</v>
      </c>
      <c r="AF73" s="25">
        <f>P73</f>
        <v>0</v>
      </c>
      <c r="AG73" s="136">
        <f>$H$89</f>
        <v>7727</v>
      </c>
      <c r="AH73" s="26">
        <f>AG73+AF73</f>
        <v>7727</v>
      </c>
      <c r="AI73" s="25">
        <f>S73</f>
        <v>0</v>
      </c>
      <c r="AJ73" s="136">
        <f>$H$89</f>
        <v>7727</v>
      </c>
      <c r="AK73" s="26">
        <f>AI73+AJ73</f>
        <v>7727</v>
      </c>
      <c r="AL73" s="25">
        <v>0</v>
      </c>
      <c r="AM73" s="136">
        <f>$H$89</f>
        <v>7727</v>
      </c>
      <c r="AN73" s="26">
        <f>AM73+AL73</f>
        <v>7727</v>
      </c>
      <c r="AO73" s="24">
        <v>0</v>
      </c>
    </row>
    <row r="74" spans="1:41" ht="14.4" thickBot="1" x14ac:dyDescent="0.3">
      <c r="A74" s="8" t="s">
        <v>52</v>
      </c>
      <c r="B74" s="53">
        <f>B73*0.25</f>
        <v>1199.125</v>
      </c>
      <c r="I74" s="24">
        <v>1</v>
      </c>
      <c r="J74" s="136">
        <f>B$97</f>
        <v>2691.5260000000003</v>
      </c>
      <c r="K74" s="25">
        <v>0</v>
      </c>
      <c r="L74" s="26">
        <f t="shared" ref="L74:L133" si="41">J74</f>
        <v>2691.5260000000003</v>
      </c>
      <c r="M74" s="231">
        <f>B$101</f>
        <v>1992.0375000000001</v>
      </c>
      <c r="N74" s="25">
        <f>N73+E$101</f>
        <v>21886.25</v>
      </c>
      <c r="O74" s="26">
        <f t="shared" ref="O74:O133" si="42">N74+M74</f>
        <v>23878.287499999999</v>
      </c>
      <c r="P74" s="25">
        <f>P73+B$102</f>
        <v>1328.0250000000001</v>
      </c>
      <c r="Q74" s="25">
        <f>Q73+E$102</f>
        <v>21937.5</v>
      </c>
      <c r="R74" s="26">
        <f t="shared" ref="R74:R133" si="43">Q74+P74</f>
        <v>23265.525000000001</v>
      </c>
      <c r="S74" s="15">
        <f>S73+B$103</f>
        <v>664.01250000000005</v>
      </c>
      <c r="T74" s="15">
        <f>T73+$E$103</f>
        <v>21988.75</v>
      </c>
      <c r="U74" s="227">
        <f t="shared" ref="U74:U133" si="44">T74+S74</f>
        <v>22652.762500000001</v>
      </c>
      <c r="V74" s="25">
        <v>0</v>
      </c>
      <c r="W74" s="25">
        <f>W73+$E$104</f>
        <v>22040</v>
      </c>
      <c r="X74" s="26">
        <f t="shared" ref="X74:X133" si="45">W74+V74</f>
        <v>22040</v>
      </c>
      <c r="Y74" s="24">
        <v>1</v>
      </c>
      <c r="Z74" s="25"/>
      <c r="AA74" s="25"/>
      <c r="AB74" s="26">
        <f t="shared" ref="AB74:AB133" si="46">L74</f>
        <v>2691.5260000000003</v>
      </c>
      <c r="AC74" s="25">
        <f t="shared" ref="AC74:AC133" si="47">M74</f>
        <v>1992.0375000000001</v>
      </c>
      <c r="AD74" s="25">
        <f>AD73+$G$101</f>
        <v>8277.25</v>
      </c>
      <c r="AE74" s="26">
        <f t="shared" ref="AE74:AE133" si="48">AD74+AC74</f>
        <v>10269.2875</v>
      </c>
      <c r="AF74" s="25">
        <f t="shared" ref="AF74:AF133" si="49">P74</f>
        <v>1328.0250000000001</v>
      </c>
      <c r="AG74" s="25">
        <f>AG73+$G$102</f>
        <v>8328.5</v>
      </c>
      <c r="AH74" s="26">
        <f t="shared" ref="AH74:AH133" si="50">AG74+AF74</f>
        <v>9656.5249999999996</v>
      </c>
      <c r="AI74" s="25">
        <f t="shared" ref="AI74:AI133" si="51">S74</f>
        <v>664.01250000000005</v>
      </c>
      <c r="AJ74" s="25">
        <f>AJ73+$G$103</f>
        <v>8379.75</v>
      </c>
      <c r="AK74" s="26">
        <f t="shared" ref="AK74:AK133" si="52">AI74+AJ74</f>
        <v>9043.7625000000007</v>
      </c>
      <c r="AL74" s="25">
        <v>0</v>
      </c>
      <c r="AM74" s="25">
        <f>AM73+$G$104</f>
        <v>8431</v>
      </c>
      <c r="AN74" s="26">
        <f t="shared" ref="AN74:AN133" si="53">AM74+AL74</f>
        <v>8431</v>
      </c>
      <c r="AO74" s="24">
        <v>1</v>
      </c>
    </row>
    <row r="75" spans="1:41" ht="14.4" thickBot="1" x14ac:dyDescent="0.3">
      <c r="A75" s="8" t="s">
        <v>53</v>
      </c>
      <c r="B75" s="53">
        <f>B73*0.5</f>
        <v>2398.25</v>
      </c>
      <c r="I75" s="24">
        <v>2</v>
      </c>
      <c r="J75" s="136">
        <f>J74+B$97</f>
        <v>5383.0520000000006</v>
      </c>
      <c r="K75" s="25">
        <v>0</v>
      </c>
      <c r="L75" s="26">
        <f t="shared" si="41"/>
        <v>5383.0520000000006</v>
      </c>
      <c r="M75" s="231">
        <f>M74+B$101</f>
        <v>3984.0750000000003</v>
      </c>
      <c r="N75" s="25">
        <f>N74+E$101</f>
        <v>22046.5</v>
      </c>
      <c r="O75" s="26">
        <f t="shared" si="42"/>
        <v>26030.575000000001</v>
      </c>
      <c r="P75" s="25">
        <f>P74+B$102</f>
        <v>2656.05</v>
      </c>
      <c r="Q75" s="25">
        <f>Q74+E$102</f>
        <v>22149</v>
      </c>
      <c r="R75" s="26">
        <f t="shared" si="43"/>
        <v>24805.05</v>
      </c>
      <c r="S75" s="15">
        <f>S74+B$103</f>
        <v>1328.0250000000001</v>
      </c>
      <c r="T75" s="15">
        <f>T74+$E$103</f>
        <v>22251.5</v>
      </c>
      <c r="U75" s="227">
        <f t="shared" si="44"/>
        <v>23579.525000000001</v>
      </c>
      <c r="V75" s="25">
        <v>0</v>
      </c>
      <c r="W75" s="25">
        <f t="shared" ref="W75:W133" si="54">W74+$E$104</f>
        <v>22354</v>
      </c>
      <c r="X75" s="26">
        <f t="shared" si="45"/>
        <v>22354</v>
      </c>
      <c r="Y75" s="24">
        <v>2</v>
      </c>
      <c r="Z75" s="25"/>
      <c r="AA75" s="25"/>
      <c r="AB75" s="26">
        <f t="shared" si="46"/>
        <v>5383.0520000000006</v>
      </c>
      <c r="AC75" s="25">
        <f t="shared" si="47"/>
        <v>3984.0750000000003</v>
      </c>
      <c r="AD75" s="25">
        <f t="shared" ref="AD75:AD133" si="55">AD74+$G$101</f>
        <v>8827.5</v>
      </c>
      <c r="AE75" s="26">
        <f t="shared" si="48"/>
        <v>12811.575000000001</v>
      </c>
      <c r="AF75" s="25">
        <f t="shared" si="49"/>
        <v>2656.05</v>
      </c>
      <c r="AG75" s="25">
        <f t="shared" ref="AG75:AG133" si="56">AG74+$G$102</f>
        <v>8930</v>
      </c>
      <c r="AH75" s="26">
        <f t="shared" si="50"/>
        <v>11586.05</v>
      </c>
      <c r="AI75" s="25">
        <f t="shared" si="51"/>
        <v>1328.0250000000001</v>
      </c>
      <c r="AJ75" s="25">
        <f t="shared" ref="AJ75:AJ133" si="57">AJ74+$G$103</f>
        <v>9032.5</v>
      </c>
      <c r="AK75" s="26">
        <f t="shared" si="52"/>
        <v>10360.525</v>
      </c>
      <c r="AL75" s="25">
        <v>0</v>
      </c>
      <c r="AM75" s="25">
        <f t="shared" ref="AM75:AM133" si="58">AM74+$G$104</f>
        <v>9135</v>
      </c>
      <c r="AN75" s="26">
        <f t="shared" si="53"/>
        <v>9135</v>
      </c>
      <c r="AO75" s="24">
        <v>2</v>
      </c>
    </row>
    <row r="76" spans="1:41" ht="14.4" thickBot="1" x14ac:dyDescent="0.3">
      <c r="I76" s="24">
        <v>3</v>
      </c>
      <c r="J76" s="136">
        <f t="shared" ref="J76:J133" si="59">J75+B$97</f>
        <v>8074.5780000000013</v>
      </c>
      <c r="K76" s="25">
        <v>0</v>
      </c>
      <c r="L76" s="26">
        <f t="shared" si="41"/>
        <v>8074.5780000000013</v>
      </c>
      <c r="M76" s="231">
        <f>M75+B$101</f>
        <v>5976.1125000000002</v>
      </c>
      <c r="N76" s="25">
        <f>N75+E$101</f>
        <v>22206.75</v>
      </c>
      <c r="O76" s="26">
        <f t="shared" si="42"/>
        <v>28182.862499999999</v>
      </c>
      <c r="P76" s="25">
        <f>P75+B$102</f>
        <v>3984.0750000000003</v>
      </c>
      <c r="Q76" s="25">
        <f>Q75+E$102</f>
        <v>22360.5</v>
      </c>
      <c r="R76" s="26">
        <f t="shared" si="43"/>
        <v>26344.575000000001</v>
      </c>
      <c r="S76" s="15">
        <f t="shared" ref="S76:S133" si="60">S75+B$103</f>
        <v>1992.0375000000001</v>
      </c>
      <c r="T76" s="15">
        <f t="shared" ref="T76:T133" si="61">T75+$E$103</f>
        <v>22514.25</v>
      </c>
      <c r="U76" s="227">
        <f t="shared" si="44"/>
        <v>24506.287499999999</v>
      </c>
      <c r="V76" s="25">
        <v>0</v>
      </c>
      <c r="W76" s="25">
        <f t="shared" si="54"/>
        <v>22668</v>
      </c>
      <c r="X76" s="26">
        <f t="shared" si="45"/>
        <v>22668</v>
      </c>
      <c r="Y76" s="24">
        <v>3</v>
      </c>
      <c r="Z76" s="25"/>
      <c r="AA76" s="25"/>
      <c r="AB76" s="26">
        <f t="shared" si="46"/>
        <v>8074.5780000000013</v>
      </c>
      <c r="AC76" s="25">
        <f t="shared" si="47"/>
        <v>5976.1125000000002</v>
      </c>
      <c r="AD76" s="25">
        <f t="shared" si="55"/>
        <v>9377.75</v>
      </c>
      <c r="AE76" s="26">
        <f t="shared" si="48"/>
        <v>15353.862499999999</v>
      </c>
      <c r="AF76" s="25">
        <f t="shared" si="49"/>
        <v>3984.0750000000003</v>
      </c>
      <c r="AG76" s="25">
        <f t="shared" si="56"/>
        <v>9531.5</v>
      </c>
      <c r="AH76" s="26">
        <f t="shared" si="50"/>
        <v>13515.575000000001</v>
      </c>
      <c r="AI76" s="25">
        <f t="shared" si="51"/>
        <v>1992.0375000000001</v>
      </c>
      <c r="AJ76" s="25">
        <f t="shared" si="57"/>
        <v>9685.25</v>
      </c>
      <c r="AK76" s="26">
        <f t="shared" si="52"/>
        <v>11677.2875</v>
      </c>
      <c r="AL76" s="25">
        <v>0</v>
      </c>
      <c r="AM76" s="25">
        <f t="shared" si="58"/>
        <v>9839</v>
      </c>
      <c r="AN76" s="26">
        <f t="shared" si="53"/>
        <v>9839</v>
      </c>
      <c r="AO76" s="24">
        <v>3</v>
      </c>
    </row>
    <row r="77" spans="1:41" ht="14.4" thickBot="1" x14ac:dyDescent="0.3">
      <c r="I77" s="24">
        <v>4</v>
      </c>
      <c r="J77" s="136">
        <f t="shared" si="59"/>
        <v>10766.104000000001</v>
      </c>
      <c r="K77" s="25">
        <v>0</v>
      </c>
      <c r="L77" s="26">
        <f t="shared" si="41"/>
        <v>10766.104000000001</v>
      </c>
      <c r="M77" s="231">
        <f>M76+B$101</f>
        <v>7968.1500000000005</v>
      </c>
      <c r="N77" s="25">
        <f>N76+E$101</f>
        <v>22367</v>
      </c>
      <c r="O77" s="26">
        <f t="shared" si="42"/>
        <v>30335.15</v>
      </c>
      <c r="P77" s="25">
        <f>P76+B$102</f>
        <v>5312.1</v>
      </c>
      <c r="Q77" s="25">
        <f>Q76+E$102</f>
        <v>22572</v>
      </c>
      <c r="R77" s="26">
        <f t="shared" si="43"/>
        <v>27884.1</v>
      </c>
      <c r="S77" s="15">
        <f t="shared" si="60"/>
        <v>2656.05</v>
      </c>
      <c r="T77" s="15">
        <f t="shared" si="61"/>
        <v>22777</v>
      </c>
      <c r="U77" s="227">
        <f t="shared" si="44"/>
        <v>25433.05</v>
      </c>
      <c r="V77" s="25">
        <v>0</v>
      </c>
      <c r="W77" s="25">
        <f t="shared" si="54"/>
        <v>22982</v>
      </c>
      <c r="X77" s="26">
        <f t="shared" si="45"/>
        <v>22982</v>
      </c>
      <c r="Y77" s="24">
        <v>4</v>
      </c>
      <c r="Z77" s="25"/>
      <c r="AA77" s="25"/>
      <c r="AB77" s="26">
        <f t="shared" si="46"/>
        <v>10766.104000000001</v>
      </c>
      <c r="AC77" s="25">
        <f t="shared" si="47"/>
        <v>7968.1500000000005</v>
      </c>
      <c r="AD77" s="25">
        <f t="shared" si="55"/>
        <v>9928</v>
      </c>
      <c r="AE77" s="26">
        <f t="shared" si="48"/>
        <v>17896.150000000001</v>
      </c>
      <c r="AF77" s="25">
        <f t="shared" si="49"/>
        <v>5312.1</v>
      </c>
      <c r="AG77" s="25">
        <f t="shared" si="56"/>
        <v>10133</v>
      </c>
      <c r="AH77" s="26">
        <f t="shared" si="50"/>
        <v>15445.1</v>
      </c>
      <c r="AI77" s="25">
        <f t="shared" si="51"/>
        <v>2656.05</v>
      </c>
      <c r="AJ77" s="25">
        <f t="shared" si="57"/>
        <v>10338</v>
      </c>
      <c r="AK77" s="26">
        <f t="shared" si="52"/>
        <v>12994.05</v>
      </c>
      <c r="AL77" s="25">
        <v>0</v>
      </c>
      <c r="AM77" s="25">
        <f t="shared" si="58"/>
        <v>10543</v>
      </c>
      <c r="AN77" s="26">
        <f t="shared" si="53"/>
        <v>10543</v>
      </c>
      <c r="AO77" s="24">
        <v>4</v>
      </c>
    </row>
    <row r="78" spans="1:41" ht="14.4" thickBot="1" x14ac:dyDescent="0.3">
      <c r="I78" s="24">
        <v>5</v>
      </c>
      <c r="J78" s="136">
        <f t="shared" si="59"/>
        <v>13457.630000000001</v>
      </c>
      <c r="K78" s="25">
        <v>0</v>
      </c>
      <c r="L78" s="26">
        <f t="shared" si="41"/>
        <v>13457.630000000001</v>
      </c>
      <c r="M78" s="231">
        <f>M77+B$101</f>
        <v>9960.1875</v>
      </c>
      <c r="N78" s="25">
        <f>N77+E$101</f>
        <v>22527.25</v>
      </c>
      <c r="O78" s="26">
        <f t="shared" si="42"/>
        <v>32487.4375</v>
      </c>
      <c r="P78" s="25">
        <f>P77+B$102</f>
        <v>6640.125</v>
      </c>
      <c r="Q78" s="25">
        <f>Q77+E$102</f>
        <v>22783.5</v>
      </c>
      <c r="R78" s="26">
        <f t="shared" si="43"/>
        <v>29423.625</v>
      </c>
      <c r="S78" s="15">
        <f t="shared" si="60"/>
        <v>3320.0625</v>
      </c>
      <c r="T78" s="15">
        <f t="shared" si="61"/>
        <v>23039.75</v>
      </c>
      <c r="U78" s="227">
        <f t="shared" si="44"/>
        <v>26359.8125</v>
      </c>
      <c r="V78" s="25">
        <v>0</v>
      </c>
      <c r="W78" s="25">
        <f t="shared" si="54"/>
        <v>23296</v>
      </c>
      <c r="X78" s="26">
        <f t="shared" si="45"/>
        <v>23296</v>
      </c>
      <c r="Y78" s="24">
        <v>5</v>
      </c>
      <c r="Z78" s="25"/>
      <c r="AA78" s="25"/>
      <c r="AB78" s="26">
        <f t="shared" si="46"/>
        <v>13457.630000000001</v>
      </c>
      <c r="AC78" s="25">
        <f t="shared" si="47"/>
        <v>9960.1875</v>
      </c>
      <c r="AD78" s="25">
        <f t="shared" si="55"/>
        <v>10478.25</v>
      </c>
      <c r="AE78" s="26">
        <f t="shared" si="48"/>
        <v>20438.4375</v>
      </c>
      <c r="AF78" s="25">
        <f t="shared" si="49"/>
        <v>6640.125</v>
      </c>
      <c r="AG78" s="25">
        <f t="shared" si="56"/>
        <v>10734.5</v>
      </c>
      <c r="AH78" s="26">
        <f t="shared" si="50"/>
        <v>17374.625</v>
      </c>
      <c r="AI78" s="25">
        <f t="shared" si="51"/>
        <v>3320.0625</v>
      </c>
      <c r="AJ78" s="25">
        <f t="shared" si="57"/>
        <v>10990.75</v>
      </c>
      <c r="AK78" s="26">
        <f t="shared" si="52"/>
        <v>14310.8125</v>
      </c>
      <c r="AL78" s="25">
        <v>0</v>
      </c>
      <c r="AM78" s="25">
        <f t="shared" si="58"/>
        <v>11247</v>
      </c>
      <c r="AN78" s="26">
        <f t="shared" si="53"/>
        <v>11247</v>
      </c>
      <c r="AO78" s="24">
        <v>5</v>
      </c>
    </row>
    <row r="79" spans="1:41" ht="14.4" thickBot="1" x14ac:dyDescent="0.3">
      <c r="I79" s="24">
        <v>6</v>
      </c>
      <c r="J79" s="136">
        <f t="shared" si="59"/>
        <v>16149.156000000001</v>
      </c>
      <c r="K79" s="25">
        <v>0</v>
      </c>
      <c r="L79" s="26">
        <f t="shared" si="41"/>
        <v>16149.156000000001</v>
      </c>
      <c r="M79" s="231">
        <f>M78+B$101</f>
        <v>11952.225</v>
      </c>
      <c r="N79" s="25">
        <f>N78+E$101</f>
        <v>22687.5</v>
      </c>
      <c r="O79" s="26">
        <f t="shared" si="42"/>
        <v>34639.724999999999</v>
      </c>
      <c r="P79" s="25">
        <f>P78+B$102</f>
        <v>7968.15</v>
      </c>
      <c r="Q79" s="25">
        <f>Q78+E$102</f>
        <v>22995</v>
      </c>
      <c r="R79" s="26">
        <f t="shared" si="43"/>
        <v>30963.15</v>
      </c>
      <c r="S79" s="15">
        <f t="shared" si="60"/>
        <v>3984.0749999999998</v>
      </c>
      <c r="T79" s="15">
        <f t="shared" si="61"/>
        <v>23302.5</v>
      </c>
      <c r="U79" s="227">
        <f t="shared" si="44"/>
        <v>27286.575000000001</v>
      </c>
      <c r="V79" s="25">
        <v>0</v>
      </c>
      <c r="W79" s="25">
        <f t="shared" si="54"/>
        <v>23610</v>
      </c>
      <c r="X79" s="26">
        <f t="shared" si="45"/>
        <v>23610</v>
      </c>
      <c r="Y79" s="24">
        <v>6</v>
      </c>
      <c r="Z79" s="25"/>
      <c r="AA79" s="25"/>
      <c r="AB79" s="26">
        <f t="shared" si="46"/>
        <v>16149.156000000001</v>
      </c>
      <c r="AC79" s="25">
        <f t="shared" si="47"/>
        <v>11952.225</v>
      </c>
      <c r="AD79" s="25">
        <f t="shared" si="55"/>
        <v>11028.5</v>
      </c>
      <c r="AE79" s="26">
        <f t="shared" si="48"/>
        <v>22980.724999999999</v>
      </c>
      <c r="AF79" s="25">
        <f t="shared" si="49"/>
        <v>7968.15</v>
      </c>
      <c r="AG79" s="25">
        <f t="shared" si="56"/>
        <v>11336</v>
      </c>
      <c r="AH79" s="26">
        <f t="shared" si="50"/>
        <v>19304.150000000001</v>
      </c>
      <c r="AI79" s="25">
        <f t="shared" si="51"/>
        <v>3984.0749999999998</v>
      </c>
      <c r="AJ79" s="25">
        <f t="shared" si="57"/>
        <v>11643.5</v>
      </c>
      <c r="AK79" s="26">
        <f t="shared" si="52"/>
        <v>15627.575000000001</v>
      </c>
      <c r="AL79" s="25">
        <v>0</v>
      </c>
      <c r="AM79" s="25">
        <f t="shared" si="58"/>
        <v>11951</v>
      </c>
      <c r="AN79" s="26">
        <f t="shared" si="53"/>
        <v>11951</v>
      </c>
      <c r="AO79" s="24">
        <v>6</v>
      </c>
    </row>
    <row r="80" spans="1:41" ht="14.4" thickBot="1" x14ac:dyDescent="0.3">
      <c r="I80" s="24">
        <v>7</v>
      </c>
      <c r="J80" s="136">
        <f t="shared" si="59"/>
        <v>18840.682000000001</v>
      </c>
      <c r="K80" s="25">
        <v>0</v>
      </c>
      <c r="L80" s="26">
        <f t="shared" si="41"/>
        <v>18840.682000000001</v>
      </c>
      <c r="M80" s="231">
        <f>M79+B$101</f>
        <v>13944.262500000001</v>
      </c>
      <c r="N80" s="25">
        <f>N79+E$101</f>
        <v>22847.75</v>
      </c>
      <c r="O80" s="26">
        <f t="shared" si="42"/>
        <v>36792.012499999997</v>
      </c>
      <c r="P80" s="25">
        <f>P79+B$102</f>
        <v>9296.1749999999993</v>
      </c>
      <c r="Q80" s="25">
        <f>Q79+E$102</f>
        <v>23206.5</v>
      </c>
      <c r="R80" s="26">
        <f t="shared" si="43"/>
        <v>32502.674999999999</v>
      </c>
      <c r="S80" s="15">
        <f t="shared" si="60"/>
        <v>4648.0874999999996</v>
      </c>
      <c r="T80" s="15">
        <f t="shared" si="61"/>
        <v>23565.25</v>
      </c>
      <c r="U80" s="227">
        <f t="shared" si="44"/>
        <v>28213.337500000001</v>
      </c>
      <c r="V80" s="25">
        <v>0</v>
      </c>
      <c r="W80" s="25">
        <f t="shared" si="54"/>
        <v>23924</v>
      </c>
      <c r="X80" s="26">
        <f t="shared" si="45"/>
        <v>23924</v>
      </c>
      <c r="Y80" s="24">
        <v>7</v>
      </c>
      <c r="Z80" s="25"/>
      <c r="AA80" s="25"/>
      <c r="AB80" s="26">
        <f t="shared" si="46"/>
        <v>18840.682000000001</v>
      </c>
      <c r="AC80" s="25">
        <f t="shared" si="47"/>
        <v>13944.262500000001</v>
      </c>
      <c r="AD80" s="25">
        <f t="shared" si="55"/>
        <v>11578.75</v>
      </c>
      <c r="AE80" s="26">
        <f t="shared" si="48"/>
        <v>25523.012500000001</v>
      </c>
      <c r="AF80" s="25">
        <f t="shared" si="49"/>
        <v>9296.1749999999993</v>
      </c>
      <c r="AG80" s="25">
        <f t="shared" si="56"/>
        <v>11937.5</v>
      </c>
      <c r="AH80" s="26">
        <f t="shared" si="50"/>
        <v>21233.674999999999</v>
      </c>
      <c r="AI80" s="25">
        <f t="shared" si="51"/>
        <v>4648.0874999999996</v>
      </c>
      <c r="AJ80" s="25">
        <f t="shared" si="57"/>
        <v>12296.25</v>
      </c>
      <c r="AK80" s="26">
        <f t="shared" si="52"/>
        <v>16944.337500000001</v>
      </c>
      <c r="AL80" s="25">
        <v>0</v>
      </c>
      <c r="AM80" s="25">
        <f t="shared" si="58"/>
        <v>12655</v>
      </c>
      <c r="AN80" s="26">
        <f t="shared" si="53"/>
        <v>12655</v>
      </c>
      <c r="AO80" s="24">
        <v>7</v>
      </c>
    </row>
    <row r="81" spans="1:41" ht="15" thickBot="1" x14ac:dyDescent="0.35">
      <c r="A81" s="191" t="s">
        <v>40</v>
      </c>
      <c r="B81" s="192"/>
      <c r="C81" s="175"/>
      <c r="D81" s="192" t="s">
        <v>160</v>
      </c>
      <c r="E81" s="192"/>
      <c r="F81" s="133"/>
      <c r="G81" s="192" t="s">
        <v>159</v>
      </c>
      <c r="H81" s="193"/>
      <c r="I81" s="24">
        <v>8</v>
      </c>
      <c r="J81" s="136">
        <f t="shared" si="59"/>
        <v>21532.208000000002</v>
      </c>
      <c r="K81" s="25">
        <v>0</v>
      </c>
      <c r="L81" s="26">
        <f t="shared" si="41"/>
        <v>21532.208000000002</v>
      </c>
      <c r="M81" s="231">
        <f>M80+B$101</f>
        <v>15936.300000000001</v>
      </c>
      <c r="N81" s="25">
        <f>N80+E$101</f>
        <v>23008</v>
      </c>
      <c r="O81" s="26">
        <f t="shared" si="42"/>
        <v>38944.300000000003</v>
      </c>
      <c r="P81" s="25">
        <f>P80+B$102</f>
        <v>10624.199999999999</v>
      </c>
      <c r="Q81" s="25">
        <f>Q80+E$102</f>
        <v>23418</v>
      </c>
      <c r="R81" s="26">
        <f t="shared" si="43"/>
        <v>34042.199999999997</v>
      </c>
      <c r="S81" s="15">
        <f t="shared" si="60"/>
        <v>5312.0999999999995</v>
      </c>
      <c r="T81" s="15">
        <f t="shared" si="61"/>
        <v>23828</v>
      </c>
      <c r="U81" s="227">
        <f t="shared" si="44"/>
        <v>29140.1</v>
      </c>
      <c r="V81" s="25">
        <v>0</v>
      </c>
      <c r="W81" s="25">
        <f t="shared" si="54"/>
        <v>24238</v>
      </c>
      <c r="X81" s="26">
        <f t="shared" si="45"/>
        <v>24238</v>
      </c>
      <c r="Y81" s="24">
        <v>8</v>
      </c>
      <c r="Z81" s="25"/>
      <c r="AA81" s="25"/>
      <c r="AB81" s="26">
        <f t="shared" si="46"/>
        <v>21532.208000000002</v>
      </c>
      <c r="AC81" s="25">
        <f t="shared" si="47"/>
        <v>15936.300000000001</v>
      </c>
      <c r="AD81" s="25">
        <f t="shared" si="55"/>
        <v>12129</v>
      </c>
      <c r="AE81" s="26">
        <f t="shared" si="48"/>
        <v>28065.300000000003</v>
      </c>
      <c r="AF81" s="25">
        <f t="shared" si="49"/>
        <v>10624.199999999999</v>
      </c>
      <c r="AG81" s="25">
        <f t="shared" si="56"/>
        <v>12539</v>
      </c>
      <c r="AH81" s="26">
        <f t="shared" si="50"/>
        <v>23163.199999999997</v>
      </c>
      <c r="AI81" s="25">
        <f t="shared" si="51"/>
        <v>5312.0999999999995</v>
      </c>
      <c r="AJ81" s="25">
        <f t="shared" si="57"/>
        <v>12949</v>
      </c>
      <c r="AK81" s="26">
        <f t="shared" si="52"/>
        <v>18261.099999999999</v>
      </c>
      <c r="AL81" s="25">
        <v>0</v>
      </c>
      <c r="AM81" s="25">
        <f t="shared" si="58"/>
        <v>13359</v>
      </c>
      <c r="AN81" s="26">
        <f t="shared" si="53"/>
        <v>13359</v>
      </c>
      <c r="AO81" s="24">
        <v>8</v>
      </c>
    </row>
    <row r="82" spans="1:41" ht="14.4" thickBot="1" x14ac:dyDescent="0.3">
      <c r="A82" s="104" t="s">
        <v>25</v>
      </c>
      <c r="B82" s="94" t="s">
        <v>26</v>
      </c>
      <c r="C82" s="16"/>
      <c r="D82" s="16" t="s">
        <v>25</v>
      </c>
      <c r="E82" s="94" t="s">
        <v>26</v>
      </c>
      <c r="F82" s="16"/>
      <c r="G82" s="17" t="s">
        <v>25</v>
      </c>
      <c r="H82" s="130" t="s">
        <v>26</v>
      </c>
      <c r="I82" s="24">
        <v>9</v>
      </c>
      <c r="J82" s="136">
        <f t="shared" si="59"/>
        <v>24223.734000000004</v>
      </c>
      <c r="K82" s="25">
        <v>0</v>
      </c>
      <c r="L82" s="26">
        <f t="shared" si="41"/>
        <v>24223.734000000004</v>
      </c>
      <c r="M82" s="231">
        <f>M81+B$101</f>
        <v>17928.337500000001</v>
      </c>
      <c r="N82" s="25">
        <f>N81+E$101</f>
        <v>23168.25</v>
      </c>
      <c r="O82" s="26">
        <f t="shared" si="42"/>
        <v>41096.587500000001</v>
      </c>
      <c r="P82" s="25">
        <f>P81+B$102</f>
        <v>11952.224999999999</v>
      </c>
      <c r="Q82" s="25">
        <f>Q81+E$102</f>
        <v>23629.5</v>
      </c>
      <c r="R82" s="26">
        <f t="shared" si="43"/>
        <v>35581.724999999999</v>
      </c>
      <c r="S82" s="15">
        <f t="shared" si="60"/>
        <v>5976.1124999999993</v>
      </c>
      <c r="T82" s="15">
        <f t="shared" si="61"/>
        <v>24090.75</v>
      </c>
      <c r="U82" s="227">
        <f t="shared" si="44"/>
        <v>30066.862499999999</v>
      </c>
      <c r="V82" s="25">
        <v>0</v>
      </c>
      <c r="W82" s="25">
        <f t="shared" si="54"/>
        <v>24552</v>
      </c>
      <c r="X82" s="26">
        <f t="shared" si="45"/>
        <v>24552</v>
      </c>
      <c r="Y82" s="24">
        <v>9</v>
      </c>
      <c r="Z82" s="25"/>
      <c r="AA82" s="25"/>
      <c r="AB82" s="26">
        <f t="shared" si="46"/>
        <v>24223.734000000004</v>
      </c>
      <c r="AC82" s="25">
        <f t="shared" si="47"/>
        <v>17928.337500000001</v>
      </c>
      <c r="AD82" s="25">
        <f t="shared" si="55"/>
        <v>12679.25</v>
      </c>
      <c r="AE82" s="26">
        <f t="shared" si="48"/>
        <v>30607.587500000001</v>
      </c>
      <c r="AF82" s="25">
        <f t="shared" si="49"/>
        <v>11952.224999999999</v>
      </c>
      <c r="AG82" s="25">
        <f t="shared" si="56"/>
        <v>13140.5</v>
      </c>
      <c r="AH82" s="26">
        <f t="shared" si="50"/>
        <v>25092.724999999999</v>
      </c>
      <c r="AI82" s="25">
        <f t="shared" si="51"/>
        <v>5976.1124999999993</v>
      </c>
      <c r="AJ82" s="25">
        <f t="shared" si="57"/>
        <v>13601.75</v>
      </c>
      <c r="AK82" s="26">
        <f t="shared" si="52"/>
        <v>19577.862499999999</v>
      </c>
      <c r="AL82" s="25">
        <v>0</v>
      </c>
      <c r="AM82" s="25">
        <f t="shared" si="58"/>
        <v>14063</v>
      </c>
      <c r="AN82" s="26">
        <f t="shared" si="53"/>
        <v>14063</v>
      </c>
      <c r="AO82" s="24">
        <v>9</v>
      </c>
    </row>
    <row r="83" spans="1:41" ht="15" thickBot="1" x14ac:dyDescent="0.35">
      <c r="A83" s="182"/>
      <c r="B83" s="183"/>
      <c r="C83" s="167"/>
      <c r="D83" s="167" t="s">
        <v>8</v>
      </c>
      <c r="E83" s="215">
        <v>13999</v>
      </c>
      <c r="F83" s="167"/>
      <c r="G83" s="183"/>
      <c r="H83" s="226"/>
      <c r="I83" s="24">
        <v>10</v>
      </c>
      <c r="J83" s="136">
        <f t="shared" si="59"/>
        <v>26915.260000000006</v>
      </c>
      <c r="K83" s="25">
        <v>0</v>
      </c>
      <c r="L83" s="26">
        <f t="shared" si="41"/>
        <v>26915.260000000006</v>
      </c>
      <c r="M83" s="231">
        <f>M82+B$101</f>
        <v>19920.375</v>
      </c>
      <c r="N83" s="25">
        <f>N82+E$101</f>
        <v>23328.5</v>
      </c>
      <c r="O83" s="26">
        <f t="shared" si="42"/>
        <v>43248.875</v>
      </c>
      <c r="P83" s="25">
        <f>P82+B$102</f>
        <v>13280.249999999998</v>
      </c>
      <c r="Q83" s="25">
        <f>Q82+E$102</f>
        <v>23841</v>
      </c>
      <c r="R83" s="26">
        <f t="shared" si="43"/>
        <v>37121.25</v>
      </c>
      <c r="S83" s="15">
        <f t="shared" si="60"/>
        <v>6640.1249999999991</v>
      </c>
      <c r="T83" s="15">
        <f t="shared" si="61"/>
        <v>24353.5</v>
      </c>
      <c r="U83" s="227">
        <f t="shared" si="44"/>
        <v>30993.625</v>
      </c>
      <c r="V83" s="25">
        <v>0</v>
      </c>
      <c r="W83" s="25">
        <f t="shared" si="54"/>
        <v>24866</v>
      </c>
      <c r="X83" s="26">
        <f t="shared" si="45"/>
        <v>24866</v>
      </c>
      <c r="Y83" s="24">
        <v>10</v>
      </c>
      <c r="Z83" s="25"/>
      <c r="AA83" s="25"/>
      <c r="AB83" s="26">
        <f t="shared" si="46"/>
        <v>26915.260000000006</v>
      </c>
      <c r="AC83" s="25">
        <f t="shared" si="47"/>
        <v>19920.375</v>
      </c>
      <c r="AD83" s="25">
        <f t="shared" si="55"/>
        <v>13229.5</v>
      </c>
      <c r="AE83" s="26">
        <f t="shared" si="48"/>
        <v>33149.875</v>
      </c>
      <c r="AF83" s="25">
        <f t="shared" si="49"/>
        <v>13280.249999999998</v>
      </c>
      <c r="AG83" s="25">
        <f t="shared" si="56"/>
        <v>13742</v>
      </c>
      <c r="AH83" s="26">
        <f t="shared" si="50"/>
        <v>27022.25</v>
      </c>
      <c r="AI83" s="25">
        <f t="shared" si="51"/>
        <v>6640.1249999999991</v>
      </c>
      <c r="AJ83" s="25">
        <f t="shared" si="57"/>
        <v>14254.5</v>
      </c>
      <c r="AK83" s="26">
        <f t="shared" si="52"/>
        <v>20894.625</v>
      </c>
      <c r="AL83" s="25">
        <v>0</v>
      </c>
      <c r="AM83" s="25">
        <f t="shared" si="58"/>
        <v>14767</v>
      </c>
      <c r="AN83" s="26">
        <f t="shared" si="53"/>
        <v>14767</v>
      </c>
      <c r="AO83" s="24">
        <v>10</v>
      </c>
    </row>
    <row r="84" spans="1:41" ht="15" thickBot="1" x14ac:dyDescent="0.35">
      <c r="A84" s="156"/>
      <c r="B84" s="1"/>
      <c r="C84" s="17"/>
      <c r="D84" s="17" t="s">
        <v>99</v>
      </c>
      <c r="E84" s="46">
        <v>2900</v>
      </c>
      <c r="F84" s="17"/>
      <c r="G84" s="17" t="s">
        <v>99</v>
      </c>
      <c r="H84" s="110">
        <v>2900</v>
      </c>
      <c r="I84" s="24">
        <v>11</v>
      </c>
      <c r="J84" s="136">
        <f t="shared" si="59"/>
        <v>29606.786000000007</v>
      </c>
      <c r="K84" s="25">
        <v>0</v>
      </c>
      <c r="L84" s="26">
        <f t="shared" si="41"/>
        <v>29606.786000000007</v>
      </c>
      <c r="M84" s="231">
        <f>M83+B$101</f>
        <v>21912.412499999999</v>
      </c>
      <c r="N84" s="25">
        <f>N83+E$101</f>
        <v>23488.75</v>
      </c>
      <c r="O84" s="26">
        <f t="shared" si="42"/>
        <v>45401.162499999999</v>
      </c>
      <c r="P84" s="25">
        <f>P83+B$102</f>
        <v>14608.274999999998</v>
      </c>
      <c r="Q84" s="25">
        <f>Q83+E$102</f>
        <v>24052.5</v>
      </c>
      <c r="R84" s="26">
        <f t="shared" si="43"/>
        <v>38660.774999999994</v>
      </c>
      <c r="S84" s="15">
        <f t="shared" si="60"/>
        <v>7304.1374999999989</v>
      </c>
      <c r="T84" s="15">
        <f t="shared" si="61"/>
        <v>24616.25</v>
      </c>
      <c r="U84" s="227">
        <f t="shared" si="44"/>
        <v>31920.387499999997</v>
      </c>
      <c r="V84" s="25">
        <v>0</v>
      </c>
      <c r="W84" s="25">
        <f t="shared" si="54"/>
        <v>25180</v>
      </c>
      <c r="X84" s="26">
        <f t="shared" si="45"/>
        <v>25180</v>
      </c>
      <c r="Y84" s="24">
        <v>11</v>
      </c>
      <c r="Z84" s="25"/>
      <c r="AA84" s="25"/>
      <c r="AB84" s="26">
        <f t="shared" si="46"/>
        <v>29606.786000000007</v>
      </c>
      <c r="AC84" s="25">
        <f t="shared" si="47"/>
        <v>21912.412499999999</v>
      </c>
      <c r="AD84" s="25">
        <f t="shared" si="55"/>
        <v>13779.75</v>
      </c>
      <c r="AE84" s="26">
        <f t="shared" si="48"/>
        <v>35692.162499999999</v>
      </c>
      <c r="AF84" s="25">
        <f t="shared" si="49"/>
        <v>14608.274999999998</v>
      </c>
      <c r="AG84" s="25">
        <f t="shared" si="56"/>
        <v>14343.5</v>
      </c>
      <c r="AH84" s="26">
        <f t="shared" si="50"/>
        <v>28951.774999999998</v>
      </c>
      <c r="AI84" s="25">
        <f t="shared" si="51"/>
        <v>7304.1374999999989</v>
      </c>
      <c r="AJ84" s="25">
        <f t="shared" si="57"/>
        <v>14907.25</v>
      </c>
      <c r="AK84" s="26">
        <f t="shared" si="52"/>
        <v>22211.387499999997</v>
      </c>
      <c r="AL84" s="25">
        <v>0</v>
      </c>
      <c r="AM84" s="25">
        <f t="shared" si="58"/>
        <v>15471</v>
      </c>
      <c r="AN84" s="26">
        <f t="shared" si="53"/>
        <v>15471</v>
      </c>
      <c r="AO84" s="24">
        <v>11</v>
      </c>
    </row>
    <row r="85" spans="1:41" ht="15" thickBot="1" x14ac:dyDescent="0.35">
      <c r="A85" s="156"/>
      <c r="B85" s="1"/>
      <c r="C85" s="17"/>
      <c r="D85" s="17" t="s">
        <v>111</v>
      </c>
      <c r="E85" s="48">
        <v>1797</v>
      </c>
      <c r="F85" s="17"/>
      <c r="G85" s="17" t="s">
        <v>111</v>
      </c>
      <c r="H85" s="130">
        <f>599*3</f>
        <v>1797</v>
      </c>
      <c r="I85" s="24">
        <v>12</v>
      </c>
      <c r="J85" s="136">
        <f t="shared" si="59"/>
        <v>32298.312000000009</v>
      </c>
      <c r="K85" s="25">
        <v>0</v>
      </c>
      <c r="L85" s="26">
        <f t="shared" si="41"/>
        <v>32298.312000000009</v>
      </c>
      <c r="M85" s="231">
        <f>M84+B$101</f>
        <v>23904.449999999997</v>
      </c>
      <c r="N85" s="25">
        <f>N84+E$101</f>
        <v>23649</v>
      </c>
      <c r="O85" s="26">
        <f t="shared" si="42"/>
        <v>47553.45</v>
      </c>
      <c r="P85" s="25">
        <f>P84+B$102</f>
        <v>15936.299999999997</v>
      </c>
      <c r="Q85" s="25">
        <f>Q84+E$102</f>
        <v>24264</v>
      </c>
      <c r="R85" s="26">
        <f t="shared" si="43"/>
        <v>40200.299999999996</v>
      </c>
      <c r="S85" s="15">
        <f t="shared" si="60"/>
        <v>7968.1499999999987</v>
      </c>
      <c r="T85" s="15">
        <f t="shared" si="61"/>
        <v>24879</v>
      </c>
      <c r="U85" s="227">
        <f t="shared" si="44"/>
        <v>32847.15</v>
      </c>
      <c r="V85" s="25">
        <v>0</v>
      </c>
      <c r="W85" s="25">
        <f t="shared" si="54"/>
        <v>25494</v>
      </c>
      <c r="X85" s="26">
        <f t="shared" si="45"/>
        <v>25494</v>
      </c>
      <c r="Y85" s="24">
        <v>12</v>
      </c>
      <c r="Z85" s="25"/>
      <c r="AA85" s="25"/>
      <c r="AB85" s="26">
        <f t="shared" si="46"/>
        <v>32298.312000000009</v>
      </c>
      <c r="AC85" s="25">
        <f t="shared" si="47"/>
        <v>23904.449999999997</v>
      </c>
      <c r="AD85" s="25">
        <f t="shared" si="55"/>
        <v>14330</v>
      </c>
      <c r="AE85" s="26">
        <f t="shared" si="48"/>
        <v>38234.449999999997</v>
      </c>
      <c r="AF85" s="25">
        <f t="shared" si="49"/>
        <v>15936.299999999997</v>
      </c>
      <c r="AG85" s="25">
        <f t="shared" si="56"/>
        <v>14945</v>
      </c>
      <c r="AH85" s="26">
        <f t="shared" si="50"/>
        <v>30881.299999999996</v>
      </c>
      <c r="AI85" s="25">
        <f t="shared" si="51"/>
        <v>7968.1499999999987</v>
      </c>
      <c r="AJ85" s="25">
        <f t="shared" si="57"/>
        <v>15560</v>
      </c>
      <c r="AK85" s="26">
        <f t="shared" si="52"/>
        <v>23528.149999999998</v>
      </c>
      <c r="AL85" s="25">
        <v>0</v>
      </c>
      <c r="AM85" s="25">
        <f t="shared" si="58"/>
        <v>16175</v>
      </c>
      <c r="AN85" s="26">
        <f t="shared" si="53"/>
        <v>16175</v>
      </c>
      <c r="AO85" s="24">
        <v>12</v>
      </c>
    </row>
    <row r="86" spans="1:41" ht="15" thickBot="1" x14ac:dyDescent="0.35">
      <c r="A86" s="156"/>
      <c r="B86" s="1"/>
      <c r="C86" s="17"/>
      <c r="D86" s="17" t="s">
        <v>27</v>
      </c>
      <c r="E86" s="48">
        <v>750</v>
      </c>
      <c r="F86" s="17"/>
      <c r="G86" s="17" t="s">
        <v>27</v>
      </c>
      <c r="H86" s="130">
        <v>750</v>
      </c>
      <c r="I86" s="24">
        <v>13</v>
      </c>
      <c r="J86" s="136">
        <f t="shared" si="59"/>
        <v>34989.838000000011</v>
      </c>
      <c r="K86" s="25">
        <v>0</v>
      </c>
      <c r="L86" s="26">
        <f t="shared" si="41"/>
        <v>34989.838000000011</v>
      </c>
      <c r="M86" s="231">
        <f>M85+B$101</f>
        <v>25896.487499999996</v>
      </c>
      <c r="N86" s="25">
        <f>N85+E$101</f>
        <v>23809.25</v>
      </c>
      <c r="O86" s="26">
        <f t="shared" si="42"/>
        <v>49705.737499999996</v>
      </c>
      <c r="P86" s="25">
        <f>P85+B$102</f>
        <v>17264.324999999997</v>
      </c>
      <c r="Q86" s="25">
        <f>Q85+E$102</f>
        <v>24475.5</v>
      </c>
      <c r="R86" s="26">
        <f t="shared" si="43"/>
        <v>41739.824999999997</v>
      </c>
      <c r="S86" s="15">
        <f t="shared" si="60"/>
        <v>8632.1624999999985</v>
      </c>
      <c r="T86" s="15">
        <f t="shared" si="61"/>
        <v>25141.75</v>
      </c>
      <c r="U86" s="227">
        <f t="shared" si="44"/>
        <v>33773.912499999999</v>
      </c>
      <c r="V86" s="25">
        <v>0</v>
      </c>
      <c r="W86" s="25">
        <f t="shared" si="54"/>
        <v>25808</v>
      </c>
      <c r="X86" s="26">
        <f t="shared" si="45"/>
        <v>25808</v>
      </c>
      <c r="Y86" s="24">
        <v>13</v>
      </c>
      <c r="Z86" s="25"/>
      <c r="AA86" s="25"/>
      <c r="AB86" s="26">
        <f t="shared" si="46"/>
        <v>34989.838000000011</v>
      </c>
      <c r="AC86" s="25">
        <f t="shared" si="47"/>
        <v>25896.487499999996</v>
      </c>
      <c r="AD86" s="25">
        <f t="shared" si="55"/>
        <v>14880.25</v>
      </c>
      <c r="AE86" s="26">
        <f t="shared" si="48"/>
        <v>40776.737499999996</v>
      </c>
      <c r="AF86" s="25">
        <f t="shared" si="49"/>
        <v>17264.324999999997</v>
      </c>
      <c r="AG86" s="25">
        <f t="shared" si="56"/>
        <v>15546.5</v>
      </c>
      <c r="AH86" s="26">
        <f t="shared" si="50"/>
        <v>32810.824999999997</v>
      </c>
      <c r="AI86" s="25">
        <f t="shared" si="51"/>
        <v>8632.1624999999985</v>
      </c>
      <c r="AJ86" s="25">
        <f t="shared" si="57"/>
        <v>16212.75</v>
      </c>
      <c r="AK86" s="26">
        <f t="shared" si="52"/>
        <v>24844.912499999999</v>
      </c>
      <c r="AL86" s="25">
        <v>0</v>
      </c>
      <c r="AM86" s="25">
        <f t="shared" si="58"/>
        <v>16879</v>
      </c>
      <c r="AN86" s="26">
        <f t="shared" si="53"/>
        <v>16879</v>
      </c>
      <c r="AO86" s="24">
        <v>13</v>
      </c>
    </row>
    <row r="87" spans="1:41" ht="15" thickBot="1" x14ac:dyDescent="0.35">
      <c r="A87" s="156"/>
      <c r="B87" s="1"/>
      <c r="C87" s="17"/>
      <c r="D87" s="17" t="s">
        <v>164</v>
      </c>
      <c r="E87" s="48">
        <f>500*4.1</f>
        <v>2050</v>
      </c>
      <c r="F87" s="17"/>
      <c r="G87" s="17" t="s">
        <v>163</v>
      </c>
      <c r="H87" s="130">
        <f>500*4.1</f>
        <v>2050</v>
      </c>
      <c r="I87" s="24">
        <v>14</v>
      </c>
      <c r="J87" s="136">
        <f t="shared" si="59"/>
        <v>37681.364000000009</v>
      </c>
      <c r="K87" s="25">
        <v>0</v>
      </c>
      <c r="L87" s="26">
        <f t="shared" si="41"/>
        <v>37681.364000000009</v>
      </c>
      <c r="M87" s="231">
        <f>M86+B$101</f>
        <v>27888.524999999994</v>
      </c>
      <c r="N87" s="25">
        <f>N86+E$101</f>
        <v>23969.5</v>
      </c>
      <c r="O87" s="26">
        <f t="shared" si="42"/>
        <v>51858.024999999994</v>
      </c>
      <c r="P87" s="25">
        <f>P86+B$102</f>
        <v>18592.349999999999</v>
      </c>
      <c r="Q87" s="25">
        <f>Q86+E$102</f>
        <v>24687</v>
      </c>
      <c r="R87" s="26">
        <f t="shared" si="43"/>
        <v>43279.35</v>
      </c>
      <c r="S87" s="15">
        <f t="shared" si="60"/>
        <v>9296.1749999999993</v>
      </c>
      <c r="T87" s="15">
        <f t="shared" si="61"/>
        <v>25404.5</v>
      </c>
      <c r="U87" s="227">
        <f t="shared" si="44"/>
        <v>34700.675000000003</v>
      </c>
      <c r="V87" s="25">
        <v>0</v>
      </c>
      <c r="W87" s="25">
        <f t="shared" si="54"/>
        <v>26122</v>
      </c>
      <c r="X87" s="26">
        <f t="shared" si="45"/>
        <v>26122</v>
      </c>
      <c r="Y87" s="24">
        <v>14</v>
      </c>
      <c r="Z87" s="25"/>
      <c r="AA87" s="25"/>
      <c r="AB87" s="26">
        <f t="shared" si="46"/>
        <v>37681.364000000009</v>
      </c>
      <c r="AC87" s="25">
        <f t="shared" si="47"/>
        <v>27888.524999999994</v>
      </c>
      <c r="AD87" s="25">
        <f t="shared" si="55"/>
        <v>15430.5</v>
      </c>
      <c r="AE87" s="26">
        <f t="shared" si="48"/>
        <v>43319.024999999994</v>
      </c>
      <c r="AF87" s="25">
        <f t="shared" si="49"/>
        <v>18592.349999999999</v>
      </c>
      <c r="AG87" s="25">
        <f t="shared" si="56"/>
        <v>16148</v>
      </c>
      <c r="AH87" s="26">
        <f t="shared" si="50"/>
        <v>34740.35</v>
      </c>
      <c r="AI87" s="25">
        <f t="shared" si="51"/>
        <v>9296.1749999999993</v>
      </c>
      <c r="AJ87" s="25">
        <f t="shared" si="57"/>
        <v>16865.5</v>
      </c>
      <c r="AK87" s="26">
        <f t="shared" si="52"/>
        <v>26161.674999999999</v>
      </c>
      <c r="AL87" s="25">
        <v>0</v>
      </c>
      <c r="AM87" s="25">
        <f t="shared" si="58"/>
        <v>17583</v>
      </c>
      <c r="AN87" s="26">
        <f t="shared" si="53"/>
        <v>17583</v>
      </c>
      <c r="AO87" s="24">
        <v>14</v>
      </c>
    </row>
    <row r="88" spans="1:41" ht="14.4" thickBot="1" x14ac:dyDescent="0.3">
      <c r="A88" s="106" t="s">
        <v>35</v>
      </c>
      <c r="B88" s="107">
        <v>303.8</v>
      </c>
      <c r="C88" s="17"/>
      <c r="D88" s="17" t="s">
        <v>100</v>
      </c>
      <c r="E88" s="46">
        <v>230</v>
      </c>
      <c r="F88" s="17"/>
      <c r="G88" s="17" t="s">
        <v>100</v>
      </c>
      <c r="H88" s="110">
        <v>230</v>
      </c>
      <c r="I88" s="24">
        <v>15</v>
      </c>
      <c r="J88" s="136">
        <f t="shared" si="59"/>
        <v>40372.890000000007</v>
      </c>
      <c r="K88" s="25">
        <v>0</v>
      </c>
      <c r="L88" s="26">
        <f t="shared" si="41"/>
        <v>40372.890000000007</v>
      </c>
      <c r="M88" s="231">
        <f>M87+B$101</f>
        <v>29880.562499999993</v>
      </c>
      <c r="N88" s="25">
        <f>N87+E$101</f>
        <v>24129.75</v>
      </c>
      <c r="O88" s="26">
        <f t="shared" si="42"/>
        <v>54010.312499999993</v>
      </c>
      <c r="P88" s="25">
        <f>P87+B$102</f>
        <v>19920.375</v>
      </c>
      <c r="Q88" s="25">
        <f>Q87+E$102</f>
        <v>24898.5</v>
      </c>
      <c r="R88" s="26">
        <f t="shared" si="43"/>
        <v>44818.875</v>
      </c>
      <c r="S88" s="15">
        <f t="shared" si="60"/>
        <v>9960.1875</v>
      </c>
      <c r="T88" s="15">
        <f t="shared" si="61"/>
        <v>25667.25</v>
      </c>
      <c r="U88" s="227">
        <f t="shared" si="44"/>
        <v>35627.4375</v>
      </c>
      <c r="V88" s="25">
        <v>0</v>
      </c>
      <c r="W88" s="25">
        <f t="shared" si="54"/>
        <v>26436</v>
      </c>
      <c r="X88" s="26">
        <f t="shared" si="45"/>
        <v>26436</v>
      </c>
      <c r="Y88" s="24">
        <v>15</v>
      </c>
      <c r="Z88" s="25"/>
      <c r="AA88" s="25"/>
      <c r="AB88" s="26">
        <f t="shared" si="46"/>
        <v>40372.890000000007</v>
      </c>
      <c r="AC88" s="25">
        <f t="shared" si="47"/>
        <v>29880.562499999993</v>
      </c>
      <c r="AD88" s="25">
        <f t="shared" si="55"/>
        <v>15980.75</v>
      </c>
      <c r="AE88" s="26">
        <f t="shared" si="48"/>
        <v>45861.312499999993</v>
      </c>
      <c r="AF88" s="25">
        <f t="shared" si="49"/>
        <v>19920.375</v>
      </c>
      <c r="AG88" s="25">
        <f t="shared" si="56"/>
        <v>16749.5</v>
      </c>
      <c r="AH88" s="26">
        <f t="shared" si="50"/>
        <v>36669.875</v>
      </c>
      <c r="AI88" s="25">
        <f t="shared" si="51"/>
        <v>9960.1875</v>
      </c>
      <c r="AJ88" s="25">
        <f t="shared" si="57"/>
        <v>17518.25</v>
      </c>
      <c r="AK88" s="26">
        <f t="shared" si="52"/>
        <v>27478.4375</v>
      </c>
      <c r="AL88" s="25">
        <v>0</v>
      </c>
      <c r="AM88" s="25">
        <f t="shared" si="58"/>
        <v>18287</v>
      </c>
      <c r="AN88" s="26">
        <f t="shared" si="53"/>
        <v>18287</v>
      </c>
      <c r="AO88" s="24">
        <v>15</v>
      </c>
    </row>
    <row r="89" spans="1:41" ht="14.4" thickBot="1" x14ac:dyDescent="0.3">
      <c r="A89" s="106" t="s">
        <v>36</v>
      </c>
      <c r="B89" s="107">
        <v>258.93</v>
      </c>
      <c r="C89" s="17"/>
      <c r="D89" s="47" t="s">
        <v>43</v>
      </c>
      <c r="E89" s="129">
        <f>SUM(E83:E88)</f>
        <v>21726</v>
      </c>
      <c r="F89" s="17"/>
      <c r="G89" s="47" t="s">
        <v>43</v>
      </c>
      <c r="H89" s="131">
        <f>SUM(H84:H88)</f>
        <v>7727</v>
      </c>
      <c r="I89" s="24">
        <v>16</v>
      </c>
      <c r="J89" s="136">
        <f t="shared" si="59"/>
        <v>43064.416000000005</v>
      </c>
      <c r="K89" s="25">
        <v>0</v>
      </c>
      <c r="L89" s="26">
        <f t="shared" si="41"/>
        <v>43064.416000000005</v>
      </c>
      <c r="M89" s="231">
        <f>M88+B$101</f>
        <v>31872.599999999991</v>
      </c>
      <c r="N89" s="25">
        <f>N88+E$101</f>
        <v>24290</v>
      </c>
      <c r="O89" s="26">
        <f t="shared" si="42"/>
        <v>56162.599999999991</v>
      </c>
      <c r="P89" s="25">
        <f>P88+B$102</f>
        <v>21248.400000000001</v>
      </c>
      <c r="Q89" s="25">
        <f>Q88+E$102</f>
        <v>25110</v>
      </c>
      <c r="R89" s="26">
        <f t="shared" si="43"/>
        <v>46358.400000000001</v>
      </c>
      <c r="S89" s="15">
        <f t="shared" si="60"/>
        <v>10624.2</v>
      </c>
      <c r="T89" s="15">
        <f t="shared" si="61"/>
        <v>25930</v>
      </c>
      <c r="U89" s="227">
        <f t="shared" si="44"/>
        <v>36554.199999999997</v>
      </c>
      <c r="V89" s="25">
        <v>0</v>
      </c>
      <c r="W89" s="25">
        <f t="shared" si="54"/>
        <v>26750</v>
      </c>
      <c r="X89" s="26">
        <f t="shared" si="45"/>
        <v>26750</v>
      </c>
      <c r="Y89" s="24">
        <v>16</v>
      </c>
      <c r="Z89" s="25"/>
      <c r="AA89" s="25"/>
      <c r="AB89" s="26">
        <f t="shared" si="46"/>
        <v>43064.416000000005</v>
      </c>
      <c r="AC89" s="25">
        <f t="shared" si="47"/>
        <v>31872.599999999991</v>
      </c>
      <c r="AD89" s="25">
        <f t="shared" si="55"/>
        <v>16531</v>
      </c>
      <c r="AE89" s="26">
        <f t="shared" si="48"/>
        <v>48403.599999999991</v>
      </c>
      <c r="AF89" s="25">
        <f t="shared" si="49"/>
        <v>21248.400000000001</v>
      </c>
      <c r="AG89" s="25">
        <f t="shared" si="56"/>
        <v>17351</v>
      </c>
      <c r="AH89" s="26">
        <f t="shared" si="50"/>
        <v>38599.4</v>
      </c>
      <c r="AI89" s="25">
        <f t="shared" si="51"/>
        <v>10624.2</v>
      </c>
      <c r="AJ89" s="25">
        <f t="shared" si="57"/>
        <v>18171</v>
      </c>
      <c r="AK89" s="26">
        <f t="shared" si="52"/>
        <v>28795.200000000001</v>
      </c>
      <c r="AL89" s="25">
        <v>0</v>
      </c>
      <c r="AM89" s="25">
        <f t="shared" si="58"/>
        <v>18991</v>
      </c>
      <c r="AN89" s="26">
        <f t="shared" si="53"/>
        <v>18991</v>
      </c>
      <c r="AO89" s="24">
        <v>16</v>
      </c>
    </row>
    <row r="90" spans="1:41" ht="15" thickBot="1" x14ac:dyDescent="0.35">
      <c r="A90" s="106" t="s">
        <v>37</v>
      </c>
      <c r="B90" s="107">
        <v>979.72</v>
      </c>
      <c r="C90" s="17"/>
      <c r="D90" s="1"/>
      <c r="E90" s="1"/>
      <c r="F90" s="17"/>
      <c r="G90" s="1"/>
      <c r="H90" s="170"/>
      <c r="I90" s="24">
        <v>17</v>
      </c>
      <c r="J90" s="136">
        <f t="shared" si="59"/>
        <v>45755.942000000003</v>
      </c>
      <c r="K90" s="25">
        <v>0</v>
      </c>
      <c r="L90" s="26">
        <f t="shared" si="41"/>
        <v>45755.942000000003</v>
      </c>
      <c r="M90" s="231">
        <f>M89+B$101</f>
        <v>33864.63749999999</v>
      </c>
      <c r="N90" s="25">
        <f>N89+E$101</f>
        <v>24450.25</v>
      </c>
      <c r="O90" s="26">
        <f t="shared" si="42"/>
        <v>58314.88749999999</v>
      </c>
      <c r="P90" s="25">
        <f>P89+B$102</f>
        <v>22576.425000000003</v>
      </c>
      <c r="Q90" s="25">
        <f>Q89+E$102</f>
        <v>25321.5</v>
      </c>
      <c r="R90" s="26">
        <f t="shared" si="43"/>
        <v>47897.925000000003</v>
      </c>
      <c r="S90" s="15">
        <f t="shared" si="60"/>
        <v>11288.212500000001</v>
      </c>
      <c r="T90" s="15">
        <f t="shared" si="61"/>
        <v>26192.75</v>
      </c>
      <c r="U90" s="227">
        <f t="shared" si="44"/>
        <v>37480.962500000001</v>
      </c>
      <c r="V90" s="25">
        <v>0</v>
      </c>
      <c r="W90" s="25">
        <f t="shared" si="54"/>
        <v>27064</v>
      </c>
      <c r="X90" s="26">
        <f t="shared" si="45"/>
        <v>27064</v>
      </c>
      <c r="Y90" s="24">
        <v>17</v>
      </c>
      <c r="Z90" s="25"/>
      <c r="AA90" s="25"/>
      <c r="AB90" s="26">
        <f t="shared" si="46"/>
        <v>45755.942000000003</v>
      </c>
      <c r="AC90" s="25">
        <f t="shared" si="47"/>
        <v>33864.63749999999</v>
      </c>
      <c r="AD90" s="25">
        <f t="shared" si="55"/>
        <v>17081.25</v>
      </c>
      <c r="AE90" s="26">
        <f t="shared" si="48"/>
        <v>50945.88749999999</v>
      </c>
      <c r="AF90" s="25">
        <f t="shared" si="49"/>
        <v>22576.425000000003</v>
      </c>
      <c r="AG90" s="25">
        <f t="shared" si="56"/>
        <v>17952.5</v>
      </c>
      <c r="AH90" s="26">
        <f t="shared" si="50"/>
        <v>40528.925000000003</v>
      </c>
      <c r="AI90" s="25">
        <f t="shared" si="51"/>
        <v>11288.212500000001</v>
      </c>
      <c r="AJ90" s="25">
        <f t="shared" si="57"/>
        <v>18823.75</v>
      </c>
      <c r="AK90" s="26">
        <f t="shared" si="52"/>
        <v>30111.962500000001</v>
      </c>
      <c r="AL90" s="25">
        <v>0</v>
      </c>
      <c r="AM90" s="25">
        <f t="shared" si="58"/>
        <v>19695</v>
      </c>
      <c r="AN90" s="26">
        <f t="shared" si="53"/>
        <v>19695</v>
      </c>
      <c r="AO90" s="24">
        <v>17</v>
      </c>
    </row>
    <row r="91" spans="1:41" ht="14.4" thickBot="1" x14ac:dyDescent="0.3">
      <c r="A91" s="106" t="s">
        <v>38</v>
      </c>
      <c r="B91" s="107">
        <v>1113.5999999999999</v>
      </c>
      <c r="C91" s="17"/>
      <c r="D91" s="180" t="s">
        <v>155</v>
      </c>
      <c r="E91" s="219">
        <v>4100</v>
      </c>
      <c r="F91" s="17"/>
      <c r="G91" s="180" t="s">
        <v>155</v>
      </c>
      <c r="H91" s="169">
        <v>4100</v>
      </c>
      <c r="I91" s="37">
        <v>18</v>
      </c>
      <c r="J91" s="136">
        <f t="shared" si="59"/>
        <v>48447.468000000001</v>
      </c>
      <c r="K91" s="38">
        <v>0</v>
      </c>
      <c r="L91" s="26">
        <f t="shared" si="41"/>
        <v>48447.468000000001</v>
      </c>
      <c r="M91" s="231">
        <f>M90+B$101</f>
        <v>35856.674999999988</v>
      </c>
      <c r="N91" s="25">
        <f>N90+E$101</f>
        <v>24610.5</v>
      </c>
      <c r="O91" s="26">
        <f t="shared" si="42"/>
        <v>60467.174999999988</v>
      </c>
      <c r="P91" s="25">
        <f>P90+B$102</f>
        <v>23904.450000000004</v>
      </c>
      <c r="Q91" s="25">
        <f>Q90+E$102</f>
        <v>25533</v>
      </c>
      <c r="R91" s="26">
        <f t="shared" si="43"/>
        <v>49437.450000000004</v>
      </c>
      <c r="S91" s="15">
        <f t="shared" si="60"/>
        <v>11952.225000000002</v>
      </c>
      <c r="T91" s="15">
        <f t="shared" si="61"/>
        <v>26455.5</v>
      </c>
      <c r="U91" s="227">
        <f t="shared" si="44"/>
        <v>38407.725000000006</v>
      </c>
      <c r="V91" s="25">
        <v>0</v>
      </c>
      <c r="W91" s="25">
        <f t="shared" si="54"/>
        <v>27378</v>
      </c>
      <c r="X91" s="26">
        <f t="shared" si="45"/>
        <v>27378</v>
      </c>
      <c r="Y91" s="37">
        <v>18</v>
      </c>
      <c r="Z91" s="38"/>
      <c r="AA91" s="38"/>
      <c r="AB91" s="26">
        <f t="shared" si="46"/>
        <v>48447.468000000001</v>
      </c>
      <c r="AC91" s="25">
        <f t="shared" si="47"/>
        <v>35856.674999999988</v>
      </c>
      <c r="AD91" s="25">
        <f t="shared" si="55"/>
        <v>17631.5</v>
      </c>
      <c r="AE91" s="26">
        <f t="shared" si="48"/>
        <v>53488.174999999988</v>
      </c>
      <c r="AF91" s="25">
        <f t="shared" si="49"/>
        <v>23904.450000000004</v>
      </c>
      <c r="AG91" s="25">
        <f t="shared" si="56"/>
        <v>18554</v>
      </c>
      <c r="AH91" s="26">
        <f t="shared" si="50"/>
        <v>42458.450000000004</v>
      </c>
      <c r="AI91" s="25">
        <f t="shared" si="51"/>
        <v>11952.225000000002</v>
      </c>
      <c r="AJ91" s="25">
        <f t="shared" si="57"/>
        <v>19476.5</v>
      </c>
      <c r="AK91" s="26">
        <f t="shared" si="52"/>
        <v>31428.725000000002</v>
      </c>
      <c r="AL91" s="25">
        <v>0</v>
      </c>
      <c r="AM91" s="25">
        <f t="shared" si="58"/>
        <v>20399</v>
      </c>
      <c r="AN91" s="26">
        <f t="shared" si="53"/>
        <v>20399</v>
      </c>
      <c r="AO91" s="37">
        <v>18</v>
      </c>
    </row>
    <row r="92" spans="1:41" ht="14.4" thickBot="1" x14ac:dyDescent="0.3">
      <c r="A92" s="176" t="s">
        <v>145</v>
      </c>
      <c r="B92" s="113">
        <f>SUM(B88:B91)</f>
        <v>2656.05</v>
      </c>
      <c r="C92" s="17"/>
      <c r="D92" s="181" t="s">
        <v>153</v>
      </c>
      <c r="E92" s="220">
        <v>205</v>
      </c>
      <c r="F92" s="21"/>
      <c r="G92" s="181" t="s">
        <v>153</v>
      </c>
      <c r="H92" s="164">
        <v>205</v>
      </c>
      <c r="I92" s="24">
        <v>19</v>
      </c>
      <c r="J92" s="136">
        <f t="shared" si="59"/>
        <v>51138.993999999999</v>
      </c>
      <c r="K92" s="25">
        <v>0</v>
      </c>
      <c r="L92" s="26">
        <f t="shared" si="41"/>
        <v>51138.993999999999</v>
      </c>
      <c r="M92" s="231">
        <f>M91+B$101</f>
        <v>37848.712499999987</v>
      </c>
      <c r="N92" s="25">
        <f>N91+E$101</f>
        <v>24770.75</v>
      </c>
      <c r="O92" s="26">
        <f t="shared" si="42"/>
        <v>62619.462499999987</v>
      </c>
      <c r="P92" s="25">
        <f>P91+B$102</f>
        <v>25232.475000000006</v>
      </c>
      <c r="Q92" s="25">
        <f>Q91+E$102</f>
        <v>25744.5</v>
      </c>
      <c r="R92" s="26">
        <f t="shared" si="43"/>
        <v>50976.975000000006</v>
      </c>
      <c r="S92" s="15">
        <f t="shared" si="60"/>
        <v>12616.237500000003</v>
      </c>
      <c r="T92" s="15">
        <f t="shared" si="61"/>
        <v>26718.25</v>
      </c>
      <c r="U92" s="227">
        <f t="shared" si="44"/>
        <v>39334.487500000003</v>
      </c>
      <c r="V92" s="25">
        <v>0</v>
      </c>
      <c r="W92" s="25">
        <f t="shared" si="54"/>
        <v>27692</v>
      </c>
      <c r="X92" s="26">
        <f t="shared" si="45"/>
        <v>27692</v>
      </c>
      <c r="Y92" s="24">
        <v>19</v>
      </c>
      <c r="Z92" s="25"/>
      <c r="AA92" s="25"/>
      <c r="AB92" s="26">
        <f t="shared" si="46"/>
        <v>51138.993999999999</v>
      </c>
      <c r="AC92" s="25">
        <f t="shared" si="47"/>
        <v>37848.712499999987</v>
      </c>
      <c r="AD92" s="25">
        <f t="shared" si="55"/>
        <v>18181.75</v>
      </c>
      <c r="AE92" s="26">
        <f t="shared" si="48"/>
        <v>56030.462499999987</v>
      </c>
      <c r="AF92" s="25">
        <f t="shared" si="49"/>
        <v>25232.475000000006</v>
      </c>
      <c r="AG92" s="25">
        <f t="shared" si="56"/>
        <v>19155.5</v>
      </c>
      <c r="AH92" s="26">
        <f t="shared" si="50"/>
        <v>44387.975000000006</v>
      </c>
      <c r="AI92" s="25">
        <f t="shared" si="51"/>
        <v>12616.237500000003</v>
      </c>
      <c r="AJ92" s="25">
        <f t="shared" si="57"/>
        <v>20129.25</v>
      </c>
      <c r="AK92" s="26">
        <f t="shared" si="52"/>
        <v>32745.487500000003</v>
      </c>
      <c r="AL92" s="25">
        <v>0</v>
      </c>
      <c r="AM92" s="25">
        <f t="shared" si="58"/>
        <v>21103</v>
      </c>
      <c r="AN92" s="26">
        <f t="shared" si="53"/>
        <v>21103</v>
      </c>
      <c r="AO92" s="24">
        <v>19</v>
      </c>
    </row>
    <row r="93" spans="1:41" ht="15" thickBot="1" x14ac:dyDescent="0.35">
      <c r="A93" s="214"/>
      <c r="B93" s="36"/>
      <c r="C93" s="17"/>
      <c r="D93" s="1"/>
      <c r="E93" s="1"/>
      <c r="F93" s="17"/>
      <c r="G93" s="18"/>
      <c r="H93" s="110"/>
      <c r="I93" s="24">
        <v>20</v>
      </c>
      <c r="J93" s="136">
        <f t="shared" si="59"/>
        <v>53830.52</v>
      </c>
      <c r="K93" s="25">
        <v>0</v>
      </c>
      <c r="L93" s="26">
        <f t="shared" si="41"/>
        <v>53830.52</v>
      </c>
      <c r="M93" s="231">
        <f>M92+B$101</f>
        <v>39840.749999999985</v>
      </c>
      <c r="N93" s="25">
        <f>N92+E$101</f>
        <v>24931</v>
      </c>
      <c r="O93" s="26">
        <f t="shared" si="42"/>
        <v>64771.749999999985</v>
      </c>
      <c r="P93" s="25">
        <f>P92+B$102</f>
        <v>26560.500000000007</v>
      </c>
      <c r="Q93" s="25">
        <f>Q92+E$102</f>
        <v>25956</v>
      </c>
      <c r="R93" s="26">
        <f t="shared" si="43"/>
        <v>52516.500000000007</v>
      </c>
      <c r="S93" s="15">
        <f t="shared" si="60"/>
        <v>13280.250000000004</v>
      </c>
      <c r="T93" s="15">
        <f t="shared" si="61"/>
        <v>26981</v>
      </c>
      <c r="U93" s="227">
        <f t="shared" si="44"/>
        <v>40261.25</v>
      </c>
      <c r="V93" s="25">
        <v>0</v>
      </c>
      <c r="W93" s="25">
        <f t="shared" si="54"/>
        <v>28006</v>
      </c>
      <c r="X93" s="26">
        <f t="shared" si="45"/>
        <v>28006</v>
      </c>
      <c r="Y93" s="24">
        <v>20</v>
      </c>
      <c r="Z93" s="25"/>
      <c r="AA93" s="25"/>
      <c r="AB93" s="26">
        <f t="shared" si="46"/>
        <v>53830.52</v>
      </c>
      <c r="AC93" s="25">
        <f t="shared" si="47"/>
        <v>39840.749999999985</v>
      </c>
      <c r="AD93" s="25">
        <f t="shared" si="55"/>
        <v>18732</v>
      </c>
      <c r="AE93" s="26">
        <f t="shared" si="48"/>
        <v>58572.749999999985</v>
      </c>
      <c r="AF93" s="25">
        <f t="shared" si="49"/>
        <v>26560.500000000007</v>
      </c>
      <c r="AG93" s="25">
        <f t="shared" si="56"/>
        <v>19757</v>
      </c>
      <c r="AH93" s="26">
        <f t="shared" si="50"/>
        <v>46317.500000000007</v>
      </c>
      <c r="AI93" s="25">
        <f t="shared" si="51"/>
        <v>13280.250000000004</v>
      </c>
      <c r="AJ93" s="25">
        <f t="shared" si="57"/>
        <v>20782</v>
      </c>
      <c r="AK93" s="26">
        <f t="shared" si="52"/>
        <v>34062.25</v>
      </c>
      <c r="AL93" s="25">
        <v>0</v>
      </c>
      <c r="AM93" s="25">
        <f t="shared" si="58"/>
        <v>21807</v>
      </c>
      <c r="AN93" s="26">
        <f t="shared" si="53"/>
        <v>21807</v>
      </c>
      <c r="AO93" s="24">
        <v>20</v>
      </c>
    </row>
    <row r="94" spans="1:41" ht="70.2" thickBot="1" x14ac:dyDescent="0.35">
      <c r="A94" s="214" t="s">
        <v>154</v>
      </c>
      <c r="B94" s="36"/>
      <c r="C94" s="17"/>
      <c r="D94" s="1"/>
      <c r="E94" s="1"/>
      <c r="F94" s="1"/>
      <c r="G94" s="1"/>
      <c r="H94" s="170"/>
      <c r="I94" s="24">
        <v>21</v>
      </c>
      <c r="J94" s="136">
        <f t="shared" si="59"/>
        <v>56522.045999999995</v>
      </c>
      <c r="K94" s="25">
        <v>0</v>
      </c>
      <c r="L94" s="26">
        <f t="shared" si="41"/>
        <v>56522.045999999995</v>
      </c>
      <c r="M94" s="231">
        <f>M93+B$101</f>
        <v>41832.787499999984</v>
      </c>
      <c r="N94" s="25">
        <f>N93+E$101</f>
        <v>25091.25</v>
      </c>
      <c r="O94" s="26">
        <f t="shared" si="42"/>
        <v>66924.037499999977</v>
      </c>
      <c r="P94" s="25">
        <f>P93+B$102</f>
        <v>27888.525000000009</v>
      </c>
      <c r="Q94" s="25">
        <f>Q93+E$102</f>
        <v>26167.5</v>
      </c>
      <c r="R94" s="26">
        <f t="shared" si="43"/>
        <v>54056.025000000009</v>
      </c>
      <c r="S94" s="15">
        <f t="shared" si="60"/>
        <v>13944.262500000004</v>
      </c>
      <c r="T94" s="15">
        <f t="shared" si="61"/>
        <v>27243.75</v>
      </c>
      <c r="U94" s="227">
        <f t="shared" si="44"/>
        <v>41188.012500000004</v>
      </c>
      <c r="V94" s="25">
        <v>0</v>
      </c>
      <c r="W94" s="25">
        <f t="shared" si="54"/>
        <v>28320</v>
      </c>
      <c r="X94" s="26">
        <f t="shared" si="45"/>
        <v>28320</v>
      </c>
      <c r="Y94" s="24">
        <v>21</v>
      </c>
      <c r="Z94" s="25"/>
      <c r="AA94" s="25"/>
      <c r="AB94" s="26">
        <f t="shared" si="46"/>
        <v>56522.045999999995</v>
      </c>
      <c r="AC94" s="25">
        <f t="shared" si="47"/>
        <v>41832.787499999984</v>
      </c>
      <c r="AD94" s="25">
        <f t="shared" si="55"/>
        <v>19282.25</v>
      </c>
      <c r="AE94" s="26">
        <f t="shared" si="48"/>
        <v>61115.037499999984</v>
      </c>
      <c r="AF94" s="25">
        <f t="shared" si="49"/>
        <v>27888.525000000009</v>
      </c>
      <c r="AG94" s="25">
        <f t="shared" si="56"/>
        <v>20358.5</v>
      </c>
      <c r="AH94" s="26">
        <f t="shared" si="50"/>
        <v>48247.025000000009</v>
      </c>
      <c r="AI94" s="25">
        <f t="shared" si="51"/>
        <v>13944.262500000004</v>
      </c>
      <c r="AJ94" s="25">
        <f t="shared" si="57"/>
        <v>21434.75</v>
      </c>
      <c r="AK94" s="26">
        <f t="shared" si="52"/>
        <v>35379.012500000004</v>
      </c>
      <c r="AL94" s="25">
        <v>0</v>
      </c>
      <c r="AM94" s="25">
        <f t="shared" si="58"/>
        <v>22511</v>
      </c>
      <c r="AN94" s="26">
        <f t="shared" si="53"/>
        <v>22511</v>
      </c>
      <c r="AO94" s="24">
        <v>21</v>
      </c>
    </row>
    <row r="95" spans="1:41" ht="14.4" thickBot="1" x14ac:dyDescent="0.3">
      <c r="A95" s="163" t="s">
        <v>146</v>
      </c>
      <c r="B95" s="177">
        <v>35.475999999999999</v>
      </c>
      <c r="C95" s="21"/>
      <c r="D95" s="222" t="s">
        <v>161</v>
      </c>
      <c r="E95" s="223">
        <v>109</v>
      </c>
      <c r="F95" s="224"/>
      <c r="G95" s="222" t="s">
        <v>162</v>
      </c>
      <c r="H95" s="225">
        <v>499</v>
      </c>
      <c r="I95" s="24">
        <v>22</v>
      </c>
      <c r="J95" s="136">
        <f t="shared" si="59"/>
        <v>59213.571999999993</v>
      </c>
      <c r="K95" s="25">
        <v>0</v>
      </c>
      <c r="L95" s="26">
        <f t="shared" si="41"/>
        <v>59213.571999999993</v>
      </c>
      <c r="M95" s="231">
        <f>M94+B$101</f>
        <v>43824.824999999983</v>
      </c>
      <c r="N95" s="25">
        <f>N94+E$101</f>
        <v>25251.5</v>
      </c>
      <c r="O95" s="26">
        <f t="shared" si="42"/>
        <v>69076.324999999983</v>
      </c>
      <c r="P95" s="25">
        <f>P94+B$102</f>
        <v>29216.55000000001</v>
      </c>
      <c r="Q95" s="25">
        <f>Q94+E$102</f>
        <v>26379</v>
      </c>
      <c r="R95" s="26">
        <f t="shared" si="43"/>
        <v>55595.55000000001</v>
      </c>
      <c r="S95" s="15">
        <f t="shared" si="60"/>
        <v>14608.275000000005</v>
      </c>
      <c r="T95" s="15">
        <f t="shared" si="61"/>
        <v>27506.5</v>
      </c>
      <c r="U95" s="227">
        <f t="shared" si="44"/>
        <v>42114.775000000009</v>
      </c>
      <c r="V95" s="25">
        <v>0</v>
      </c>
      <c r="W95" s="25">
        <f t="shared" si="54"/>
        <v>28634</v>
      </c>
      <c r="X95" s="26">
        <f t="shared" si="45"/>
        <v>28634</v>
      </c>
      <c r="Y95" s="24">
        <v>22</v>
      </c>
      <c r="Z95" s="25"/>
      <c r="AA95" s="25"/>
      <c r="AB95" s="26">
        <f t="shared" si="46"/>
        <v>59213.571999999993</v>
      </c>
      <c r="AC95" s="25">
        <f t="shared" si="47"/>
        <v>43824.824999999983</v>
      </c>
      <c r="AD95" s="25">
        <f t="shared" si="55"/>
        <v>19832.5</v>
      </c>
      <c r="AE95" s="26">
        <f t="shared" si="48"/>
        <v>63657.324999999983</v>
      </c>
      <c r="AF95" s="25">
        <f t="shared" si="49"/>
        <v>29216.55000000001</v>
      </c>
      <c r="AG95" s="25">
        <f t="shared" si="56"/>
        <v>20960</v>
      </c>
      <c r="AH95" s="26">
        <f t="shared" si="50"/>
        <v>50176.55000000001</v>
      </c>
      <c r="AI95" s="25">
        <f t="shared" si="51"/>
        <v>14608.275000000005</v>
      </c>
      <c r="AJ95" s="25">
        <f t="shared" si="57"/>
        <v>22087.5</v>
      </c>
      <c r="AK95" s="26">
        <f t="shared" si="52"/>
        <v>36695.775000000009</v>
      </c>
      <c r="AL95" s="25">
        <v>0</v>
      </c>
      <c r="AM95" s="25">
        <f t="shared" si="58"/>
        <v>23215</v>
      </c>
      <c r="AN95" s="26">
        <f t="shared" si="53"/>
        <v>23215</v>
      </c>
      <c r="AO95" s="24">
        <v>22</v>
      </c>
    </row>
    <row r="96" spans="1:41" ht="15" thickBot="1" x14ac:dyDescent="0.35">
      <c r="A96" s="119"/>
      <c r="B96" s="120"/>
      <c r="C96" s="21"/>
      <c r="D96" s="1"/>
      <c r="E96" s="1"/>
      <c r="F96" s="18"/>
      <c r="G96" s="17"/>
      <c r="H96" s="111"/>
      <c r="I96" s="24">
        <v>23</v>
      </c>
      <c r="J96" s="136">
        <f t="shared" si="59"/>
        <v>61905.097999999991</v>
      </c>
      <c r="K96" s="25">
        <v>0</v>
      </c>
      <c r="L96" s="26">
        <f t="shared" si="41"/>
        <v>61905.097999999991</v>
      </c>
      <c r="M96" s="231">
        <f>M95+B$101</f>
        <v>45816.862499999981</v>
      </c>
      <c r="N96" s="25">
        <f>N95+E$101</f>
        <v>25411.75</v>
      </c>
      <c r="O96" s="26">
        <f t="shared" si="42"/>
        <v>71228.612499999988</v>
      </c>
      <c r="P96" s="25">
        <f>P95+B$102</f>
        <v>30544.575000000012</v>
      </c>
      <c r="Q96" s="25">
        <f>Q95+E$102</f>
        <v>26590.5</v>
      </c>
      <c r="R96" s="26">
        <f t="shared" si="43"/>
        <v>57135.075000000012</v>
      </c>
      <c r="S96" s="15">
        <f t="shared" si="60"/>
        <v>15272.287500000006</v>
      </c>
      <c r="T96" s="15">
        <f t="shared" si="61"/>
        <v>27769.25</v>
      </c>
      <c r="U96" s="227">
        <f t="shared" si="44"/>
        <v>43041.537500000006</v>
      </c>
      <c r="V96" s="25">
        <v>0</v>
      </c>
      <c r="W96" s="25">
        <f t="shared" si="54"/>
        <v>28948</v>
      </c>
      <c r="X96" s="26">
        <f t="shared" si="45"/>
        <v>28948</v>
      </c>
      <c r="Y96" s="24">
        <v>23</v>
      </c>
      <c r="Z96" s="25"/>
      <c r="AA96" s="25"/>
      <c r="AB96" s="26">
        <f t="shared" si="46"/>
        <v>61905.097999999991</v>
      </c>
      <c r="AC96" s="25">
        <f t="shared" si="47"/>
        <v>45816.862499999981</v>
      </c>
      <c r="AD96" s="25">
        <f t="shared" si="55"/>
        <v>20382.75</v>
      </c>
      <c r="AE96" s="26">
        <f t="shared" si="48"/>
        <v>66199.612499999988</v>
      </c>
      <c r="AF96" s="25">
        <f t="shared" si="49"/>
        <v>30544.575000000012</v>
      </c>
      <c r="AG96" s="25">
        <f t="shared" si="56"/>
        <v>21561.5</v>
      </c>
      <c r="AH96" s="26">
        <f t="shared" si="50"/>
        <v>52106.075000000012</v>
      </c>
      <c r="AI96" s="25">
        <f t="shared" si="51"/>
        <v>15272.287500000006</v>
      </c>
      <c r="AJ96" s="25">
        <f t="shared" si="57"/>
        <v>22740.25</v>
      </c>
      <c r="AK96" s="26">
        <f t="shared" si="52"/>
        <v>38012.537500000006</v>
      </c>
      <c r="AL96" s="25">
        <v>0</v>
      </c>
      <c r="AM96" s="25">
        <f t="shared" si="58"/>
        <v>23919</v>
      </c>
      <c r="AN96" s="26">
        <f t="shared" si="53"/>
        <v>23919</v>
      </c>
      <c r="AO96" s="24">
        <v>23</v>
      </c>
    </row>
    <row r="97" spans="1:41" ht="14.4" thickBot="1" x14ac:dyDescent="0.3">
      <c r="A97" s="216" t="s">
        <v>137</v>
      </c>
      <c r="B97" s="217">
        <f>B95+B92</f>
        <v>2691.5260000000003</v>
      </c>
      <c r="C97" s="84"/>
      <c r="D97" s="221" t="s">
        <v>137</v>
      </c>
      <c r="E97" s="217">
        <f>E95+E92</f>
        <v>314</v>
      </c>
      <c r="F97" s="51"/>
      <c r="G97" s="221" t="s">
        <v>137</v>
      </c>
      <c r="H97" s="218">
        <f>H95+H92</f>
        <v>704</v>
      </c>
      <c r="I97" s="24">
        <v>24</v>
      </c>
      <c r="J97" s="136">
        <f t="shared" si="59"/>
        <v>64596.623999999989</v>
      </c>
      <c r="K97" s="25">
        <v>0</v>
      </c>
      <c r="L97" s="26">
        <f t="shared" si="41"/>
        <v>64596.623999999989</v>
      </c>
      <c r="M97" s="231">
        <f>M96+B$101</f>
        <v>47808.89999999998</v>
      </c>
      <c r="N97" s="25">
        <f>N96+E$101</f>
        <v>25572</v>
      </c>
      <c r="O97" s="26">
        <f t="shared" si="42"/>
        <v>73380.89999999998</v>
      </c>
      <c r="P97" s="25">
        <f>P96+B$102</f>
        <v>31872.600000000013</v>
      </c>
      <c r="Q97" s="25">
        <f>Q96+E$102</f>
        <v>26802</v>
      </c>
      <c r="R97" s="26">
        <f t="shared" si="43"/>
        <v>58674.600000000013</v>
      </c>
      <c r="S97" s="15">
        <f t="shared" si="60"/>
        <v>15936.300000000007</v>
      </c>
      <c r="T97" s="15">
        <f t="shared" si="61"/>
        <v>28032</v>
      </c>
      <c r="U97" s="227">
        <f t="shared" si="44"/>
        <v>43968.3</v>
      </c>
      <c r="V97" s="25">
        <v>0</v>
      </c>
      <c r="W97" s="25">
        <f t="shared" si="54"/>
        <v>29262</v>
      </c>
      <c r="X97" s="26">
        <f t="shared" si="45"/>
        <v>29262</v>
      </c>
      <c r="Y97" s="24">
        <v>24</v>
      </c>
      <c r="Z97" s="25"/>
      <c r="AA97" s="25"/>
      <c r="AB97" s="26">
        <f t="shared" si="46"/>
        <v>64596.623999999989</v>
      </c>
      <c r="AC97" s="25">
        <f t="shared" si="47"/>
        <v>47808.89999999998</v>
      </c>
      <c r="AD97" s="25">
        <f t="shared" si="55"/>
        <v>20933</v>
      </c>
      <c r="AE97" s="26">
        <f t="shared" si="48"/>
        <v>68741.89999999998</v>
      </c>
      <c r="AF97" s="25">
        <f t="shared" si="49"/>
        <v>31872.600000000013</v>
      </c>
      <c r="AG97" s="25">
        <f t="shared" si="56"/>
        <v>22163</v>
      </c>
      <c r="AH97" s="26">
        <f t="shared" si="50"/>
        <v>54035.600000000013</v>
      </c>
      <c r="AI97" s="25">
        <f t="shared" si="51"/>
        <v>15936.300000000007</v>
      </c>
      <c r="AJ97" s="25">
        <f t="shared" si="57"/>
        <v>23393</v>
      </c>
      <c r="AK97" s="26">
        <f t="shared" si="52"/>
        <v>39329.300000000003</v>
      </c>
      <c r="AL97" s="25">
        <v>0</v>
      </c>
      <c r="AM97" s="25">
        <f t="shared" si="58"/>
        <v>24623</v>
      </c>
      <c r="AN97" s="26">
        <f t="shared" si="53"/>
        <v>24623</v>
      </c>
      <c r="AO97" s="24">
        <v>24</v>
      </c>
    </row>
    <row r="98" spans="1:41" ht="14.4" thickBot="1" x14ac:dyDescent="0.3">
      <c r="I98" s="24">
        <v>25</v>
      </c>
      <c r="J98" s="136">
        <f t="shared" si="59"/>
        <v>67288.149999999994</v>
      </c>
      <c r="K98" s="25">
        <v>0</v>
      </c>
      <c r="L98" s="26">
        <f t="shared" si="41"/>
        <v>67288.149999999994</v>
      </c>
      <c r="M98" s="231">
        <f>M97+B$101</f>
        <v>49800.937499999978</v>
      </c>
      <c r="N98" s="25">
        <f>N97+E$101</f>
        <v>25732.25</v>
      </c>
      <c r="O98" s="26">
        <f t="shared" si="42"/>
        <v>75533.187499999971</v>
      </c>
      <c r="P98" s="25">
        <f>P97+B$102</f>
        <v>33200.625000000015</v>
      </c>
      <c r="Q98" s="25">
        <f>Q97+E$102</f>
        <v>27013.5</v>
      </c>
      <c r="R98" s="26">
        <f t="shared" si="43"/>
        <v>60214.125000000015</v>
      </c>
      <c r="S98" s="15">
        <f t="shared" si="60"/>
        <v>16600.312500000007</v>
      </c>
      <c r="T98" s="15">
        <f t="shared" si="61"/>
        <v>28294.75</v>
      </c>
      <c r="U98" s="227">
        <f t="shared" si="44"/>
        <v>44895.062500000007</v>
      </c>
      <c r="V98" s="25">
        <v>0</v>
      </c>
      <c r="W98" s="25">
        <f t="shared" si="54"/>
        <v>29576</v>
      </c>
      <c r="X98" s="26">
        <f t="shared" si="45"/>
        <v>29576</v>
      </c>
      <c r="Y98" s="24">
        <v>25</v>
      </c>
      <c r="Z98" s="25"/>
      <c r="AA98" s="25"/>
      <c r="AB98" s="26">
        <f t="shared" si="46"/>
        <v>67288.149999999994</v>
      </c>
      <c r="AC98" s="25">
        <f t="shared" si="47"/>
        <v>49800.937499999978</v>
      </c>
      <c r="AD98" s="25">
        <f t="shared" si="55"/>
        <v>21483.25</v>
      </c>
      <c r="AE98" s="26">
        <f t="shared" si="48"/>
        <v>71284.187499999971</v>
      </c>
      <c r="AF98" s="25">
        <f t="shared" si="49"/>
        <v>33200.625000000015</v>
      </c>
      <c r="AG98" s="25">
        <f t="shared" si="56"/>
        <v>22764.5</v>
      </c>
      <c r="AH98" s="26">
        <f t="shared" si="50"/>
        <v>55965.125000000015</v>
      </c>
      <c r="AI98" s="25">
        <f t="shared" si="51"/>
        <v>16600.312500000007</v>
      </c>
      <c r="AJ98" s="25">
        <f t="shared" si="57"/>
        <v>24045.75</v>
      </c>
      <c r="AK98" s="26">
        <f t="shared" si="52"/>
        <v>40646.062500000007</v>
      </c>
      <c r="AL98" s="25">
        <v>0</v>
      </c>
      <c r="AM98" s="25">
        <f t="shared" si="58"/>
        <v>25327</v>
      </c>
      <c r="AN98" s="26">
        <f t="shared" si="53"/>
        <v>25327</v>
      </c>
      <c r="AO98" s="24">
        <v>25</v>
      </c>
    </row>
    <row r="99" spans="1:41" ht="14.4" thickBot="1" x14ac:dyDescent="0.3">
      <c r="A99" s="8" t="s">
        <v>165</v>
      </c>
      <c r="B99" s="8" t="s">
        <v>166</v>
      </c>
      <c r="D99" s="8" t="s">
        <v>167</v>
      </c>
      <c r="E99" s="8" t="s">
        <v>168</v>
      </c>
      <c r="G99" s="8" t="s">
        <v>169</v>
      </c>
      <c r="I99" s="24">
        <v>26</v>
      </c>
      <c r="J99" s="136">
        <f t="shared" si="59"/>
        <v>69979.675999999992</v>
      </c>
      <c r="K99" s="25">
        <v>0</v>
      </c>
      <c r="L99" s="26">
        <f t="shared" si="41"/>
        <v>69979.675999999992</v>
      </c>
      <c r="M99" s="231">
        <f>M98+B$101</f>
        <v>51792.974999999977</v>
      </c>
      <c r="N99" s="25">
        <f>N98+E$101</f>
        <v>25892.5</v>
      </c>
      <c r="O99" s="26">
        <f t="shared" si="42"/>
        <v>77685.474999999977</v>
      </c>
      <c r="P99" s="25">
        <f>P98+B$102</f>
        <v>34528.650000000016</v>
      </c>
      <c r="Q99" s="25">
        <f>Q98+E$102</f>
        <v>27225</v>
      </c>
      <c r="R99" s="26">
        <f t="shared" si="43"/>
        <v>61753.650000000016</v>
      </c>
      <c r="S99" s="15">
        <f t="shared" si="60"/>
        <v>17264.325000000008</v>
      </c>
      <c r="T99" s="15">
        <f t="shared" si="61"/>
        <v>28557.5</v>
      </c>
      <c r="U99" s="227">
        <f t="shared" si="44"/>
        <v>45821.825000000012</v>
      </c>
      <c r="V99" s="25">
        <v>0</v>
      </c>
      <c r="W99" s="25">
        <f t="shared" si="54"/>
        <v>29890</v>
      </c>
      <c r="X99" s="26">
        <f t="shared" si="45"/>
        <v>29890</v>
      </c>
      <c r="Y99" s="24">
        <v>26</v>
      </c>
      <c r="Z99" s="25"/>
      <c r="AA99" s="25"/>
      <c r="AB99" s="26">
        <f t="shared" si="46"/>
        <v>69979.675999999992</v>
      </c>
      <c r="AC99" s="25">
        <f t="shared" si="47"/>
        <v>51792.974999999977</v>
      </c>
      <c r="AD99" s="25">
        <f t="shared" si="55"/>
        <v>22033.5</v>
      </c>
      <c r="AE99" s="26">
        <f t="shared" si="48"/>
        <v>73826.474999999977</v>
      </c>
      <c r="AF99" s="25">
        <f t="shared" si="49"/>
        <v>34528.650000000016</v>
      </c>
      <c r="AG99" s="25">
        <f t="shared" si="56"/>
        <v>23366</v>
      </c>
      <c r="AH99" s="26">
        <f t="shared" si="50"/>
        <v>57894.650000000016</v>
      </c>
      <c r="AI99" s="25">
        <f t="shared" si="51"/>
        <v>17264.325000000008</v>
      </c>
      <c r="AJ99" s="25">
        <f t="shared" si="57"/>
        <v>24698.5</v>
      </c>
      <c r="AK99" s="26">
        <f t="shared" si="52"/>
        <v>41962.825000000012</v>
      </c>
      <c r="AL99" s="25">
        <v>0</v>
      </c>
      <c r="AM99" s="25">
        <f t="shared" si="58"/>
        <v>26031</v>
      </c>
      <c r="AN99" s="26">
        <f t="shared" si="53"/>
        <v>26031</v>
      </c>
      <c r="AO99" s="24">
        <v>26</v>
      </c>
    </row>
    <row r="100" spans="1:41" ht="14.4" thickBot="1" x14ac:dyDescent="0.3">
      <c r="A100" s="10">
        <v>0</v>
      </c>
      <c r="B100" s="227">
        <f>B92</f>
        <v>2656.05</v>
      </c>
      <c r="D100" s="8">
        <f>0</f>
        <v>0</v>
      </c>
      <c r="I100" s="24">
        <v>27</v>
      </c>
      <c r="J100" s="136">
        <f t="shared" si="59"/>
        <v>72671.20199999999</v>
      </c>
      <c r="K100" s="25">
        <v>0</v>
      </c>
      <c r="L100" s="26">
        <f t="shared" si="41"/>
        <v>72671.20199999999</v>
      </c>
      <c r="M100" s="231">
        <f>M99+B$101</f>
        <v>53785.012499999975</v>
      </c>
      <c r="N100" s="25">
        <f>N99+E$101</f>
        <v>26052.75</v>
      </c>
      <c r="O100" s="26">
        <f t="shared" si="42"/>
        <v>79837.762499999983</v>
      </c>
      <c r="P100" s="25">
        <f>P99+B$102</f>
        <v>35856.675000000017</v>
      </c>
      <c r="Q100" s="25">
        <f>Q99+E$102</f>
        <v>27436.5</v>
      </c>
      <c r="R100" s="26">
        <f t="shared" si="43"/>
        <v>63293.175000000017</v>
      </c>
      <c r="S100" s="15">
        <f t="shared" si="60"/>
        <v>17928.337500000009</v>
      </c>
      <c r="T100" s="15">
        <f t="shared" si="61"/>
        <v>28820.25</v>
      </c>
      <c r="U100" s="227">
        <f t="shared" si="44"/>
        <v>46748.587500000009</v>
      </c>
      <c r="V100" s="25">
        <v>0</v>
      </c>
      <c r="W100" s="25">
        <f t="shared" si="54"/>
        <v>30204</v>
      </c>
      <c r="X100" s="26">
        <f t="shared" si="45"/>
        <v>30204</v>
      </c>
      <c r="Y100" s="24">
        <v>27</v>
      </c>
      <c r="Z100" s="25"/>
      <c r="AA100" s="25"/>
      <c r="AB100" s="26">
        <f t="shared" si="46"/>
        <v>72671.20199999999</v>
      </c>
      <c r="AC100" s="25">
        <f t="shared" si="47"/>
        <v>53785.012499999975</v>
      </c>
      <c r="AD100" s="25">
        <f t="shared" si="55"/>
        <v>22583.75</v>
      </c>
      <c r="AE100" s="26">
        <f t="shared" si="48"/>
        <v>76368.762499999983</v>
      </c>
      <c r="AF100" s="25">
        <f t="shared" si="49"/>
        <v>35856.675000000017</v>
      </c>
      <c r="AG100" s="25">
        <f t="shared" si="56"/>
        <v>23967.5</v>
      </c>
      <c r="AH100" s="26">
        <f t="shared" si="50"/>
        <v>59824.175000000017</v>
      </c>
      <c r="AI100" s="25">
        <f t="shared" si="51"/>
        <v>17928.337500000009</v>
      </c>
      <c r="AJ100" s="25">
        <f t="shared" si="57"/>
        <v>25351.25</v>
      </c>
      <c r="AK100" s="26">
        <f t="shared" si="52"/>
        <v>43279.587500000009</v>
      </c>
      <c r="AL100" s="25">
        <v>0</v>
      </c>
      <c r="AM100" s="25">
        <f t="shared" si="58"/>
        <v>26735</v>
      </c>
      <c r="AN100" s="26">
        <f t="shared" si="53"/>
        <v>26735</v>
      </c>
      <c r="AO100" s="24">
        <v>27</v>
      </c>
    </row>
    <row r="101" spans="1:41" ht="14.4" thickBot="1" x14ac:dyDescent="0.3">
      <c r="A101" s="10">
        <v>0.25</v>
      </c>
      <c r="B101" s="15">
        <f>B100*0.75</f>
        <v>1992.0375000000001</v>
      </c>
      <c r="D101" s="11">
        <f>D104*0.25</f>
        <v>51.25</v>
      </c>
      <c r="E101" s="11">
        <f>D101+E$95</f>
        <v>160.25</v>
      </c>
      <c r="G101" s="11">
        <f>D101+H$95</f>
        <v>550.25</v>
      </c>
      <c r="I101" s="24">
        <v>28</v>
      </c>
      <c r="J101" s="136">
        <f t="shared" si="59"/>
        <v>75362.727999999988</v>
      </c>
      <c r="K101" s="25">
        <v>0</v>
      </c>
      <c r="L101" s="26">
        <f t="shared" si="41"/>
        <v>75362.727999999988</v>
      </c>
      <c r="M101" s="231">
        <f>M100+B$101</f>
        <v>55777.049999999974</v>
      </c>
      <c r="N101" s="25">
        <f>N100+E$101</f>
        <v>26213</v>
      </c>
      <c r="O101" s="26">
        <f t="shared" si="42"/>
        <v>81990.049999999974</v>
      </c>
      <c r="P101" s="25">
        <f>P100+B$102</f>
        <v>37184.700000000019</v>
      </c>
      <c r="Q101" s="25">
        <f>Q100+E$102</f>
        <v>27648</v>
      </c>
      <c r="R101" s="26">
        <f t="shared" si="43"/>
        <v>64832.700000000019</v>
      </c>
      <c r="S101" s="15">
        <f t="shared" si="60"/>
        <v>18592.350000000009</v>
      </c>
      <c r="T101" s="15">
        <f t="shared" si="61"/>
        <v>29083</v>
      </c>
      <c r="U101" s="227">
        <f t="shared" si="44"/>
        <v>47675.350000000006</v>
      </c>
      <c r="V101" s="25">
        <v>0</v>
      </c>
      <c r="W101" s="25">
        <f t="shared" si="54"/>
        <v>30518</v>
      </c>
      <c r="X101" s="26">
        <f t="shared" si="45"/>
        <v>30518</v>
      </c>
      <c r="Y101" s="24">
        <v>28</v>
      </c>
      <c r="Z101" s="25"/>
      <c r="AA101" s="25"/>
      <c r="AB101" s="26">
        <f t="shared" si="46"/>
        <v>75362.727999999988</v>
      </c>
      <c r="AC101" s="25">
        <f t="shared" si="47"/>
        <v>55777.049999999974</v>
      </c>
      <c r="AD101" s="25">
        <f t="shared" si="55"/>
        <v>23134</v>
      </c>
      <c r="AE101" s="26">
        <f t="shared" si="48"/>
        <v>78911.049999999974</v>
      </c>
      <c r="AF101" s="25">
        <f t="shared" si="49"/>
        <v>37184.700000000019</v>
      </c>
      <c r="AG101" s="25">
        <f t="shared" si="56"/>
        <v>24569</v>
      </c>
      <c r="AH101" s="26">
        <f t="shared" si="50"/>
        <v>61753.700000000019</v>
      </c>
      <c r="AI101" s="25">
        <f t="shared" si="51"/>
        <v>18592.350000000009</v>
      </c>
      <c r="AJ101" s="25">
        <f t="shared" si="57"/>
        <v>26004</v>
      </c>
      <c r="AK101" s="26">
        <f t="shared" si="52"/>
        <v>44596.350000000006</v>
      </c>
      <c r="AL101" s="25">
        <v>0</v>
      </c>
      <c r="AM101" s="25">
        <f t="shared" si="58"/>
        <v>27439</v>
      </c>
      <c r="AN101" s="26">
        <f t="shared" si="53"/>
        <v>27439</v>
      </c>
      <c r="AO101" s="24">
        <v>28</v>
      </c>
    </row>
    <row r="102" spans="1:41" ht="14.4" thickBot="1" x14ac:dyDescent="0.3">
      <c r="A102" s="10">
        <v>0.5</v>
      </c>
      <c r="B102" s="15">
        <f>B100*0.5</f>
        <v>1328.0250000000001</v>
      </c>
      <c r="D102" s="11">
        <f>D104*0.5</f>
        <v>102.5</v>
      </c>
      <c r="E102" s="11">
        <f t="shared" ref="E102:E104" si="62">D102+E$95</f>
        <v>211.5</v>
      </c>
      <c r="G102" s="11">
        <f t="shared" ref="G102:G104" si="63">D102+H$95</f>
        <v>601.5</v>
      </c>
      <c r="I102" s="24">
        <v>29</v>
      </c>
      <c r="J102" s="136">
        <f t="shared" si="59"/>
        <v>78054.253999999986</v>
      </c>
      <c r="K102" s="25">
        <v>0</v>
      </c>
      <c r="L102" s="26">
        <f t="shared" si="41"/>
        <v>78054.253999999986</v>
      </c>
      <c r="M102" s="231">
        <f>M101+B$101</f>
        <v>57769.087499999972</v>
      </c>
      <c r="N102" s="25">
        <f>N101+E$101</f>
        <v>26373.25</v>
      </c>
      <c r="O102" s="26">
        <f t="shared" si="42"/>
        <v>84142.337499999965</v>
      </c>
      <c r="P102" s="25">
        <f>P101+B$102</f>
        <v>38512.72500000002</v>
      </c>
      <c r="Q102" s="25">
        <f>Q101+E$102</f>
        <v>27859.5</v>
      </c>
      <c r="R102" s="26">
        <f t="shared" si="43"/>
        <v>66372.22500000002</v>
      </c>
      <c r="S102" s="15">
        <f t="shared" si="60"/>
        <v>19256.36250000001</v>
      </c>
      <c r="T102" s="15">
        <f t="shared" si="61"/>
        <v>29345.75</v>
      </c>
      <c r="U102" s="227">
        <f t="shared" si="44"/>
        <v>48602.11250000001</v>
      </c>
      <c r="V102" s="25">
        <v>0</v>
      </c>
      <c r="W102" s="25">
        <f t="shared" si="54"/>
        <v>30832</v>
      </c>
      <c r="X102" s="26">
        <f t="shared" si="45"/>
        <v>30832</v>
      </c>
      <c r="Y102" s="24">
        <v>29</v>
      </c>
      <c r="Z102" s="25"/>
      <c r="AA102" s="25"/>
      <c r="AB102" s="26">
        <f t="shared" si="46"/>
        <v>78054.253999999986</v>
      </c>
      <c r="AC102" s="25">
        <f t="shared" si="47"/>
        <v>57769.087499999972</v>
      </c>
      <c r="AD102" s="25">
        <f t="shared" si="55"/>
        <v>23684.25</v>
      </c>
      <c r="AE102" s="26">
        <f t="shared" si="48"/>
        <v>81453.337499999965</v>
      </c>
      <c r="AF102" s="25">
        <f t="shared" si="49"/>
        <v>38512.72500000002</v>
      </c>
      <c r="AG102" s="25">
        <f t="shared" si="56"/>
        <v>25170.5</v>
      </c>
      <c r="AH102" s="26">
        <f t="shared" si="50"/>
        <v>63683.22500000002</v>
      </c>
      <c r="AI102" s="25">
        <f t="shared" si="51"/>
        <v>19256.36250000001</v>
      </c>
      <c r="AJ102" s="25">
        <f t="shared" si="57"/>
        <v>26656.75</v>
      </c>
      <c r="AK102" s="26">
        <f t="shared" si="52"/>
        <v>45913.11250000001</v>
      </c>
      <c r="AL102" s="25">
        <v>0</v>
      </c>
      <c r="AM102" s="25">
        <f t="shared" si="58"/>
        <v>28143</v>
      </c>
      <c r="AN102" s="26">
        <f t="shared" si="53"/>
        <v>28143</v>
      </c>
      <c r="AO102" s="24">
        <v>29</v>
      </c>
    </row>
    <row r="103" spans="1:41" ht="14.4" thickBot="1" x14ac:dyDescent="0.3">
      <c r="A103" s="10">
        <v>0.75</v>
      </c>
      <c r="B103" s="15">
        <f>B100*0.25</f>
        <v>664.01250000000005</v>
      </c>
      <c r="D103" s="11">
        <f>D104*0.75</f>
        <v>153.75</v>
      </c>
      <c r="E103" s="11">
        <f t="shared" si="62"/>
        <v>262.75</v>
      </c>
      <c r="G103" s="11">
        <f t="shared" si="63"/>
        <v>652.75</v>
      </c>
      <c r="I103" s="24">
        <v>30</v>
      </c>
      <c r="J103" s="136">
        <f t="shared" si="59"/>
        <v>80745.779999999984</v>
      </c>
      <c r="K103" s="25">
        <v>0</v>
      </c>
      <c r="L103" s="26">
        <f t="shared" si="41"/>
        <v>80745.779999999984</v>
      </c>
      <c r="M103" s="231">
        <f>M102+B$101</f>
        <v>59761.124999999971</v>
      </c>
      <c r="N103" s="25">
        <f>N102+E$101</f>
        <v>26533.5</v>
      </c>
      <c r="O103" s="26">
        <f t="shared" si="42"/>
        <v>86294.624999999971</v>
      </c>
      <c r="P103" s="25">
        <f>P102+B$102</f>
        <v>39840.750000000022</v>
      </c>
      <c r="Q103" s="25">
        <f>Q102+E$102</f>
        <v>28071</v>
      </c>
      <c r="R103" s="26">
        <f t="shared" si="43"/>
        <v>67911.750000000029</v>
      </c>
      <c r="S103" s="15">
        <f t="shared" si="60"/>
        <v>19920.375000000011</v>
      </c>
      <c r="T103" s="15">
        <f t="shared" si="61"/>
        <v>29608.5</v>
      </c>
      <c r="U103" s="227">
        <f t="shared" si="44"/>
        <v>49528.875000000015</v>
      </c>
      <c r="V103" s="25">
        <v>0</v>
      </c>
      <c r="W103" s="25">
        <f t="shared" si="54"/>
        <v>31146</v>
      </c>
      <c r="X103" s="26">
        <f t="shared" si="45"/>
        <v>31146</v>
      </c>
      <c r="Y103" s="24">
        <v>30</v>
      </c>
      <c r="Z103" s="25"/>
      <c r="AA103" s="25"/>
      <c r="AB103" s="26">
        <f t="shared" si="46"/>
        <v>80745.779999999984</v>
      </c>
      <c r="AC103" s="25">
        <f t="shared" si="47"/>
        <v>59761.124999999971</v>
      </c>
      <c r="AD103" s="25">
        <f t="shared" si="55"/>
        <v>24234.5</v>
      </c>
      <c r="AE103" s="26">
        <f t="shared" si="48"/>
        <v>83995.624999999971</v>
      </c>
      <c r="AF103" s="25">
        <f t="shared" si="49"/>
        <v>39840.750000000022</v>
      </c>
      <c r="AG103" s="25">
        <f t="shared" si="56"/>
        <v>25772</v>
      </c>
      <c r="AH103" s="26">
        <f t="shared" si="50"/>
        <v>65612.750000000029</v>
      </c>
      <c r="AI103" s="25">
        <f t="shared" si="51"/>
        <v>19920.375000000011</v>
      </c>
      <c r="AJ103" s="25">
        <f t="shared" si="57"/>
        <v>27309.5</v>
      </c>
      <c r="AK103" s="26">
        <f t="shared" si="52"/>
        <v>47229.875000000015</v>
      </c>
      <c r="AL103" s="25">
        <v>0</v>
      </c>
      <c r="AM103" s="25">
        <f t="shared" si="58"/>
        <v>28847</v>
      </c>
      <c r="AN103" s="26">
        <f t="shared" si="53"/>
        <v>28847</v>
      </c>
      <c r="AO103" s="24">
        <v>30</v>
      </c>
    </row>
    <row r="104" spans="1:41" ht="14.4" thickBot="1" x14ac:dyDescent="0.3">
      <c r="A104" s="10">
        <v>1</v>
      </c>
      <c r="B104" s="8">
        <v>0</v>
      </c>
      <c r="D104" s="228">
        <f>E92</f>
        <v>205</v>
      </c>
      <c r="E104" s="11">
        <f t="shared" si="62"/>
        <v>314</v>
      </c>
      <c r="G104" s="11">
        <f t="shared" si="63"/>
        <v>704</v>
      </c>
      <c r="I104" s="24">
        <v>31</v>
      </c>
      <c r="J104" s="136">
        <f t="shared" si="59"/>
        <v>83437.305999999982</v>
      </c>
      <c r="K104" s="25">
        <v>0</v>
      </c>
      <c r="L104" s="26">
        <f t="shared" si="41"/>
        <v>83437.305999999982</v>
      </c>
      <c r="M104" s="231">
        <f>M103+B$101</f>
        <v>61753.162499999969</v>
      </c>
      <c r="N104" s="25">
        <f>N103+E$101</f>
        <v>26693.75</v>
      </c>
      <c r="O104" s="26">
        <f t="shared" si="42"/>
        <v>88446.912499999977</v>
      </c>
      <c r="P104" s="25">
        <f>P103+B$102</f>
        <v>41168.775000000023</v>
      </c>
      <c r="Q104" s="25">
        <f>Q103+E$102</f>
        <v>28282.5</v>
      </c>
      <c r="R104" s="26">
        <f t="shared" si="43"/>
        <v>69451.275000000023</v>
      </c>
      <c r="S104" s="15">
        <f t="shared" si="60"/>
        <v>20584.387500000012</v>
      </c>
      <c r="T104" s="15">
        <f t="shared" si="61"/>
        <v>29871.25</v>
      </c>
      <c r="U104" s="227">
        <f t="shared" si="44"/>
        <v>50455.637500000012</v>
      </c>
      <c r="V104" s="25">
        <v>0</v>
      </c>
      <c r="W104" s="25">
        <f t="shared" si="54"/>
        <v>31460</v>
      </c>
      <c r="X104" s="26">
        <f t="shared" si="45"/>
        <v>31460</v>
      </c>
      <c r="Y104" s="24">
        <v>31</v>
      </c>
      <c r="Z104" s="25"/>
      <c r="AA104" s="25"/>
      <c r="AB104" s="26">
        <f t="shared" si="46"/>
        <v>83437.305999999982</v>
      </c>
      <c r="AC104" s="25">
        <f t="shared" si="47"/>
        <v>61753.162499999969</v>
      </c>
      <c r="AD104" s="25">
        <f t="shared" si="55"/>
        <v>24784.75</v>
      </c>
      <c r="AE104" s="26">
        <f t="shared" si="48"/>
        <v>86537.912499999977</v>
      </c>
      <c r="AF104" s="25">
        <f t="shared" si="49"/>
        <v>41168.775000000023</v>
      </c>
      <c r="AG104" s="25">
        <f t="shared" si="56"/>
        <v>26373.5</v>
      </c>
      <c r="AH104" s="26">
        <f t="shared" si="50"/>
        <v>67542.275000000023</v>
      </c>
      <c r="AI104" s="25">
        <f t="shared" si="51"/>
        <v>20584.387500000012</v>
      </c>
      <c r="AJ104" s="25">
        <f t="shared" si="57"/>
        <v>27962.25</v>
      </c>
      <c r="AK104" s="26">
        <f t="shared" si="52"/>
        <v>48546.637500000012</v>
      </c>
      <c r="AL104" s="25">
        <v>0</v>
      </c>
      <c r="AM104" s="25">
        <f t="shared" si="58"/>
        <v>29551</v>
      </c>
      <c r="AN104" s="26">
        <f t="shared" si="53"/>
        <v>29551</v>
      </c>
      <c r="AO104" s="24">
        <v>31</v>
      </c>
    </row>
    <row r="105" spans="1:41" ht="14.4" thickBot="1" x14ac:dyDescent="0.3">
      <c r="I105" s="24">
        <v>32</v>
      </c>
      <c r="J105" s="136">
        <f t="shared" si="59"/>
        <v>86128.83199999998</v>
      </c>
      <c r="K105" s="25">
        <v>0</v>
      </c>
      <c r="L105" s="26">
        <f t="shared" si="41"/>
        <v>86128.83199999998</v>
      </c>
      <c r="M105" s="231">
        <f>M104+B$101</f>
        <v>63745.199999999968</v>
      </c>
      <c r="N105" s="25">
        <f>N104+E$101</f>
        <v>26854</v>
      </c>
      <c r="O105" s="26">
        <f t="shared" si="42"/>
        <v>90599.199999999968</v>
      </c>
      <c r="P105" s="25">
        <f>P104+B$102</f>
        <v>42496.800000000025</v>
      </c>
      <c r="Q105" s="25">
        <f>Q104+E$102</f>
        <v>28494</v>
      </c>
      <c r="R105" s="26">
        <f t="shared" si="43"/>
        <v>70990.800000000017</v>
      </c>
      <c r="S105" s="15">
        <f t="shared" si="60"/>
        <v>21248.400000000012</v>
      </c>
      <c r="T105" s="15">
        <f t="shared" si="61"/>
        <v>30134</v>
      </c>
      <c r="U105" s="227">
        <f t="shared" si="44"/>
        <v>51382.400000000009</v>
      </c>
      <c r="V105" s="25">
        <v>0</v>
      </c>
      <c r="W105" s="25">
        <f t="shared" si="54"/>
        <v>31774</v>
      </c>
      <c r="X105" s="26">
        <f t="shared" si="45"/>
        <v>31774</v>
      </c>
      <c r="Y105" s="24">
        <v>32</v>
      </c>
      <c r="Z105" s="25"/>
      <c r="AA105" s="25"/>
      <c r="AB105" s="26">
        <f t="shared" si="46"/>
        <v>86128.83199999998</v>
      </c>
      <c r="AC105" s="25">
        <f t="shared" si="47"/>
        <v>63745.199999999968</v>
      </c>
      <c r="AD105" s="25">
        <f t="shared" si="55"/>
        <v>25335</v>
      </c>
      <c r="AE105" s="26">
        <f t="shared" si="48"/>
        <v>89080.199999999968</v>
      </c>
      <c r="AF105" s="25">
        <f t="shared" si="49"/>
        <v>42496.800000000025</v>
      </c>
      <c r="AG105" s="25">
        <f t="shared" si="56"/>
        <v>26975</v>
      </c>
      <c r="AH105" s="26">
        <f t="shared" si="50"/>
        <v>69471.800000000017</v>
      </c>
      <c r="AI105" s="25">
        <f t="shared" si="51"/>
        <v>21248.400000000012</v>
      </c>
      <c r="AJ105" s="25">
        <f t="shared" si="57"/>
        <v>28615</v>
      </c>
      <c r="AK105" s="26">
        <f t="shared" si="52"/>
        <v>49863.400000000009</v>
      </c>
      <c r="AL105" s="25">
        <v>0</v>
      </c>
      <c r="AM105" s="25">
        <f t="shared" si="58"/>
        <v>30255</v>
      </c>
      <c r="AN105" s="26">
        <f t="shared" si="53"/>
        <v>30255</v>
      </c>
      <c r="AO105" s="24">
        <v>32</v>
      </c>
    </row>
    <row r="106" spans="1:41" ht="14.4" thickBot="1" x14ac:dyDescent="0.3">
      <c r="I106" s="24">
        <v>33</v>
      </c>
      <c r="J106" s="136">
        <f t="shared" si="59"/>
        <v>88820.357999999978</v>
      </c>
      <c r="K106" s="25">
        <v>0</v>
      </c>
      <c r="L106" s="26">
        <f t="shared" si="41"/>
        <v>88820.357999999978</v>
      </c>
      <c r="M106" s="231">
        <f>M105+B$101</f>
        <v>65737.237499999974</v>
      </c>
      <c r="N106" s="25">
        <f>N105+E$101</f>
        <v>27014.25</v>
      </c>
      <c r="O106" s="26">
        <f t="shared" si="42"/>
        <v>92751.487499999974</v>
      </c>
      <c r="P106" s="25">
        <f>P105+B$102</f>
        <v>43824.825000000026</v>
      </c>
      <c r="Q106" s="25">
        <f>Q105+E$102</f>
        <v>28705.5</v>
      </c>
      <c r="R106" s="26">
        <f t="shared" si="43"/>
        <v>72530.325000000026</v>
      </c>
      <c r="S106" s="15">
        <f t="shared" si="60"/>
        <v>21912.412500000013</v>
      </c>
      <c r="T106" s="15">
        <f t="shared" si="61"/>
        <v>30396.75</v>
      </c>
      <c r="U106" s="227">
        <f t="shared" si="44"/>
        <v>52309.162500000013</v>
      </c>
      <c r="V106" s="25">
        <v>0</v>
      </c>
      <c r="W106" s="25">
        <f t="shared" si="54"/>
        <v>32088</v>
      </c>
      <c r="X106" s="26">
        <f t="shared" si="45"/>
        <v>32088</v>
      </c>
      <c r="Y106" s="24">
        <v>33</v>
      </c>
      <c r="Z106" s="25"/>
      <c r="AA106" s="25"/>
      <c r="AB106" s="26">
        <f t="shared" si="46"/>
        <v>88820.357999999978</v>
      </c>
      <c r="AC106" s="25">
        <f t="shared" si="47"/>
        <v>65737.237499999974</v>
      </c>
      <c r="AD106" s="25">
        <f t="shared" si="55"/>
        <v>25885.25</v>
      </c>
      <c r="AE106" s="26">
        <f t="shared" si="48"/>
        <v>91622.487499999974</v>
      </c>
      <c r="AF106" s="25">
        <f t="shared" si="49"/>
        <v>43824.825000000026</v>
      </c>
      <c r="AG106" s="25">
        <f t="shared" si="56"/>
        <v>27576.5</v>
      </c>
      <c r="AH106" s="26">
        <f t="shared" si="50"/>
        <v>71401.325000000026</v>
      </c>
      <c r="AI106" s="25">
        <f t="shared" si="51"/>
        <v>21912.412500000013</v>
      </c>
      <c r="AJ106" s="25">
        <f t="shared" si="57"/>
        <v>29267.75</v>
      </c>
      <c r="AK106" s="26">
        <f t="shared" si="52"/>
        <v>51180.162500000013</v>
      </c>
      <c r="AL106" s="25">
        <v>0</v>
      </c>
      <c r="AM106" s="25">
        <f t="shared" si="58"/>
        <v>30959</v>
      </c>
      <c r="AN106" s="26">
        <f t="shared" si="53"/>
        <v>30959</v>
      </c>
      <c r="AO106" s="24">
        <v>33</v>
      </c>
    </row>
    <row r="107" spans="1:41" ht="14.4" thickBot="1" x14ac:dyDescent="0.3">
      <c r="I107" s="24">
        <v>34</v>
      </c>
      <c r="J107" s="136">
        <f t="shared" si="59"/>
        <v>91511.883999999976</v>
      </c>
      <c r="K107" s="25">
        <v>0</v>
      </c>
      <c r="L107" s="26">
        <f t="shared" si="41"/>
        <v>91511.883999999976</v>
      </c>
      <c r="M107" s="231">
        <f>M106+B$101</f>
        <v>67729.27499999998</v>
      </c>
      <c r="N107" s="25">
        <f>N106+E$101</f>
        <v>27174.5</v>
      </c>
      <c r="O107" s="26">
        <f t="shared" si="42"/>
        <v>94903.77499999998</v>
      </c>
      <c r="P107" s="25">
        <f>P106+B$102</f>
        <v>45152.850000000028</v>
      </c>
      <c r="Q107" s="25">
        <f>Q106+E$102</f>
        <v>28917</v>
      </c>
      <c r="R107" s="26">
        <f t="shared" si="43"/>
        <v>74069.850000000035</v>
      </c>
      <c r="S107" s="15">
        <f t="shared" si="60"/>
        <v>22576.425000000014</v>
      </c>
      <c r="T107" s="15">
        <f t="shared" si="61"/>
        <v>30659.5</v>
      </c>
      <c r="U107" s="227">
        <f t="shared" si="44"/>
        <v>53235.925000000017</v>
      </c>
      <c r="V107" s="25">
        <v>0</v>
      </c>
      <c r="W107" s="25">
        <f t="shared" si="54"/>
        <v>32402</v>
      </c>
      <c r="X107" s="26">
        <f t="shared" si="45"/>
        <v>32402</v>
      </c>
      <c r="Y107" s="24">
        <v>34</v>
      </c>
      <c r="Z107" s="25"/>
      <c r="AA107" s="25"/>
      <c r="AB107" s="26">
        <f t="shared" si="46"/>
        <v>91511.883999999976</v>
      </c>
      <c r="AC107" s="25">
        <f t="shared" si="47"/>
        <v>67729.27499999998</v>
      </c>
      <c r="AD107" s="25">
        <f t="shared" si="55"/>
        <v>26435.5</v>
      </c>
      <c r="AE107" s="26">
        <f t="shared" si="48"/>
        <v>94164.77499999998</v>
      </c>
      <c r="AF107" s="25">
        <f t="shared" si="49"/>
        <v>45152.850000000028</v>
      </c>
      <c r="AG107" s="25">
        <f t="shared" si="56"/>
        <v>28178</v>
      </c>
      <c r="AH107" s="26">
        <f t="shared" si="50"/>
        <v>73330.850000000035</v>
      </c>
      <c r="AI107" s="25">
        <f t="shared" si="51"/>
        <v>22576.425000000014</v>
      </c>
      <c r="AJ107" s="25">
        <f t="shared" si="57"/>
        <v>29920.5</v>
      </c>
      <c r="AK107" s="26">
        <f t="shared" si="52"/>
        <v>52496.925000000017</v>
      </c>
      <c r="AL107" s="25">
        <v>0</v>
      </c>
      <c r="AM107" s="25">
        <f t="shared" si="58"/>
        <v>31663</v>
      </c>
      <c r="AN107" s="26">
        <f t="shared" si="53"/>
        <v>31663</v>
      </c>
      <c r="AO107" s="24">
        <v>34</v>
      </c>
    </row>
    <row r="108" spans="1:41" ht="14.4" thickBot="1" x14ac:dyDescent="0.3">
      <c r="I108" s="24">
        <v>35</v>
      </c>
      <c r="J108" s="136">
        <f t="shared" si="59"/>
        <v>94203.409999999974</v>
      </c>
      <c r="K108" s="25">
        <v>0</v>
      </c>
      <c r="L108" s="26">
        <f t="shared" si="41"/>
        <v>94203.409999999974</v>
      </c>
      <c r="M108" s="231">
        <f>M107+B$101</f>
        <v>69721.312499999985</v>
      </c>
      <c r="N108" s="25">
        <f>N107+E$101</f>
        <v>27334.75</v>
      </c>
      <c r="O108" s="26">
        <f t="shared" si="42"/>
        <v>97056.062499999985</v>
      </c>
      <c r="P108" s="25">
        <f>P107+B$102</f>
        <v>46480.875000000029</v>
      </c>
      <c r="Q108" s="25">
        <f>Q107+E$102</f>
        <v>29128.5</v>
      </c>
      <c r="R108" s="26">
        <f t="shared" si="43"/>
        <v>75609.375000000029</v>
      </c>
      <c r="S108" s="15">
        <f t="shared" si="60"/>
        <v>23240.437500000015</v>
      </c>
      <c r="T108" s="15">
        <f t="shared" si="61"/>
        <v>30922.25</v>
      </c>
      <c r="U108" s="227">
        <f t="shared" si="44"/>
        <v>54162.687500000015</v>
      </c>
      <c r="V108" s="25">
        <v>0</v>
      </c>
      <c r="W108" s="25">
        <f t="shared" si="54"/>
        <v>32716</v>
      </c>
      <c r="X108" s="26">
        <f t="shared" si="45"/>
        <v>32716</v>
      </c>
      <c r="Y108" s="24">
        <v>35</v>
      </c>
      <c r="Z108" s="25"/>
      <c r="AA108" s="25"/>
      <c r="AB108" s="26">
        <f t="shared" si="46"/>
        <v>94203.409999999974</v>
      </c>
      <c r="AC108" s="25">
        <f t="shared" si="47"/>
        <v>69721.312499999985</v>
      </c>
      <c r="AD108" s="25">
        <f t="shared" si="55"/>
        <v>26985.75</v>
      </c>
      <c r="AE108" s="26">
        <f t="shared" si="48"/>
        <v>96707.062499999985</v>
      </c>
      <c r="AF108" s="25">
        <f t="shared" si="49"/>
        <v>46480.875000000029</v>
      </c>
      <c r="AG108" s="25">
        <f t="shared" si="56"/>
        <v>28779.5</v>
      </c>
      <c r="AH108" s="26">
        <f t="shared" si="50"/>
        <v>75260.375000000029</v>
      </c>
      <c r="AI108" s="25">
        <f t="shared" si="51"/>
        <v>23240.437500000015</v>
      </c>
      <c r="AJ108" s="25">
        <f t="shared" si="57"/>
        <v>30573.25</v>
      </c>
      <c r="AK108" s="26">
        <f t="shared" si="52"/>
        <v>53813.687500000015</v>
      </c>
      <c r="AL108" s="25">
        <v>0</v>
      </c>
      <c r="AM108" s="25">
        <f t="shared" si="58"/>
        <v>32367</v>
      </c>
      <c r="AN108" s="26">
        <f t="shared" si="53"/>
        <v>32367</v>
      </c>
      <c r="AO108" s="24">
        <v>35</v>
      </c>
    </row>
    <row r="109" spans="1:41" ht="14.4" thickBot="1" x14ac:dyDescent="0.3">
      <c r="I109" s="42">
        <v>36</v>
      </c>
      <c r="J109" s="136">
        <f t="shared" si="59"/>
        <v>96894.935999999972</v>
      </c>
      <c r="K109" s="39">
        <v>0</v>
      </c>
      <c r="L109" s="26">
        <f t="shared" si="41"/>
        <v>96894.935999999972</v>
      </c>
      <c r="M109" s="231">
        <f>M108+B$101</f>
        <v>71713.349999999991</v>
      </c>
      <c r="N109" s="25">
        <f>N108+E$101</f>
        <v>27495</v>
      </c>
      <c r="O109" s="26">
        <f t="shared" si="42"/>
        <v>99208.349999999991</v>
      </c>
      <c r="P109" s="25">
        <f>P108+B$102</f>
        <v>47808.900000000031</v>
      </c>
      <c r="Q109" s="25">
        <f>Q108+E$102</f>
        <v>29340</v>
      </c>
      <c r="R109" s="26">
        <f t="shared" si="43"/>
        <v>77148.900000000023</v>
      </c>
      <c r="S109" s="15">
        <f t="shared" si="60"/>
        <v>23904.450000000015</v>
      </c>
      <c r="T109" s="15">
        <f t="shared" si="61"/>
        <v>31185</v>
      </c>
      <c r="U109" s="227">
        <f t="shared" si="44"/>
        <v>55089.450000000012</v>
      </c>
      <c r="V109" s="25">
        <v>0</v>
      </c>
      <c r="W109" s="25">
        <f t="shared" si="54"/>
        <v>33030</v>
      </c>
      <c r="X109" s="26">
        <f t="shared" si="45"/>
        <v>33030</v>
      </c>
      <c r="Y109" s="42">
        <v>36</v>
      </c>
      <c r="Z109" s="39"/>
      <c r="AA109" s="39"/>
      <c r="AB109" s="26">
        <f t="shared" si="46"/>
        <v>96894.935999999972</v>
      </c>
      <c r="AC109" s="25">
        <f t="shared" si="47"/>
        <v>71713.349999999991</v>
      </c>
      <c r="AD109" s="25">
        <f t="shared" si="55"/>
        <v>27536</v>
      </c>
      <c r="AE109" s="26">
        <f t="shared" si="48"/>
        <v>99249.349999999991</v>
      </c>
      <c r="AF109" s="25">
        <f t="shared" si="49"/>
        <v>47808.900000000031</v>
      </c>
      <c r="AG109" s="25">
        <f t="shared" si="56"/>
        <v>29381</v>
      </c>
      <c r="AH109" s="26">
        <f t="shared" si="50"/>
        <v>77189.900000000023</v>
      </c>
      <c r="AI109" s="25">
        <f t="shared" si="51"/>
        <v>23904.450000000015</v>
      </c>
      <c r="AJ109" s="25">
        <f t="shared" si="57"/>
        <v>31226</v>
      </c>
      <c r="AK109" s="26">
        <f t="shared" si="52"/>
        <v>55130.450000000012</v>
      </c>
      <c r="AL109" s="25">
        <v>0</v>
      </c>
      <c r="AM109" s="25">
        <f t="shared" si="58"/>
        <v>33071</v>
      </c>
      <c r="AN109" s="26">
        <f t="shared" si="53"/>
        <v>33071</v>
      </c>
      <c r="AO109" s="42">
        <v>36</v>
      </c>
    </row>
    <row r="110" spans="1:41" ht="14.4" thickBot="1" x14ac:dyDescent="0.3">
      <c r="I110" s="24">
        <v>37</v>
      </c>
      <c r="J110" s="136">
        <f t="shared" si="59"/>
        <v>99586.46199999997</v>
      </c>
      <c r="K110" s="25">
        <v>0</v>
      </c>
      <c r="L110" s="26">
        <f t="shared" si="41"/>
        <v>99586.46199999997</v>
      </c>
      <c r="M110" s="231">
        <f>M109+B$101</f>
        <v>73705.387499999997</v>
      </c>
      <c r="N110" s="25">
        <f>N109+E$101</f>
        <v>27655.25</v>
      </c>
      <c r="O110" s="26">
        <f t="shared" si="42"/>
        <v>101360.6375</v>
      </c>
      <c r="P110" s="25">
        <f>P109+B$102</f>
        <v>49136.925000000032</v>
      </c>
      <c r="Q110" s="25">
        <f>Q109+E$102</f>
        <v>29551.5</v>
      </c>
      <c r="R110" s="26">
        <f t="shared" si="43"/>
        <v>78688.425000000032</v>
      </c>
      <c r="S110" s="15">
        <f t="shared" si="60"/>
        <v>24568.462500000016</v>
      </c>
      <c r="T110" s="15">
        <f t="shared" si="61"/>
        <v>31447.75</v>
      </c>
      <c r="U110" s="227">
        <f t="shared" si="44"/>
        <v>56016.212500000016</v>
      </c>
      <c r="V110" s="25">
        <v>0</v>
      </c>
      <c r="W110" s="25">
        <f t="shared" si="54"/>
        <v>33344</v>
      </c>
      <c r="X110" s="26">
        <f t="shared" si="45"/>
        <v>33344</v>
      </c>
      <c r="Y110" s="24">
        <v>37</v>
      </c>
      <c r="Z110" s="25"/>
      <c r="AA110" s="25"/>
      <c r="AB110" s="26">
        <f t="shared" si="46"/>
        <v>99586.46199999997</v>
      </c>
      <c r="AC110" s="25">
        <f t="shared" si="47"/>
        <v>73705.387499999997</v>
      </c>
      <c r="AD110" s="25">
        <f t="shared" si="55"/>
        <v>28086.25</v>
      </c>
      <c r="AE110" s="26">
        <f t="shared" si="48"/>
        <v>101791.6375</v>
      </c>
      <c r="AF110" s="25">
        <f t="shared" si="49"/>
        <v>49136.925000000032</v>
      </c>
      <c r="AG110" s="25">
        <f t="shared" si="56"/>
        <v>29982.5</v>
      </c>
      <c r="AH110" s="26">
        <f t="shared" si="50"/>
        <v>79119.425000000032</v>
      </c>
      <c r="AI110" s="25">
        <f t="shared" si="51"/>
        <v>24568.462500000016</v>
      </c>
      <c r="AJ110" s="25">
        <f t="shared" si="57"/>
        <v>31878.75</v>
      </c>
      <c r="AK110" s="26">
        <f t="shared" si="52"/>
        <v>56447.212500000016</v>
      </c>
      <c r="AL110" s="25">
        <v>0</v>
      </c>
      <c r="AM110" s="25">
        <f t="shared" si="58"/>
        <v>33775</v>
      </c>
      <c r="AN110" s="26">
        <f t="shared" si="53"/>
        <v>33775</v>
      </c>
      <c r="AO110" s="24">
        <v>37</v>
      </c>
    </row>
    <row r="111" spans="1:41" ht="14.4" thickBot="1" x14ac:dyDescent="0.3">
      <c r="I111" s="24">
        <v>38</v>
      </c>
      <c r="J111" s="136">
        <f t="shared" si="59"/>
        <v>102277.98799999997</v>
      </c>
      <c r="K111" s="25">
        <v>0</v>
      </c>
      <c r="L111" s="26">
        <f t="shared" si="41"/>
        <v>102277.98799999997</v>
      </c>
      <c r="M111" s="231">
        <f>M110+B$101</f>
        <v>75697.425000000003</v>
      </c>
      <c r="N111" s="25">
        <f>N110+E$101</f>
        <v>27815.5</v>
      </c>
      <c r="O111" s="26">
        <f t="shared" si="42"/>
        <v>103512.925</v>
      </c>
      <c r="P111" s="25">
        <f>P110+B$102</f>
        <v>50464.950000000033</v>
      </c>
      <c r="Q111" s="25">
        <f>Q110+E$102</f>
        <v>29763</v>
      </c>
      <c r="R111" s="26">
        <f t="shared" si="43"/>
        <v>80227.950000000041</v>
      </c>
      <c r="S111" s="15">
        <f t="shared" si="60"/>
        <v>25232.475000000017</v>
      </c>
      <c r="T111" s="15">
        <f t="shared" si="61"/>
        <v>31710.5</v>
      </c>
      <c r="U111" s="227">
        <f t="shared" si="44"/>
        <v>56942.97500000002</v>
      </c>
      <c r="V111" s="25">
        <v>0</v>
      </c>
      <c r="W111" s="25">
        <f t="shared" si="54"/>
        <v>33658</v>
      </c>
      <c r="X111" s="26">
        <f t="shared" si="45"/>
        <v>33658</v>
      </c>
      <c r="Y111" s="24">
        <v>38</v>
      </c>
      <c r="Z111" s="25"/>
      <c r="AA111" s="25"/>
      <c r="AB111" s="26">
        <f t="shared" si="46"/>
        <v>102277.98799999997</v>
      </c>
      <c r="AC111" s="25">
        <f t="shared" si="47"/>
        <v>75697.425000000003</v>
      </c>
      <c r="AD111" s="25">
        <f t="shared" si="55"/>
        <v>28636.5</v>
      </c>
      <c r="AE111" s="26">
        <f t="shared" si="48"/>
        <v>104333.925</v>
      </c>
      <c r="AF111" s="25">
        <f t="shared" si="49"/>
        <v>50464.950000000033</v>
      </c>
      <c r="AG111" s="25">
        <f t="shared" si="56"/>
        <v>30584</v>
      </c>
      <c r="AH111" s="26">
        <f t="shared" si="50"/>
        <v>81048.950000000041</v>
      </c>
      <c r="AI111" s="25">
        <f t="shared" si="51"/>
        <v>25232.475000000017</v>
      </c>
      <c r="AJ111" s="25">
        <f t="shared" si="57"/>
        <v>32531.5</v>
      </c>
      <c r="AK111" s="26">
        <f t="shared" si="52"/>
        <v>57763.97500000002</v>
      </c>
      <c r="AL111" s="25">
        <v>0</v>
      </c>
      <c r="AM111" s="25">
        <f t="shared" si="58"/>
        <v>34479</v>
      </c>
      <c r="AN111" s="26">
        <f t="shared" si="53"/>
        <v>34479</v>
      </c>
      <c r="AO111" s="24">
        <v>38</v>
      </c>
    </row>
    <row r="112" spans="1:41" ht="14.4" thickBot="1" x14ac:dyDescent="0.3">
      <c r="I112" s="24">
        <v>39</v>
      </c>
      <c r="J112" s="136">
        <f t="shared" si="59"/>
        <v>104969.51399999997</v>
      </c>
      <c r="K112" s="25">
        <v>0</v>
      </c>
      <c r="L112" s="26">
        <f t="shared" si="41"/>
        <v>104969.51399999997</v>
      </c>
      <c r="M112" s="231">
        <f>M111+B$101</f>
        <v>77689.462500000009</v>
      </c>
      <c r="N112" s="25">
        <f>N111+E$101</f>
        <v>27975.75</v>
      </c>
      <c r="O112" s="26">
        <f t="shared" si="42"/>
        <v>105665.21250000001</v>
      </c>
      <c r="P112" s="25">
        <f>P111+B$102</f>
        <v>51792.975000000035</v>
      </c>
      <c r="Q112" s="25">
        <f>Q111+E$102</f>
        <v>29974.5</v>
      </c>
      <c r="R112" s="26">
        <f t="shared" si="43"/>
        <v>81767.475000000035</v>
      </c>
      <c r="S112" s="15">
        <f t="shared" si="60"/>
        <v>25896.487500000017</v>
      </c>
      <c r="T112" s="15">
        <f t="shared" si="61"/>
        <v>31973.25</v>
      </c>
      <c r="U112" s="227">
        <f t="shared" si="44"/>
        <v>57869.737500000017</v>
      </c>
      <c r="V112" s="25">
        <v>0</v>
      </c>
      <c r="W112" s="25">
        <f t="shared" si="54"/>
        <v>33972</v>
      </c>
      <c r="X112" s="26">
        <f t="shared" si="45"/>
        <v>33972</v>
      </c>
      <c r="Y112" s="24">
        <v>39</v>
      </c>
      <c r="Z112" s="25"/>
      <c r="AA112" s="25"/>
      <c r="AB112" s="26">
        <f t="shared" si="46"/>
        <v>104969.51399999997</v>
      </c>
      <c r="AC112" s="25">
        <f t="shared" si="47"/>
        <v>77689.462500000009</v>
      </c>
      <c r="AD112" s="25">
        <f t="shared" si="55"/>
        <v>29186.75</v>
      </c>
      <c r="AE112" s="26">
        <f t="shared" si="48"/>
        <v>106876.21250000001</v>
      </c>
      <c r="AF112" s="25">
        <f t="shared" si="49"/>
        <v>51792.975000000035</v>
      </c>
      <c r="AG112" s="25">
        <f t="shared" si="56"/>
        <v>31185.5</v>
      </c>
      <c r="AH112" s="26">
        <f t="shared" si="50"/>
        <v>82978.475000000035</v>
      </c>
      <c r="AI112" s="25">
        <f t="shared" si="51"/>
        <v>25896.487500000017</v>
      </c>
      <c r="AJ112" s="25">
        <f t="shared" si="57"/>
        <v>33184.25</v>
      </c>
      <c r="AK112" s="26">
        <f t="shared" si="52"/>
        <v>59080.737500000017</v>
      </c>
      <c r="AL112" s="25">
        <v>0</v>
      </c>
      <c r="AM112" s="25">
        <f t="shared" si="58"/>
        <v>35183</v>
      </c>
      <c r="AN112" s="26">
        <f t="shared" si="53"/>
        <v>35183</v>
      </c>
      <c r="AO112" s="24">
        <v>39</v>
      </c>
    </row>
    <row r="113" spans="9:48" ht="14.4" thickBot="1" x14ac:dyDescent="0.3">
      <c r="I113" s="24">
        <v>40</v>
      </c>
      <c r="J113" s="136">
        <f t="shared" si="59"/>
        <v>107661.03999999996</v>
      </c>
      <c r="K113" s="25">
        <v>0</v>
      </c>
      <c r="L113" s="26">
        <f t="shared" si="41"/>
        <v>107661.03999999996</v>
      </c>
      <c r="M113" s="231">
        <f>M112+B$101</f>
        <v>79681.500000000015</v>
      </c>
      <c r="N113" s="25">
        <f>N112+E$101</f>
        <v>28136</v>
      </c>
      <c r="O113" s="26">
        <f t="shared" si="42"/>
        <v>107817.50000000001</v>
      </c>
      <c r="P113" s="25">
        <f>P112+B$102</f>
        <v>53121.000000000036</v>
      </c>
      <c r="Q113" s="25">
        <f>Q112+E$102</f>
        <v>30186</v>
      </c>
      <c r="R113" s="26">
        <f t="shared" si="43"/>
        <v>83307.000000000029</v>
      </c>
      <c r="S113" s="15">
        <f t="shared" si="60"/>
        <v>26560.500000000018</v>
      </c>
      <c r="T113" s="15">
        <f t="shared" si="61"/>
        <v>32236</v>
      </c>
      <c r="U113" s="227">
        <f t="shared" si="44"/>
        <v>58796.500000000015</v>
      </c>
      <c r="V113" s="25">
        <v>0</v>
      </c>
      <c r="W113" s="25">
        <f t="shared" si="54"/>
        <v>34286</v>
      </c>
      <c r="X113" s="26">
        <f t="shared" si="45"/>
        <v>34286</v>
      </c>
      <c r="Y113" s="24">
        <v>40</v>
      </c>
      <c r="Z113" s="25"/>
      <c r="AA113" s="25"/>
      <c r="AB113" s="26">
        <f t="shared" si="46"/>
        <v>107661.03999999996</v>
      </c>
      <c r="AC113" s="25">
        <f t="shared" si="47"/>
        <v>79681.500000000015</v>
      </c>
      <c r="AD113" s="25">
        <f t="shared" si="55"/>
        <v>29737</v>
      </c>
      <c r="AE113" s="26">
        <f t="shared" si="48"/>
        <v>109418.50000000001</v>
      </c>
      <c r="AF113" s="25">
        <f t="shared" si="49"/>
        <v>53121.000000000036</v>
      </c>
      <c r="AG113" s="25">
        <f t="shared" si="56"/>
        <v>31787</v>
      </c>
      <c r="AH113" s="26">
        <f t="shared" si="50"/>
        <v>84908.000000000029</v>
      </c>
      <c r="AI113" s="25">
        <f t="shared" si="51"/>
        <v>26560.500000000018</v>
      </c>
      <c r="AJ113" s="25">
        <f t="shared" si="57"/>
        <v>33837</v>
      </c>
      <c r="AK113" s="26">
        <f t="shared" si="52"/>
        <v>60397.500000000015</v>
      </c>
      <c r="AL113" s="25">
        <v>0</v>
      </c>
      <c r="AM113" s="25">
        <f t="shared" si="58"/>
        <v>35887</v>
      </c>
      <c r="AN113" s="26">
        <f t="shared" si="53"/>
        <v>35887</v>
      </c>
      <c r="AO113" s="24">
        <v>40</v>
      </c>
    </row>
    <row r="114" spans="9:48" ht="14.4" thickBot="1" x14ac:dyDescent="0.3">
      <c r="I114" s="24">
        <v>41</v>
      </c>
      <c r="J114" s="136">
        <f t="shared" si="59"/>
        <v>110352.56599999996</v>
      </c>
      <c r="K114" s="25">
        <v>0</v>
      </c>
      <c r="L114" s="26">
        <f t="shared" si="41"/>
        <v>110352.56599999996</v>
      </c>
      <c r="M114" s="231">
        <f>M113+B$101</f>
        <v>81673.53750000002</v>
      </c>
      <c r="N114" s="25">
        <f>N113+E$101</f>
        <v>28296.25</v>
      </c>
      <c r="O114" s="26">
        <f t="shared" si="42"/>
        <v>109969.78750000002</v>
      </c>
      <c r="P114" s="25">
        <f>P113+B$102</f>
        <v>54449.025000000038</v>
      </c>
      <c r="Q114" s="25">
        <f>Q113+E$102</f>
        <v>30397.5</v>
      </c>
      <c r="R114" s="26">
        <f t="shared" si="43"/>
        <v>84846.525000000038</v>
      </c>
      <c r="S114" s="15">
        <f t="shared" si="60"/>
        <v>27224.512500000019</v>
      </c>
      <c r="T114" s="15">
        <f t="shared" si="61"/>
        <v>32498.75</v>
      </c>
      <c r="U114" s="227">
        <f t="shared" si="44"/>
        <v>59723.262500000019</v>
      </c>
      <c r="V114" s="25">
        <v>0</v>
      </c>
      <c r="W114" s="25">
        <f t="shared" si="54"/>
        <v>34600</v>
      </c>
      <c r="X114" s="26">
        <f t="shared" si="45"/>
        <v>34600</v>
      </c>
      <c r="Y114" s="24">
        <v>41</v>
      </c>
      <c r="Z114" s="25"/>
      <c r="AA114" s="25"/>
      <c r="AB114" s="26">
        <f t="shared" si="46"/>
        <v>110352.56599999996</v>
      </c>
      <c r="AC114" s="25">
        <f t="shared" si="47"/>
        <v>81673.53750000002</v>
      </c>
      <c r="AD114" s="25">
        <f t="shared" si="55"/>
        <v>30287.25</v>
      </c>
      <c r="AE114" s="26">
        <f t="shared" si="48"/>
        <v>111960.78750000002</v>
      </c>
      <c r="AF114" s="25">
        <f t="shared" si="49"/>
        <v>54449.025000000038</v>
      </c>
      <c r="AG114" s="25">
        <f t="shared" si="56"/>
        <v>32388.5</v>
      </c>
      <c r="AH114" s="26">
        <f t="shared" si="50"/>
        <v>86837.525000000038</v>
      </c>
      <c r="AI114" s="25">
        <f t="shared" si="51"/>
        <v>27224.512500000019</v>
      </c>
      <c r="AJ114" s="25">
        <f t="shared" si="57"/>
        <v>34489.75</v>
      </c>
      <c r="AK114" s="26">
        <f t="shared" si="52"/>
        <v>61714.262500000019</v>
      </c>
      <c r="AL114" s="25">
        <v>0</v>
      </c>
      <c r="AM114" s="25">
        <f t="shared" si="58"/>
        <v>36591</v>
      </c>
      <c r="AN114" s="26">
        <f t="shared" si="53"/>
        <v>36591</v>
      </c>
      <c r="AO114" s="24">
        <v>41</v>
      </c>
    </row>
    <row r="115" spans="9:48" ht="14.4" thickBot="1" x14ac:dyDescent="0.3">
      <c r="I115" s="24">
        <v>42</v>
      </c>
      <c r="J115" s="136">
        <f t="shared" si="59"/>
        <v>113044.09199999996</v>
      </c>
      <c r="K115" s="25">
        <v>0</v>
      </c>
      <c r="L115" s="26">
        <f t="shared" si="41"/>
        <v>113044.09199999996</v>
      </c>
      <c r="M115" s="231">
        <f>M114+B$101</f>
        <v>83665.575000000026</v>
      </c>
      <c r="N115" s="25">
        <f>N114+E$101</f>
        <v>28456.5</v>
      </c>
      <c r="O115" s="26">
        <f t="shared" si="42"/>
        <v>112122.07500000003</v>
      </c>
      <c r="P115" s="25">
        <f>P114+B$102</f>
        <v>55777.050000000039</v>
      </c>
      <c r="Q115" s="25">
        <f>Q114+E$102</f>
        <v>30609</v>
      </c>
      <c r="R115" s="26">
        <f t="shared" si="43"/>
        <v>86386.050000000047</v>
      </c>
      <c r="S115" s="15">
        <f t="shared" si="60"/>
        <v>27888.52500000002</v>
      </c>
      <c r="T115" s="15">
        <f t="shared" si="61"/>
        <v>32761.5</v>
      </c>
      <c r="U115" s="227">
        <f t="shared" si="44"/>
        <v>60650.025000000023</v>
      </c>
      <c r="V115" s="25">
        <v>0</v>
      </c>
      <c r="W115" s="25">
        <f t="shared" si="54"/>
        <v>34914</v>
      </c>
      <c r="X115" s="26">
        <f t="shared" si="45"/>
        <v>34914</v>
      </c>
      <c r="Y115" s="24">
        <v>42</v>
      </c>
      <c r="Z115" s="25"/>
      <c r="AA115" s="25"/>
      <c r="AB115" s="26">
        <f t="shared" si="46"/>
        <v>113044.09199999996</v>
      </c>
      <c r="AC115" s="25">
        <f t="shared" si="47"/>
        <v>83665.575000000026</v>
      </c>
      <c r="AD115" s="25">
        <f t="shared" si="55"/>
        <v>30837.5</v>
      </c>
      <c r="AE115" s="26">
        <f t="shared" si="48"/>
        <v>114503.07500000003</v>
      </c>
      <c r="AF115" s="25">
        <f t="shared" si="49"/>
        <v>55777.050000000039</v>
      </c>
      <c r="AG115" s="25">
        <f t="shared" si="56"/>
        <v>32990</v>
      </c>
      <c r="AH115" s="26">
        <f t="shared" si="50"/>
        <v>88767.050000000047</v>
      </c>
      <c r="AI115" s="25">
        <f t="shared" si="51"/>
        <v>27888.52500000002</v>
      </c>
      <c r="AJ115" s="25">
        <f t="shared" si="57"/>
        <v>35142.5</v>
      </c>
      <c r="AK115" s="26">
        <f t="shared" si="52"/>
        <v>63031.025000000023</v>
      </c>
      <c r="AL115" s="25">
        <v>0</v>
      </c>
      <c r="AM115" s="25">
        <f t="shared" si="58"/>
        <v>37295</v>
      </c>
      <c r="AN115" s="26">
        <f t="shared" si="53"/>
        <v>37295</v>
      </c>
      <c r="AO115" s="24">
        <v>42</v>
      </c>
      <c r="AU115" s="8" t="s">
        <v>171</v>
      </c>
      <c r="AV115" s="8" t="s">
        <v>172</v>
      </c>
    </row>
    <row r="116" spans="9:48" ht="14.4" thickBot="1" x14ac:dyDescent="0.3">
      <c r="I116" s="24">
        <v>43</v>
      </c>
      <c r="J116" s="136">
        <f t="shared" si="59"/>
        <v>115735.61799999996</v>
      </c>
      <c r="K116" s="25">
        <v>0</v>
      </c>
      <c r="L116" s="26">
        <f t="shared" si="41"/>
        <v>115735.61799999996</v>
      </c>
      <c r="M116" s="231">
        <f>M115+B$101</f>
        <v>85657.612500000032</v>
      </c>
      <c r="N116" s="25">
        <f>N115+E$101</f>
        <v>28616.75</v>
      </c>
      <c r="O116" s="26">
        <f t="shared" si="42"/>
        <v>114274.36250000003</v>
      </c>
      <c r="P116" s="25">
        <f>P115+B$102</f>
        <v>57105.075000000041</v>
      </c>
      <c r="Q116" s="25">
        <f>Q115+E$102</f>
        <v>30820.5</v>
      </c>
      <c r="R116" s="26">
        <f t="shared" si="43"/>
        <v>87925.575000000041</v>
      </c>
      <c r="S116" s="15">
        <f t="shared" si="60"/>
        <v>28552.53750000002</v>
      </c>
      <c r="T116" s="15">
        <f t="shared" si="61"/>
        <v>33024.25</v>
      </c>
      <c r="U116" s="227">
        <f t="shared" si="44"/>
        <v>61576.78750000002</v>
      </c>
      <c r="V116" s="25">
        <v>0</v>
      </c>
      <c r="W116" s="25">
        <f t="shared" si="54"/>
        <v>35228</v>
      </c>
      <c r="X116" s="26">
        <f t="shared" si="45"/>
        <v>35228</v>
      </c>
      <c r="Y116" s="24">
        <v>43</v>
      </c>
      <c r="Z116" s="25"/>
      <c r="AA116" s="25"/>
      <c r="AB116" s="26">
        <f t="shared" si="46"/>
        <v>115735.61799999996</v>
      </c>
      <c r="AC116" s="25">
        <f t="shared" si="47"/>
        <v>85657.612500000032</v>
      </c>
      <c r="AD116" s="25">
        <f t="shared" si="55"/>
        <v>31387.75</v>
      </c>
      <c r="AE116" s="26">
        <f t="shared" si="48"/>
        <v>117045.36250000003</v>
      </c>
      <c r="AF116" s="25">
        <f t="shared" si="49"/>
        <v>57105.075000000041</v>
      </c>
      <c r="AG116" s="25">
        <f t="shared" si="56"/>
        <v>33591.5</v>
      </c>
      <c r="AH116" s="26">
        <f t="shared" si="50"/>
        <v>90696.575000000041</v>
      </c>
      <c r="AI116" s="25">
        <f t="shared" si="51"/>
        <v>28552.53750000002</v>
      </c>
      <c r="AJ116" s="25">
        <f t="shared" si="57"/>
        <v>35795.25</v>
      </c>
      <c r="AK116" s="26">
        <f t="shared" si="52"/>
        <v>64347.78750000002</v>
      </c>
      <c r="AL116" s="25">
        <v>0</v>
      </c>
      <c r="AM116" s="25">
        <f t="shared" si="58"/>
        <v>37999</v>
      </c>
      <c r="AN116" s="26">
        <f t="shared" si="53"/>
        <v>37999</v>
      </c>
      <c r="AO116" s="24">
        <v>43</v>
      </c>
      <c r="AT116" s="10">
        <v>0.25</v>
      </c>
      <c r="AU116" s="237">
        <f>L$133-O133</f>
        <v>10628.309999999969</v>
      </c>
      <c r="AV116" s="237">
        <f>AB133-AE133</f>
        <v>1227.3099999999686</v>
      </c>
    </row>
    <row r="117" spans="9:48" ht="14.4" thickBot="1" x14ac:dyDescent="0.3">
      <c r="I117" s="24">
        <v>44</v>
      </c>
      <c r="J117" s="136">
        <f t="shared" si="59"/>
        <v>118427.14399999996</v>
      </c>
      <c r="K117" s="25">
        <v>0</v>
      </c>
      <c r="L117" s="26">
        <f t="shared" si="41"/>
        <v>118427.14399999996</v>
      </c>
      <c r="M117" s="231">
        <f>M116+B$101</f>
        <v>87649.650000000038</v>
      </c>
      <c r="N117" s="25">
        <f>N116+E$101</f>
        <v>28777</v>
      </c>
      <c r="O117" s="26">
        <f t="shared" si="42"/>
        <v>116426.65000000004</v>
      </c>
      <c r="P117" s="25">
        <f>P116+B$102</f>
        <v>58433.100000000042</v>
      </c>
      <c r="Q117" s="25">
        <f>Q116+E$102</f>
        <v>31032</v>
      </c>
      <c r="R117" s="26">
        <f t="shared" si="43"/>
        <v>89465.100000000035</v>
      </c>
      <c r="S117" s="15">
        <f t="shared" si="60"/>
        <v>29216.550000000021</v>
      </c>
      <c r="T117" s="15">
        <f t="shared" si="61"/>
        <v>33287</v>
      </c>
      <c r="U117" s="227">
        <f t="shared" si="44"/>
        <v>62503.550000000017</v>
      </c>
      <c r="V117" s="25">
        <v>0</v>
      </c>
      <c r="W117" s="25">
        <f t="shared" si="54"/>
        <v>35542</v>
      </c>
      <c r="X117" s="26">
        <f t="shared" si="45"/>
        <v>35542</v>
      </c>
      <c r="Y117" s="24">
        <v>44</v>
      </c>
      <c r="Z117" s="25"/>
      <c r="AA117" s="25"/>
      <c r="AB117" s="26">
        <f t="shared" si="46"/>
        <v>118427.14399999996</v>
      </c>
      <c r="AC117" s="25">
        <f t="shared" si="47"/>
        <v>87649.650000000038</v>
      </c>
      <c r="AD117" s="25">
        <f t="shared" si="55"/>
        <v>31938</v>
      </c>
      <c r="AE117" s="26">
        <f t="shared" si="48"/>
        <v>119587.65000000004</v>
      </c>
      <c r="AF117" s="25">
        <f t="shared" si="49"/>
        <v>58433.100000000042</v>
      </c>
      <c r="AG117" s="25">
        <f t="shared" si="56"/>
        <v>34193</v>
      </c>
      <c r="AH117" s="26">
        <f t="shared" si="50"/>
        <v>92626.100000000035</v>
      </c>
      <c r="AI117" s="25">
        <f t="shared" si="51"/>
        <v>29216.550000000021</v>
      </c>
      <c r="AJ117" s="25">
        <f t="shared" si="57"/>
        <v>36448</v>
      </c>
      <c r="AK117" s="26">
        <f t="shared" si="52"/>
        <v>65664.550000000017</v>
      </c>
      <c r="AL117" s="25">
        <v>0</v>
      </c>
      <c r="AM117" s="25">
        <f t="shared" si="58"/>
        <v>38703</v>
      </c>
      <c r="AN117" s="26">
        <f t="shared" si="53"/>
        <v>38703</v>
      </c>
      <c r="AO117" s="24">
        <v>44</v>
      </c>
      <c r="AT117" s="10">
        <v>0.5</v>
      </c>
      <c r="AU117" s="237">
        <f>L133-R133</f>
        <v>47394.0600000001</v>
      </c>
      <c r="AV117" s="237">
        <f>AB133-AH133</f>
        <v>37993.0600000001</v>
      </c>
    </row>
    <row r="118" spans="9:48" ht="14.4" thickBot="1" x14ac:dyDescent="0.3">
      <c r="I118" s="24">
        <v>45</v>
      </c>
      <c r="J118" s="136">
        <f t="shared" si="59"/>
        <v>121118.66999999995</v>
      </c>
      <c r="K118" s="25">
        <v>0</v>
      </c>
      <c r="L118" s="26">
        <f t="shared" si="41"/>
        <v>121118.66999999995</v>
      </c>
      <c r="M118" s="231">
        <f>M117+B$101</f>
        <v>89641.687500000044</v>
      </c>
      <c r="N118" s="25">
        <f>N117+E$101</f>
        <v>28937.25</v>
      </c>
      <c r="O118" s="26">
        <f t="shared" si="42"/>
        <v>118578.93750000004</v>
      </c>
      <c r="P118" s="25">
        <f>P117+B$102</f>
        <v>59761.125000000044</v>
      </c>
      <c r="Q118" s="25">
        <f>Q117+E$102</f>
        <v>31243.5</v>
      </c>
      <c r="R118" s="26">
        <f t="shared" si="43"/>
        <v>91004.625000000044</v>
      </c>
      <c r="S118" s="15">
        <f t="shared" si="60"/>
        <v>29880.562500000022</v>
      </c>
      <c r="T118" s="15">
        <f t="shared" si="61"/>
        <v>33549.75</v>
      </c>
      <c r="U118" s="227">
        <f t="shared" si="44"/>
        <v>63430.312500000022</v>
      </c>
      <c r="V118" s="25">
        <v>0</v>
      </c>
      <c r="W118" s="25">
        <f t="shared" si="54"/>
        <v>35856</v>
      </c>
      <c r="X118" s="26">
        <f t="shared" si="45"/>
        <v>35856</v>
      </c>
      <c r="Y118" s="24">
        <v>45</v>
      </c>
      <c r="Z118" s="25"/>
      <c r="AA118" s="25"/>
      <c r="AB118" s="26">
        <f t="shared" si="46"/>
        <v>121118.66999999995</v>
      </c>
      <c r="AC118" s="25">
        <f t="shared" si="47"/>
        <v>89641.687500000044</v>
      </c>
      <c r="AD118" s="25">
        <f t="shared" si="55"/>
        <v>32488.25</v>
      </c>
      <c r="AE118" s="26">
        <f t="shared" si="48"/>
        <v>122129.93750000004</v>
      </c>
      <c r="AF118" s="25">
        <f t="shared" si="49"/>
        <v>59761.125000000044</v>
      </c>
      <c r="AG118" s="25">
        <f t="shared" si="56"/>
        <v>34794.5</v>
      </c>
      <c r="AH118" s="26">
        <f t="shared" si="50"/>
        <v>94555.625000000044</v>
      </c>
      <c r="AI118" s="25">
        <f t="shared" si="51"/>
        <v>29880.562500000022</v>
      </c>
      <c r="AJ118" s="25">
        <f t="shared" si="57"/>
        <v>37100.75</v>
      </c>
      <c r="AK118" s="26">
        <f t="shared" si="52"/>
        <v>66981.312500000029</v>
      </c>
      <c r="AL118" s="25">
        <v>0</v>
      </c>
      <c r="AM118" s="25">
        <f t="shared" si="58"/>
        <v>39407</v>
      </c>
      <c r="AN118" s="26">
        <f t="shared" si="53"/>
        <v>39407</v>
      </c>
      <c r="AO118" s="24">
        <v>45</v>
      </c>
      <c r="AT118" s="10">
        <v>0.75</v>
      </c>
      <c r="AU118" s="237">
        <f>L133-U133</f>
        <v>84159.810000000085</v>
      </c>
      <c r="AV118" s="237">
        <f>AB133-AK133</f>
        <v>74758.810000000085</v>
      </c>
    </row>
    <row r="119" spans="9:48" ht="14.4" thickBot="1" x14ac:dyDescent="0.3">
      <c r="I119" s="24">
        <v>46</v>
      </c>
      <c r="J119" s="136">
        <f t="shared" si="59"/>
        <v>123810.19599999995</v>
      </c>
      <c r="K119" s="25">
        <v>0</v>
      </c>
      <c r="L119" s="26">
        <f t="shared" si="41"/>
        <v>123810.19599999995</v>
      </c>
      <c r="M119" s="231">
        <f>M118+B$101</f>
        <v>91633.725000000049</v>
      </c>
      <c r="N119" s="25">
        <f>N118+E$101</f>
        <v>29097.5</v>
      </c>
      <c r="O119" s="26">
        <f t="shared" si="42"/>
        <v>120731.22500000005</v>
      </c>
      <c r="P119" s="25">
        <f>P118+B$102</f>
        <v>61089.150000000045</v>
      </c>
      <c r="Q119" s="25">
        <f>Q118+E$102</f>
        <v>31455</v>
      </c>
      <c r="R119" s="26">
        <f t="shared" si="43"/>
        <v>92544.150000000052</v>
      </c>
      <c r="S119" s="15">
        <f t="shared" si="60"/>
        <v>30544.575000000023</v>
      </c>
      <c r="T119" s="15">
        <f t="shared" si="61"/>
        <v>33812.5</v>
      </c>
      <c r="U119" s="227">
        <f t="shared" si="44"/>
        <v>64357.075000000026</v>
      </c>
      <c r="V119" s="25">
        <v>0</v>
      </c>
      <c r="W119" s="25">
        <f t="shared" si="54"/>
        <v>36170</v>
      </c>
      <c r="X119" s="26">
        <f t="shared" si="45"/>
        <v>36170</v>
      </c>
      <c r="Y119" s="24">
        <v>46</v>
      </c>
      <c r="Z119" s="25"/>
      <c r="AA119" s="25"/>
      <c r="AB119" s="26">
        <f t="shared" si="46"/>
        <v>123810.19599999995</v>
      </c>
      <c r="AC119" s="25">
        <f t="shared" si="47"/>
        <v>91633.725000000049</v>
      </c>
      <c r="AD119" s="25">
        <f t="shared" si="55"/>
        <v>33038.5</v>
      </c>
      <c r="AE119" s="26">
        <f t="shared" si="48"/>
        <v>124672.22500000005</v>
      </c>
      <c r="AF119" s="25">
        <f t="shared" si="49"/>
        <v>61089.150000000045</v>
      </c>
      <c r="AG119" s="25">
        <f t="shared" si="56"/>
        <v>35396</v>
      </c>
      <c r="AH119" s="26">
        <f t="shared" si="50"/>
        <v>96485.150000000052</v>
      </c>
      <c r="AI119" s="25">
        <f t="shared" si="51"/>
        <v>30544.575000000023</v>
      </c>
      <c r="AJ119" s="25">
        <f t="shared" si="57"/>
        <v>37753.5</v>
      </c>
      <c r="AK119" s="26">
        <f t="shared" si="52"/>
        <v>68298.075000000026</v>
      </c>
      <c r="AL119" s="25">
        <v>0</v>
      </c>
      <c r="AM119" s="25">
        <f t="shared" si="58"/>
        <v>40111</v>
      </c>
      <c r="AN119" s="26">
        <f t="shared" si="53"/>
        <v>40111</v>
      </c>
      <c r="AO119" s="24">
        <v>46</v>
      </c>
      <c r="AT119" s="10">
        <v>1</v>
      </c>
      <c r="AU119" s="237">
        <f>L133-X133</f>
        <v>120925.56000000008</v>
      </c>
      <c r="AV119" s="237">
        <f>AB133-AN133</f>
        <v>111524.56000000008</v>
      </c>
    </row>
    <row r="120" spans="9:48" ht="14.4" thickBot="1" x14ac:dyDescent="0.3">
      <c r="I120" s="24">
        <v>47</v>
      </c>
      <c r="J120" s="136">
        <f t="shared" si="59"/>
        <v>126501.72199999995</v>
      </c>
      <c r="K120" s="25">
        <v>0</v>
      </c>
      <c r="L120" s="26">
        <f t="shared" si="41"/>
        <v>126501.72199999995</v>
      </c>
      <c r="M120" s="231">
        <f>M119+B$101</f>
        <v>93625.762500000055</v>
      </c>
      <c r="N120" s="25">
        <f>N119+E$101</f>
        <v>29257.75</v>
      </c>
      <c r="O120" s="26">
        <f t="shared" si="42"/>
        <v>122883.51250000006</v>
      </c>
      <c r="P120" s="25">
        <f>P119+B$102</f>
        <v>62417.175000000047</v>
      </c>
      <c r="Q120" s="25">
        <f>Q119+E$102</f>
        <v>31666.5</v>
      </c>
      <c r="R120" s="26">
        <f t="shared" si="43"/>
        <v>94083.675000000047</v>
      </c>
      <c r="S120" s="15">
        <f t="shared" si="60"/>
        <v>31208.587500000023</v>
      </c>
      <c r="T120" s="15">
        <f t="shared" si="61"/>
        <v>34075.25</v>
      </c>
      <c r="U120" s="227">
        <f t="shared" si="44"/>
        <v>65283.837500000023</v>
      </c>
      <c r="V120" s="25">
        <v>0</v>
      </c>
      <c r="W120" s="25">
        <f t="shared" si="54"/>
        <v>36484</v>
      </c>
      <c r="X120" s="26">
        <f t="shared" si="45"/>
        <v>36484</v>
      </c>
      <c r="Y120" s="24">
        <v>47</v>
      </c>
      <c r="Z120" s="25"/>
      <c r="AA120" s="25"/>
      <c r="AB120" s="26">
        <f t="shared" si="46"/>
        <v>126501.72199999995</v>
      </c>
      <c r="AC120" s="25">
        <f t="shared" si="47"/>
        <v>93625.762500000055</v>
      </c>
      <c r="AD120" s="25">
        <f t="shared" si="55"/>
        <v>33588.75</v>
      </c>
      <c r="AE120" s="26">
        <f t="shared" si="48"/>
        <v>127214.51250000006</v>
      </c>
      <c r="AF120" s="25">
        <f t="shared" si="49"/>
        <v>62417.175000000047</v>
      </c>
      <c r="AG120" s="25">
        <f t="shared" si="56"/>
        <v>35997.5</v>
      </c>
      <c r="AH120" s="26">
        <f t="shared" si="50"/>
        <v>98414.675000000047</v>
      </c>
      <c r="AI120" s="25">
        <f t="shared" si="51"/>
        <v>31208.587500000023</v>
      </c>
      <c r="AJ120" s="25">
        <f t="shared" si="57"/>
        <v>38406.25</v>
      </c>
      <c r="AK120" s="26">
        <f t="shared" si="52"/>
        <v>69614.837500000023</v>
      </c>
      <c r="AL120" s="25">
        <v>0</v>
      </c>
      <c r="AM120" s="25">
        <f t="shared" si="58"/>
        <v>40815</v>
      </c>
      <c r="AN120" s="26">
        <f t="shared" si="53"/>
        <v>40815</v>
      </c>
      <c r="AO120" s="24">
        <v>47</v>
      </c>
    </row>
    <row r="121" spans="9:48" ht="14.4" thickBot="1" x14ac:dyDescent="0.3">
      <c r="I121" s="24">
        <v>48</v>
      </c>
      <c r="J121" s="136">
        <f t="shared" si="59"/>
        <v>129193.24799999995</v>
      </c>
      <c r="K121" s="25">
        <v>0</v>
      </c>
      <c r="L121" s="26">
        <f t="shared" si="41"/>
        <v>129193.24799999995</v>
      </c>
      <c r="M121" s="231">
        <f>M120+B$101</f>
        <v>95617.800000000061</v>
      </c>
      <c r="N121" s="25">
        <f>N120+E$101</f>
        <v>29418</v>
      </c>
      <c r="O121" s="26">
        <f t="shared" si="42"/>
        <v>125035.80000000006</v>
      </c>
      <c r="P121" s="25">
        <f>P120+B$102</f>
        <v>63745.200000000048</v>
      </c>
      <c r="Q121" s="25">
        <f>Q120+E$102</f>
        <v>31878</v>
      </c>
      <c r="R121" s="26">
        <f t="shared" si="43"/>
        <v>95623.200000000041</v>
      </c>
      <c r="S121" s="15">
        <f t="shared" si="60"/>
        <v>31872.600000000024</v>
      </c>
      <c r="T121" s="15">
        <f t="shared" si="61"/>
        <v>34338</v>
      </c>
      <c r="U121" s="227">
        <f t="shared" si="44"/>
        <v>66210.60000000002</v>
      </c>
      <c r="V121" s="25">
        <v>0</v>
      </c>
      <c r="W121" s="25">
        <f t="shared" si="54"/>
        <v>36798</v>
      </c>
      <c r="X121" s="26">
        <f t="shared" si="45"/>
        <v>36798</v>
      </c>
      <c r="Y121" s="24">
        <v>48</v>
      </c>
      <c r="Z121" s="25"/>
      <c r="AA121" s="25"/>
      <c r="AB121" s="26">
        <f t="shared" si="46"/>
        <v>129193.24799999995</v>
      </c>
      <c r="AC121" s="25">
        <f t="shared" si="47"/>
        <v>95617.800000000061</v>
      </c>
      <c r="AD121" s="25">
        <f t="shared" si="55"/>
        <v>34139</v>
      </c>
      <c r="AE121" s="26">
        <f t="shared" si="48"/>
        <v>129756.80000000006</v>
      </c>
      <c r="AF121" s="25">
        <f t="shared" si="49"/>
        <v>63745.200000000048</v>
      </c>
      <c r="AG121" s="25">
        <f t="shared" si="56"/>
        <v>36599</v>
      </c>
      <c r="AH121" s="26">
        <f t="shared" si="50"/>
        <v>100344.20000000004</v>
      </c>
      <c r="AI121" s="25">
        <f t="shared" si="51"/>
        <v>31872.600000000024</v>
      </c>
      <c r="AJ121" s="25">
        <f t="shared" si="57"/>
        <v>39059</v>
      </c>
      <c r="AK121" s="26">
        <f t="shared" si="52"/>
        <v>70931.60000000002</v>
      </c>
      <c r="AL121" s="25">
        <v>0</v>
      </c>
      <c r="AM121" s="25">
        <f t="shared" si="58"/>
        <v>41519</v>
      </c>
      <c r="AN121" s="26">
        <f t="shared" si="53"/>
        <v>41519</v>
      </c>
      <c r="AO121" s="24">
        <v>48</v>
      </c>
    </row>
    <row r="122" spans="9:48" ht="14.4" thickBot="1" x14ac:dyDescent="0.3">
      <c r="I122" s="24">
        <f>I121+1</f>
        <v>49</v>
      </c>
      <c r="J122" s="136">
        <f t="shared" si="59"/>
        <v>131884.77399999995</v>
      </c>
      <c r="K122" s="25"/>
      <c r="L122" s="26">
        <f t="shared" si="41"/>
        <v>131884.77399999995</v>
      </c>
      <c r="M122" s="231">
        <f>M121+B$101</f>
        <v>97609.837500000067</v>
      </c>
      <c r="N122" s="25">
        <f>N121+E$101</f>
        <v>29578.25</v>
      </c>
      <c r="O122" s="26">
        <f t="shared" si="42"/>
        <v>127188.08750000007</v>
      </c>
      <c r="P122" s="25">
        <f>P121+B$102</f>
        <v>65073.225000000049</v>
      </c>
      <c r="Q122" s="25">
        <f>Q121+E$102</f>
        <v>32089.5</v>
      </c>
      <c r="R122" s="26">
        <f t="shared" si="43"/>
        <v>97162.725000000049</v>
      </c>
      <c r="S122" s="15">
        <f t="shared" si="60"/>
        <v>32536.612500000025</v>
      </c>
      <c r="T122" s="15">
        <f t="shared" si="61"/>
        <v>34600.75</v>
      </c>
      <c r="U122" s="227">
        <f t="shared" si="44"/>
        <v>67137.362500000017</v>
      </c>
      <c r="V122" s="229"/>
      <c r="W122" s="25">
        <f t="shared" si="54"/>
        <v>37112</v>
      </c>
      <c r="X122" s="26">
        <f t="shared" si="45"/>
        <v>37112</v>
      </c>
      <c r="Y122" s="230"/>
      <c r="Z122" s="229"/>
      <c r="AA122" s="229"/>
      <c r="AB122" s="26">
        <f t="shared" si="46"/>
        <v>131884.77399999995</v>
      </c>
      <c r="AC122" s="25">
        <f t="shared" si="47"/>
        <v>97609.837500000067</v>
      </c>
      <c r="AD122" s="25">
        <f t="shared" si="55"/>
        <v>34689.25</v>
      </c>
      <c r="AE122" s="26">
        <f t="shared" si="48"/>
        <v>132299.08750000008</v>
      </c>
      <c r="AF122" s="25">
        <f t="shared" si="49"/>
        <v>65073.225000000049</v>
      </c>
      <c r="AG122" s="25">
        <f t="shared" si="56"/>
        <v>37200.5</v>
      </c>
      <c r="AH122" s="26">
        <f t="shared" si="50"/>
        <v>102273.72500000005</v>
      </c>
      <c r="AI122" s="25">
        <f t="shared" si="51"/>
        <v>32536.612500000025</v>
      </c>
      <c r="AJ122" s="25">
        <f t="shared" si="57"/>
        <v>39711.75</v>
      </c>
      <c r="AK122" s="26">
        <f t="shared" si="52"/>
        <v>72248.362500000017</v>
      </c>
      <c r="AL122" s="229"/>
      <c r="AM122" s="25">
        <f t="shared" si="58"/>
        <v>42223</v>
      </c>
      <c r="AN122" s="26">
        <f t="shared" si="53"/>
        <v>42223</v>
      </c>
      <c r="AO122" s="230"/>
    </row>
    <row r="123" spans="9:48" ht="14.4" thickBot="1" x14ac:dyDescent="0.3">
      <c r="I123" s="24">
        <f t="shared" ref="I123:I134" si="64">I122+1</f>
        <v>50</v>
      </c>
      <c r="J123" s="136">
        <f t="shared" si="59"/>
        <v>134576.29999999996</v>
      </c>
      <c r="K123" s="25"/>
      <c r="L123" s="26">
        <f t="shared" si="41"/>
        <v>134576.29999999996</v>
      </c>
      <c r="M123" s="231">
        <f>M122+B$101</f>
        <v>99601.875000000073</v>
      </c>
      <c r="N123" s="25">
        <f>N122+E$101</f>
        <v>29738.5</v>
      </c>
      <c r="O123" s="26">
        <f t="shared" si="42"/>
        <v>129340.37500000007</v>
      </c>
      <c r="P123" s="25">
        <f>P122+B$102</f>
        <v>66401.250000000044</v>
      </c>
      <c r="Q123" s="25">
        <f>Q122+E$102</f>
        <v>32301</v>
      </c>
      <c r="R123" s="26">
        <f t="shared" si="43"/>
        <v>98702.250000000044</v>
      </c>
      <c r="S123" s="15">
        <f t="shared" si="60"/>
        <v>33200.625000000022</v>
      </c>
      <c r="T123" s="15">
        <f t="shared" si="61"/>
        <v>34863.5</v>
      </c>
      <c r="U123" s="227">
        <f t="shared" si="44"/>
        <v>68064.125000000029</v>
      </c>
      <c r="W123" s="25">
        <f t="shared" si="54"/>
        <v>37426</v>
      </c>
      <c r="X123" s="26">
        <f t="shared" si="45"/>
        <v>37426</v>
      </c>
      <c r="AB123" s="26">
        <f t="shared" si="46"/>
        <v>134576.29999999996</v>
      </c>
      <c r="AC123" s="25">
        <f t="shared" si="47"/>
        <v>99601.875000000073</v>
      </c>
      <c r="AD123" s="25">
        <f t="shared" si="55"/>
        <v>35239.5</v>
      </c>
      <c r="AE123" s="26">
        <f t="shared" si="48"/>
        <v>134841.37500000006</v>
      </c>
      <c r="AF123" s="25">
        <f t="shared" si="49"/>
        <v>66401.250000000044</v>
      </c>
      <c r="AG123" s="25">
        <f t="shared" si="56"/>
        <v>37802</v>
      </c>
      <c r="AH123" s="26">
        <f t="shared" si="50"/>
        <v>104203.25000000004</v>
      </c>
      <c r="AI123" s="25">
        <f t="shared" si="51"/>
        <v>33200.625000000022</v>
      </c>
      <c r="AJ123" s="25">
        <f t="shared" si="57"/>
        <v>40364.5</v>
      </c>
      <c r="AK123" s="26">
        <f t="shared" si="52"/>
        <v>73565.125000000029</v>
      </c>
      <c r="AM123" s="25">
        <f t="shared" si="58"/>
        <v>42927</v>
      </c>
      <c r="AN123" s="26">
        <f t="shared" si="53"/>
        <v>42927</v>
      </c>
    </row>
    <row r="124" spans="9:48" ht="14.4" thickBot="1" x14ac:dyDescent="0.3">
      <c r="I124" s="24">
        <f t="shared" si="64"/>
        <v>51</v>
      </c>
      <c r="J124" s="136">
        <f t="shared" si="59"/>
        <v>137267.82599999997</v>
      </c>
      <c r="K124" s="25"/>
      <c r="L124" s="26">
        <f t="shared" si="41"/>
        <v>137267.82599999997</v>
      </c>
      <c r="M124" s="231">
        <f>M123+B$101</f>
        <v>101593.91250000008</v>
      </c>
      <c r="N124" s="25">
        <f>N123+E$101</f>
        <v>29898.75</v>
      </c>
      <c r="O124" s="26">
        <f t="shared" si="42"/>
        <v>131492.66250000009</v>
      </c>
      <c r="P124" s="25">
        <f>P123+B$102</f>
        <v>67729.275000000038</v>
      </c>
      <c r="Q124" s="25">
        <f>Q123+E$102</f>
        <v>32512.5</v>
      </c>
      <c r="R124" s="26">
        <f t="shared" si="43"/>
        <v>100241.77500000004</v>
      </c>
      <c r="S124" s="15">
        <f t="shared" si="60"/>
        <v>33864.637500000019</v>
      </c>
      <c r="T124" s="15">
        <f t="shared" si="61"/>
        <v>35126.25</v>
      </c>
      <c r="U124" s="227">
        <f t="shared" si="44"/>
        <v>68990.887500000012</v>
      </c>
      <c r="W124" s="25">
        <f t="shared" si="54"/>
        <v>37740</v>
      </c>
      <c r="X124" s="26">
        <f t="shared" si="45"/>
        <v>37740</v>
      </c>
      <c r="AB124" s="26">
        <f t="shared" si="46"/>
        <v>137267.82599999997</v>
      </c>
      <c r="AC124" s="25">
        <f t="shared" si="47"/>
        <v>101593.91250000008</v>
      </c>
      <c r="AD124" s="25">
        <f t="shared" si="55"/>
        <v>35789.75</v>
      </c>
      <c r="AE124" s="26">
        <f t="shared" si="48"/>
        <v>137383.66250000009</v>
      </c>
      <c r="AF124" s="25">
        <f t="shared" si="49"/>
        <v>67729.275000000038</v>
      </c>
      <c r="AG124" s="25">
        <f t="shared" si="56"/>
        <v>38403.5</v>
      </c>
      <c r="AH124" s="26">
        <f t="shared" si="50"/>
        <v>106132.77500000004</v>
      </c>
      <c r="AI124" s="25">
        <f t="shared" si="51"/>
        <v>33864.637500000019</v>
      </c>
      <c r="AJ124" s="25">
        <f t="shared" si="57"/>
        <v>41017.25</v>
      </c>
      <c r="AK124" s="26">
        <f t="shared" si="52"/>
        <v>74881.887500000012</v>
      </c>
      <c r="AM124" s="25">
        <f t="shared" si="58"/>
        <v>43631</v>
      </c>
      <c r="AN124" s="26">
        <f t="shared" si="53"/>
        <v>43631</v>
      </c>
    </row>
    <row r="125" spans="9:48" ht="14.4" thickBot="1" x14ac:dyDescent="0.3">
      <c r="I125" s="24">
        <f t="shared" si="64"/>
        <v>52</v>
      </c>
      <c r="J125" s="136">
        <f t="shared" si="59"/>
        <v>139959.35199999998</v>
      </c>
      <c r="K125" s="25"/>
      <c r="L125" s="26">
        <f t="shared" si="41"/>
        <v>139959.35199999998</v>
      </c>
      <c r="M125" s="231">
        <f>M124+B$101</f>
        <v>103585.95000000008</v>
      </c>
      <c r="N125" s="25">
        <f>N124+E$101</f>
        <v>30059</v>
      </c>
      <c r="O125" s="26">
        <f t="shared" si="42"/>
        <v>133644.95000000007</v>
      </c>
      <c r="P125" s="25">
        <f>P124+B$102</f>
        <v>69057.300000000032</v>
      </c>
      <c r="Q125" s="25">
        <f>Q124+E$102</f>
        <v>32724</v>
      </c>
      <c r="R125" s="26">
        <f t="shared" si="43"/>
        <v>101781.30000000003</v>
      </c>
      <c r="S125" s="15">
        <f t="shared" si="60"/>
        <v>34528.650000000016</v>
      </c>
      <c r="T125" s="15">
        <f t="shared" si="61"/>
        <v>35389</v>
      </c>
      <c r="U125" s="227">
        <f t="shared" si="44"/>
        <v>69917.650000000023</v>
      </c>
      <c r="W125" s="25">
        <f t="shared" si="54"/>
        <v>38054</v>
      </c>
      <c r="X125" s="26">
        <f t="shared" si="45"/>
        <v>38054</v>
      </c>
      <c r="AB125" s="26">
        <f t="shared" si="46"/>
        <v>139959.35199999998</v>
      </c>
      <c r="AC125" s="25">
        <f t="shared" si="47"/>
        <v>103585.95000000008</v>
      </c>
      <c r="AD125" s="25">
        <f t="shared" si="55"/>
        <v>36340</v>
      </c>
      <c r="AE125" s="26">
        <f t="shared" si="48"/>
        <v>139925.95000000007</v>
      </c>
      <c r="AF125" s="25">
        <f t="shared" si="49"/>
        <v>69057.300000000032</v>
      </c>
      <c r="AG125" s="25">
        <f t="shared" si="56"/>
        <v>39005</v>
      </c>
      <c r="AH125" s="26">
        <f t="shared" si="50"/>
        <v>108062.30000000003</v>
      </c>
      <c r="AI125" s="25">
        <f t="shared" si="51"/>
        <v>34528.650000000016</v>
      </c>
      <c r="AJ125" s="25">
        <f t="shared" si="57"/>
        <v>41670</v>
      </c>
      <c r="AK125" s="26">
        <f t="shared" si="52"/>
        <v>76198.650000000023</v>
      </c>
      <c r="AM125" s="25">
        <f t="shared" si="58"/>
        <v>44335</v>
      </c>
      <c r="AN125" s="26">
        <f t="shared" si="53"/>
        <v>44335</v>
      </c>
    </row>
    <row r="126" spans="9:48" ht="14.4" thickBot="1" x14ac:dyDescent="0.3">
      <c r="I126" s="24">
        <f t="shared" si="64"/>
        <v>53</v>
      </c>
      <c r="J126" s="136">
        <f t="shared" si="59"/>
        <v>142650.878</v>
      </c>
      <c r="K126" s="25"/>
      <c r="L126" s="26">
        <f t="shared" si="41"/>
        <v>142650.878</v>
      </c>
      <c r="M126" s="231">
        <f>M125+B$101</f>
        <v>105577.98750000009</v>
      </c>
      <c r="N126" s="25">
        <f>N125+E$101</f>
        <v>30219.25</v>
      </c>
      <c r="O126" s="26">
        <f t="shared" si="42"/>
        <v>135797.2375000001</v>
      </c>
      <c r="P126" s="25">
        <f>P125+B$102</f>
        <v>70385.325000000026</v>
      </c>
      <c r="Q126" s="25">
        <f>Q125+E$102</f>
        <v>32935.5</v>
      </c>
      <c r="R126" s="26">
        <f t="shared" si="43"/>
        <v>103320.82500000003</v>
      </c>
      <c r="S126" s="15">
        <f t="shared" si="60"/>
        <v>35192.662500000013</v>
      </c>
      <c r="T126" s="15">
        <f t="shared" si="61"/>
        <v>35651.75</v>
      </c>
      <c r="U126" s="227">
        <f t="shared" si="44"/>
        <v>70844.412500000006</v>
      </c>
      <c r="W126" s="25">
        <f t="shared" si="54"/>
        <v>38368</v>
      </c>
      <c r="X126" s="26">
        <f t="shared" si="45"/>
        <v>38368</v>
      </c>
      <c r="AB126" s="26">
        <f t="shared" si="46"/>
        <v>142650.878</v>
      </c>
      <c r="AC126" s="25">
        <f t="shared" si="47"/>
        <v>105577.98750000009</v>
      </c>
      <c r="AD126" s="25">
        <f t="shared" si="55"/>
        <v>36890.25</v>
      </c>
      <c r="AE126" s="26">
        <f t="shared" si="48"/>
        <v>142468.2375000001</v>
      </c>
      <c r="AF126" s="25">
        <f t="shared" si="49"/>
        <v>70385.325000000026</v>
      </c>
      <c r="AG126" s="25">
        <f t="shared" si="56"/>
        <v>39606.5</v>
      </c>
      <c r="AH126" s="26">
        <f t="shared" si="50"/>
        <v>109991.82500000003</v>
      </c>
      <c r="AI126" s="25">
        <f t="shared" si="51"/>
        <v>35192.662500000013</v>
      </c>
      <c r="AJ126" s="25">
        <f t="shared" si="57"/>
        <v>42322.75</v>
      </c>
      <c r="AK126" s="26">
        <f t="shared" si="52"/>
        <v>77515.412500000006</v>
      </c>
      <c r="AM126" s="25">
        <f t="shared" si="58"/>
        <v>45039</v>
      </c>
      <c r="AN126" s="26">
        <f t="shared" si="53"/>
        <v>45039</v>
      </c>
    </row>
    <row r="127" spans="9:48" ht="14.4" thickBot="1" x14ac:dyDescent="0.3">
      <c r="I127" s="24">
        <f t="shared" si="64"/>
        <v>54</v>
      </c>
      <c r="J127" s="136">
        <f t="shared" si="59"/>
        <v>145342.40400000001</v>
      </c>
      <c r="K127" s="25"/>
      <c r="L127" s="26">
        <f t="shared" si="41"/>
        <v>145342.40400000001</v>
      </c>
      <c r="M127" s="231">
        <f>M126+B$101</f>
        <v>107570.0250000001</v>
      </c>
      <c r="N127" s="25">
        <f>N126+E$101</f>
        <v>30379.5</v>
      </c>
      <c r="O127" s="26">
        <f t="shared" si="42"/>
        <v>137949.52500000008</v>
      </c>
      <c r="P127" s="25">
        <f>P126+B$102</f>
        <v>71713.35000000002</v>
      </c>
      <c r="Q127" s="25">
        <f>Q126+E$102</f>
        <v>33147</v>
      </c>
      <c r="R127" s="26">
        <f t="shared" si="43"/>
        <v>104860.35000000002</v>
      </c>
      <c r="S127" s="15">
        <f t="shared" si="60"/>
        <v>35856.67500000001</v>
      </c>
      <c r="T127" s="15">
        <f t="shared" si="61"/>
        <v>35914.5</v>
      </c>
      <c r="U127" s="227">
        <f t="shared" si="44"/>
        <v>71771.175000000017</v>
      </c>
      <c r="W127" s="25">
        <f t="shared" si="54"/>
        <v>38682</v>
      </c>
      <c r="X127" s="26">
        <f t="shared" si="45"/>
        <v>38682</v>
      </c>
      <c r="AB127" s="26">
        <f t="shared" si="46"/>
        <v>145342.40400000001</v>
      </c>
      <c r="AC127" s="25">
        <f t="shared" si="47"/>
        <v>107570.0250000001</v>
      </c>
      <c r="AD127" s="25">
        <f t="shared" si="55"/>
        <v>37440.5</v>
      </c>
      <c r="AE127" s="26">
        <f t="shared" si="48"/>
        <v>145010.52500000008</v>
      </c>
      <c r="AF127" s="25">
        <f t="shared" si="49"/>
        <v>71713.35000000002</v>
      </c>
      <c r="AG127" s="25">
        <f t="shared" si="56"/>
        <v>40208</v>
      </c>
      <c r="AH127" s="26">
        <f t="shared" si="50"/>
        <v>111921.35000000002</v>
      </c>
      <c r="AI127" s="25">
        <f t="shared" si="51"/>
        <v>35856.67500000001</v>
      </c>
      <c r="AJ127" s="25">
        <f t="shared" si="57"/>
        <v>42975.5</v>
      </c>
      <c r="AK127" s="26">
        <f t="shared" si="52"/>
        <v>78832.175000000017</v>
      </c>
      <c r="AM127" s="25">
        <f t="shared" si="58"/>
        <v>45743</v>
      </c>
      <c r="AN127" s="26">
        <f t="shared" si="53"/>
        <v>45743</v>
      </c>
    </row>
    <row r="128" spans="9:48" ht="14.4" thickBot="1" x14ac:dyDescent="0.3">
      <c r="I128" s="24">
        <f t="shared" si="64"/>
        <v>55</v>
      </c>
      <c r="J128" s="136">
        <f t="shared" si="59"/>
        <v>148033.93000000002</v>
      </c>
      <c r="K128" s="25"/>
      <c r="L128" s="26">
        <f t="shared" si="41"/>
        <v>148033.93000000002</v>
      </c>
      <c r="M128" s="231">
        <f>M127+B$101</f>
        <v>109562.0625000001</v>
      </c>
      <c r="N128" s="25">
        <f>N127+E$101</f>
        <v>30539.75</v>
      </c>
      <c r="O128" s="26">
        <f t="shared" si="42"/>
        <v>140101.81250000012</v>
      </c>
      <c r="P128" s="25">
        <f>P127+B$102</f>
        <v>73041.375000000015</v>
      </c>
      <c r="Q128" s="25">
        <f>Q127+E$102</f>
        <v>33358.5</v>
      </c>
      <c r="R128" s="26">
        <f t="shared" si="43"/>
        <v>106399.87500000001</v>
      </c>
      <c r="S128" s="15">
        <f t="shared" si="60"/>
        <v>36520.687500000007</v>
      </c>
      <c r="T128" s="15">
        <f t="shared" si="61"/>
        <v>36177.25</v>
      </c>
      <c r="U128" s="227">
        <f t="shared" si="44"/>
        <v>72697.9375</v>
      </c>
      <c r="W128" s="25">
        <f t="shared" si="54"/>
        <v>38996</v>
      </c>
      <c r="X128" s="26">
        <f t="shared" si="45"/>
        <v>38996</v>
      </c>
      <c r="AB128" s="26">
        <f t="shared" si="46"/>
        <v>148033.93000000002</v>
      </c>
      <c r="AC128" s="25">
        <f t="shared" si="47"/>
        <v>109562.0625000001</v>
      </c>
      <c r="AD128" s="25">
        <f t="shared" si="55"/>
        <v>37990.75</v>
      </c>
      <c r="AE128" s="26">
        <f t="shared" si="48"/>
        <v>147552.81250000012</v>
      </c>
      <c r="AF128" s="25">
        <f t="shared" si="49"/>
        <v>73041.375000000015</v>
      </c>
      <c r="AG128" s="25">
        <f t="shared" si="56"/>
        <v>40809.5</v>
      </c>
      <c r="AH128" s="26">
        <f t="shared" si="50"/>
        <v>113850.87500000001</v>
      </c>
      <c r="AI128" s="25">
        <f t="shared" si="51"/>
        <v>36520.687500000007</v>
      </c>
      <c r="AJ128" s="25">
        <f t="shared" si="57"/>
        <v>43628.25</v>
      </c>
      <c r="AK128" s="26">
        <f t="shared" si="52"/>
        <v>80148.9375</v>
      </c>
      <c r="AM128" s="25">
        <f t="shared" si="58"/>
        <v>46447</v>
      </c>
      <c r="AN128" s="26">
        <f t="shared" si="53"/>
        <v>46447</v>
      </c>
    </row>
    <row r="129" spans="1:40" ht="14.4" thickBot="1" x14ac:dyDescent="0.3">
      <c r="I129" s="24">
        <f t="shared" si="64"/>
        <v>56</v>
      </c>
      <c r="J129" s="136">
        <f t="shared" si="59"/>
        <v>150725.45600000003</v>
      </c>
      <c r="K129" s="135"/>
      <c r="L129" s="26">
        <f t="shared" si="41"/>
        <v>150725.45600000003</v>
      </c>
      <c r="M129" s="231">
        <f>M128+B$101</f>
        <v>111554.10000000011</v>
      </c>
      <c r="N129" s="25">
        <f>N128+E$101</f>
        <v>30700</v>
      </c>
      <c r="O129" s="26">
        <f t="shared" si="42"/>
        <v>142254.10000000009</v>
      </c>
      <c r="P129" s="25">
        <f>P128+B$102</f>
        <v>74369.400000000009</v>
      </c>
      <c r="Q129" s="25">
        <f>Q128+E$102</f>
        <v>33570</v>
      </c>
      <c r="R129" s="26">
        <f t="shared" si="43"/>
        <v>107939.40000000001</v>
      </c>
      <c r="S129" s="15">
        <f t="shared" si="60"/>
        <v>37184.700000000004</v>
      </c>
      <c r="T129" s="15">
        <f t="shared" si="61"/>
        <v>36440</v>
      </c>
      <c r="U129" s="227">
        <f t="shared" si="44"/>
        <v>73624.700000000012</v>
      </c>
      <c r="W129" s="25">
        <f t="shared" si="54"/>
        <v>39310</v>
      </c>
      <c r="X129" s="26">
        <f t="shared" si="45"/>
        <v>39310</v>
      </c>
      <c r="AB129" s="26">
        <f t="shared" si="46"/>
        <v>150725.45600000003</v>
      </c>
      <c r="AC129" s="25">
        <f t="shared" si="47"/>
        <v>111554.10000000011</v>
      </c>
      <c r="AD129" s="25">
        <f t="shared" si="55"/>
        <v>38541</v>
      </c>
      <c r="AE129" s="26">
        <f t="shared" si="48"/>
        <v>150095.10000000009</v>
      </c>
      <c r="AF129" s="25">
        <f t="shared" si="49"/>
        <v>74369.400000000009</v>
      </c>
      <c r="AG129" s="25">
        <f t="shared" si="56"/>
        <v>41411</v>
      </c>
      <c r="AH129" s="26">
        <f t="shared" si="50"/>
        <v>115780.40000000001</v>
      </c>
      <c r="AI129" s="25">
        <f t="shared" si="51"/>
        <v>37184.700000000004</v>
      </c>
      <c r="AJ129" s="25">
        <f t="shared" si="57"/>
        <v>44281</v>
      </c>
      <c r="AK129" s="26">
        <f t="shared" si="52"/>
        <v>81465.700000000012</v>
      </c>
      <c r="AM129" s="25">
        <f t="shared" si="58"/>
        <v>47151</v>
      </c>
      <c r="AN129" s="26">
        <f t="shared" si="53"/>
        <v>47151</v>
      </c>
    </row>
    <row r="130" spans="1:40" ht="14.4" thickBot="1" x14ac:dyDescent="0.3">
      <c r="I130" s="24">
        <f t="shared" si="64"/>
        <v>57</v>
      </c>
      <c r="J130" s="136">
        <f t="shared" si="59"/>
        <v>153416.98200000005</v>
      </c>
      <c r="K130" s="41"/>
      <c r="L130" s="26">
        <f t="shared" si="41"/>
        <v>153416.98200000005</v>
      </c>
      <c r="M130" s="231">
        <f>M129+B$101</f>
        <v>113546.13750000011</v>
      </c>
      <c r="N130" s="25">
        <f>N129+E$101</f>
        <v>30860.25</v>
      </c>
      <c r="O130" s="26">
        <f t="shared" si="42"/>
        <v>144406.38750000013</v>
      </c>
      <c r="P130" s="25">
        <f>P129+B$102</f>
        <v>75697.425000000003</v>
      </c>
      <c r="Q130" s="25">
        <f>Q129+E$102</f>
        <v>33781.5</v>
      </c>
      <c r="R130" s="26">
        <f t="shared" si="43"/>
        <v>109478.925</v>
      </c>
      <c r="S130" s="15">
        <f t="shared" si="60"/>
        <v>37848.712500000001</v>
      </c>
      <c r="T130" s="15">
        <f t="shared" si="61"/>
        <v>36702.75</v>
      </c>
      <c r="U130" s="227">
        <f t="shared" si="44"/>
        <v>74551.462499999994</v>
      </c>
      <c r="V130" s="17"/>
      <c r="W130" s="25">
        <f t="shared" si="54"/>
        <v>39624</v>
      </c>
      <c r="X130" s="26">
        <f t="shared" si="45"/>
        <v>39624</v>
      </c>
      <c r="AB130" s="26">
        <f t="shared" si="46"/>
        <v>153416.98200000005</v>
      </c>
      <c r="AC130" s="25">
        <f t="shared" si="47"/>
        <v>113546.13750000011</v>
      </c>
      <c r="AD130" s="25">
        <f t="shared" si="55"/>
        <v>39091.25</v>
      </c>
      <c r="AE130" s="26">
        <f t="shared" si="48"/>
        <v>152637.38750000013</v>
      </c>
      <c r="AF130" s="25">
        <f t="shared" si="49"/>
        <v>75697.425000000003</v>
      </c>
      <c r="AG130" s="25">
        <f t="shared" si="56"/>
        <v>42012.5</v>
      </c>
      <c r="AH130" s="26">
        <f t="shared" si="50"/>
        <v>117709.925</v>
      </c>
      <c r="AI130" s="25">
        <f t="shared" si="51"/>
        <v>37848.712500000001</v>
      </c>
      <c r="AJ130" s="25">
        <f t="shared" si="57"/>
        <v>44933.75</v>
      </c>
      <c r="AK130" s="26">
        <f t="shared" si="52"/>
        <v>82782.462499999994</v>
      </c>
      <c r="AM130" s="25">
        <f t="shared" si="58"/>
        <v>47855</v>
      </c>
      <c r="AN130" s="26">
        <f t="shared" si="53"/>
        <v>47855</v>
      </c>
    </row>
    <row r="131" spans="1:40" ht="14.4" thickBot="1" x14ac:dyDescent="0.3">
      <c r="I131" s="24">
        <f t="shared" si="64"/>
        <v>58</v>
      </c>
      <c r="J131" s="136">
        <f t="shared" si="59"/>
        <v>156108.50800000006</v>
      </c>
      <c r="K131" s="41"/>
      <c r="L131" s="26">
        <f t="shared" si="41"/>
        <v>156108.50800000006</v>
      </c>
      <c r="M131" s="231">
        <f>M130+B$101</f>
        <v>115538.17500000012</v>
      </c>
      <c r="N131" s="25">
        <f>N130+E$101</f>
        <v>31020.5</v>
      </c>
      <c r="O131" s="26">
        <f t="shared" si="42"/>
        <v>146558.6750000001</v>
      </c>
      <c r="P131" s="25">
        <f>P130+B$102</f>
        <v>77025.45</v>
      </c>
      <c r="Q131" s="25">
        <f>Q130+E$102</f>
        <v>33993</v>
      </c>
      <c r="R131" s="26">
        <f t="shared" si="43"/>
        <v>111018.45</v>
      </c>
      <c r="S131" s="15">
        <f t="shared" si="60"/>
        <v>38512.724999999999</v>
      </c>
      <c r="T131" s="15">
        <f t="shared" si="61"/>
        <v>36965.5</v>
      </c>
      <c r="U131" s="227">
        <f t="shared" si="44"/>
        <v>75478.225000000006</v>
      </c>
      <c r="V131" s="17"/>
      <c r="W131" s="25">
        <f t="shared" si="54"/>
        <v>39938</v>
      </c>
      <c r="X131" s="26">
        <f t="shared" si="45"/>
        <v>39938</v>
      </c>
      <c r="AB131" s="26">
        <f t="shared" si="46"/>
        <v>156108.50800000006</v>
      </c>
      <c r="AC131" s="25">
        <f t="shared" si="47"/>
        <v>115538.17500000012</v>
      </c>
      <c r="AD131" s="25">
        <f t="shared" si="55"/>
        <v>39641.5</v>
      </c>
      <c r="AE131" s="26">
        <f t="shared" si="48"/>
        <v>155179.6750000001</v>
      </c>
      <c r="AF131" s="25">
        <f t="shared" si="49"/>
        <v>77025.45</v>
      </c>
      <c r="AG131" s="25">
        <f t="shared" si="56"/>
        <v>42614</v>
      </c>
      <c r="AH131" s="26">
        <f t="shared" si="50"/>
        <v>119639.45</v>
      </c>
      <c r="AI131" s="25">
        <f t="shared" si="51"/>
        <v>38512.724999999999</v>
      </c>
      <c r="AJ131" s="25">
        <f t="shared" si="57"/>
        <v>45586.5</v>
      </c>
      <c r="AK131" s="26">
        <f t="shared" si="52"/>
        <v>84099.225000000006</v>
      </c>
      <c r="AM131" s="25">
        <f t="shared" si="58"/>
        <v>48559</v>
      </c>
      <c r="AN131" s="26">
        <f t="shared" si="53"/>
        <v>48559</v>
      </c>
    </row>
    <row r="132" spans="1:40" ht="14.4" thickBot="1" x14ac:dyDescent="0.3">
      <c r="I132" s="24">
        <f t="shared" si="64"/>
        <v>59</v>
      </c>
      <c r="J132" s="136">
        <f t="shared" si="59"/>
        <v>158800.03400000007</v>
      </c>
      <c r="K132" s="41"/>
      <c r="L132" s="26">
        <f t="shared" si="41"/>
        <v>158800.03400000007</v>
      </c>
      <c r="M132" s="231">
        <f>M131+B$101</f>
        <v>117530.21250000013</v>
      </c>
      <c r="N132" s="25">
        <f>N131+E$101</f>
        <v>31180.75</v>
      </c>
      <c r="O132" s="26">
        <f t="shared" si="42"/>
        <v>148710.96250000014</v>
      </c>
      <c r="P132" s="25">
        <f>P131+B$102</f>
        <v>78353.474999999991</v>
      </c>
      <c r="Q132" s="25">
        <f>Q131+E$102</f>
        <v>34204.5</v>
      </c>
      <c r="R132" s="26">
        <f t="shared" si="43"/>
        <v>112557.97499999999</v>
      </c>
      <c r="S132" s="15">
        <f t="shared" si="60"/>
        <v>39176.737499999996</v>
      </c>
      <c r="T132" s="15">
        <f t="shared" si="61"/>
        <v>37228.25</v>
      </c>
      <c r="U132" s="227">
        <f t="shared" si="44"/>
        <v>76404.987499999988</v>
      </c>
      <c r="V132" s="17"/>
      <c r="W132" s="25">
        <f t="shared" si="54"/>
        <v>40252</v>
      </c>
      <c r="X132" s="26">
        <f t="shared" si="45"/>
        <v>40252</v>
      </c>
      <c r="AB132" s="26">
        <f t="shared" si="46"/>
        <v>158800.03400000007</v>
      </c>
      <c r="AC132" s="25">
        <f t="shared" si="47"/>
        <v>117530.21250000013</v>
      </c>
      <c r="AD132" s="25">
        <f t="shared" si="55"/>
        <v>40191.75</v>
      </c>
      <c r="AE132" s="26">
        <f t="shared" si="48"/>
        <v>157721.96250000014</v>
      </c>
      <c r="AF132" s="25">
        <f t="shared" si="49"/>
        <v>78353.474999999991</v>
      </c>
      <c r="AG132" s="25">
        <f t="shared" si="56"/>
        <v>43215.5</v>
      </c>
      <c r="AH132" s="26">
        <f t="shared" si="50"/>
        <v>121568.97499999999</v>
      </c>
      <c r="AI132" s="25">
        <f t="shared" si="51"/>
        <v>39176.737499999996</v>
      </c>
      <c r="AJ132" s="25">
        <f t="shared" si="57"/>
        <v>46239.25</v>
      </c>
      <c r="AK132" s="26">
        <f t="shared" si="52"/>
        <v>85415.987499999988</v>
      </c>
      <c r="AM132" s="25">
        <f t="shared" si="58"/>
        <v>49263</v>
      </c>
      <c r="AN132" s="26">
        <f t="shared" si="53"/>
        <v>49263</v>
      </c>
    </row>
    <row r="133" spans="1:40" ht="14.4" thickBot="1" x14ac:dyDescent="0.3">
      <c r="I133" s="24">
        <f t="shared" si="64"/>
        <v>60</v>
      </c>
      <c r="J133" s="136">
        <f t="shared" si="59"/>
        <v>161491.56000000008</v>
      </c>
      <c r="K133" s="41"/>
      <c r="L133" s="26">
        <f t="shared" si="41"/>
        <v>161491.56000000008</v>
      </c>
      <c r="M133" s="231">
        <f>M132+B$101</f>
        <v>119522.25000000013</v>
      </c>
      <c r="N133" s="25">
        <f>N132+E$101</f>
        <v>31341</v>
      </c>
      <c r="O133" s="26">
        <f t="shared" si="42"/>
        <v>150863.25000000012</v>
      </c>
      <c r="P133" s="25">
        <f>P132+B$102</f>
        <v>79681.499999999985</v>
      </c>
      <c r="Q133" s="25">
        <f>Q132+E$102</f>
        <v>34416</v>
      </c>
      <c r="R133" s="26">
        <f t="shared" si="43"/>
        <v>114097.49999999999</v>
      </c>
      <c r="S133" s="15">
        <f t="shared" si="60"/>
        <v>39840.749999999993</v>
      </c>
      <c r="T133" s="15">
        <f t="shared" si="61"/>
        <v>37491</v>
      </c>
      <c r="U133" s="227">
        <f t="shared" si="44"/>
        <v>77331.75</v>
      </c>
      <c r="V133" s="17"/>
      <c r="W133" s="25">
        <f t="shared" si="54"/>
        <v>40566</v>
      </c>
      <c r="X133" s="26">
        <f t="shared" si="45"/>
        <v>40566</v>
      </c>
      <c r="AB133" s="26">
        <f t="shared" si="46"/>
        <v>161491.56000000008</v>
      </c>
      <c r="AC133" s="25">
        <f t="shared" si="47"/>
        <v>119522.25000000013</v>
      </c>
      <c r="AD133" s="25">
        <f t="shared" si="55"/>
        <v>40742</v>
      </c>
      <c r="AE133" s="26">
        <f t="shared" si="48"/>
        <v>160264.25000000012</v>
      </c>
      <c r="AF133" s="25">
        <f t="shared" si="49"/>
        <v>79681.499999999985</v>
      </c>
      <c r="AG133" s="25">
        <f t="shared" si="56"/>
        <v>43817</v>
      </c>
      <c r="AH133" s="26">
        <f t="shared" si="50"/>
        <v>123498.49999999999</v>
      </c>
      <c r="AI133" s="25">
        <f t="shared" si="51"/>
        <v>39840.749999999993</v>
      </c>
      <c r="AJ133" s="25">
        <f t="shared" si="57"/>
        <v>46892</v>
      </c>
      <c r="AK133" s="26">
        <f t="shared" si="52"/>
        <v>86732.75</v>
      </c>
      <c r="AM133" s="25">
        <f t="shared" si="58"/>
        <v>49967</v>
      </c>
      <c r="AN133" s="26">
        <f t="shared" si="53"/>
        <v>49967</v>
      </c>
    </row>
    <row r="134" spans="1:40" ht="14.4" thickBot="1" x14ac:dyDescent="0.3">
      <c r="I134" s="24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17"/>
    </row>
    <row r="135" spans="1:40" x14ac:dyDescent="0.25">
      <c r="I135" s="44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17"/>
    </row>
    <row r="136" spans="1:40" x14ac:dyDescent="0.25">
      <c r="I136" s="44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17"/>
    </row>
    <row r="137" spans="1:40" x14ac:dyDescent="0.25">
      <c r="I137" s="44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17"/>
    </row>
    <row r="138" spans="1:40" x14ac:dyDescent="0.25">
      <c r="I138" s="44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17"/>
    </row>
    <row r="139" spans="1:40" ht="14.4" thickBot="1" x14ac:dyDescent="0.3">
      <c r="I139" s="204" t="s">
        <v>119</v>
      </c>
      <c r="J139" s="205"/>
    </row>
    <row r="140" spans="1:40" ht="14.4" customHeight="1" thickBot="1" x14ac:dyDescent="0.3">
      <c r="I140" s="22"/>
      <c r="J140" s="206" t="s">
        <v>0</v>
      </c>
      <c r="K140" s="207"/>
      <c r="L140" s="208"/>
      <c r="M140" s="206" t="s">
        <v>2</v>
      </c>
      <c r="N140" s="207"/>
      <c r="O140" s="208"/>
      <c r="P140" s="199" t="s">
        <v>3</v>
      </c>
      <c r="Q140" s="200"/>
      <c r="R140" s="201"/>
      <c r="S140" s="199" t="s">
        <v>122</v>
      </c>
      <c r="T140" s="200"/>
      <c r="U140" s="201"/>
      <c r="V140" s="206" t="s">
        <v>123</v>
      </c>
      <c r="W140" s="207"/>
      <c r="X140" s="208"/>
    </row>
    <row r="141" spans="1:40" ht="28.2" thickBot="1" x14ac:dyDescent="0.3">
      <c r="A141" s="191" t="s">
        <v>40</v>
      </c>
      <c r="B141" s="192"/>
      <c r="C141" s="103"/>
      <c r="D141" s="192" t="s">
        <v>113</v>
      </c>
      <c r="E141" s="192"/>
      <c r="F141" s="103"/>
      <c r="G141" s="133" t="s">
        <v>114</v>
      </c>
      <c r="H141" s="134"/>
      <c r="I141" s="22" t="s">
        <v>4</v>
      </c>
      <c r="J141" s="23" t="s">
        <v>5</v>
      </c>
      <c r="K141" s="23" t="s">
        <v>6</v>
      </c>
      <c r="L141" s="22" t="s">
        <v>7</v>
      </c>
      <c r="M141" s="23" t="s">
        <v>5</v>
      </c>
      <c r="N141" s="23" t="s">
        <v>6</v>
      </c>
      <c r="O141" s="22" t="s">
        <v>7</v>
      </c>
      <c r="P141" s="23" t="s">
        <v>5</v>
      </c>
      <c r="Q141" s="23" t="s">
        <v>6</v>
      </c>
      <c r="R141" s="22" t="s">
        <v>7</v>
      </c>
      <c r="S141" s="23" t="s">
        <v>5</v>
      </c>
      <c r="T141" s="23" t="s">
        <v>6</v>
      </c>
      <c r="U141" s="22" t="s">
        <v>7</v>
      </c>
      <c r="V141" s="23" t="s">
        <v>5</v>
      </c>
      <c r="W141" s="23" t="s">
        <v>6</v>
      </c>
      <c r="X141" s="22" t="s">
        <v>7</v>
      </c>
      <c r="Y141" s="22" t="s">
        <v>4</v>
      </c>
    </row>
    <row r="142" spans="1:40" ht="14.4" thickBot="1" x14ac:dyDescent="0.3">
      <c r="A142" s="104" t="s">
        <v>25</v>
      </c>
      <c r="B142" s="94" t="s">
        <v>26</v>
      </c>
      <c r="C142" s="16"/>
      <c r="D142" s="16" t="s">
        <v>25</v>
      </c>
      <c r="E142" s="94" t="s">
        <v>26</v>
      </c>
      <c r="F142" s="17"/>
      <c r="G142" s="16" t="s">
        <v>25</v>
      </c>
      <c r="H142" s="105" t="s">
        <v>26</v>
      </c>
      <c r="I142" s="24">
        <v>0</v>
      </c>
      <c r="J142" s="136">
        <f>B155</f>
        <v>2691.05</v>
      </c>
      <c r="K142" s="25">
        <v>0</v>
      </c>
      <c r="L142" s="26">
        <f>J142+K142</f>
        <v>2691.05</v>
      </c>
      <c r="M142" s="136">
        <f>B156</f>
        <v>2018.2875000000001</v>
      </c>
      <c r="N142" s="136">
        <f>H148</f>
        <v>7727</v>
      </c>
      <c r="O142" s="26">
        <f>N142+M142</f>
        <v>9745.2875000000004</v>
      </c>
      <c r="P142" s="136">
        <f>B157</f>
        <v>1345.5250000000001</v>
      </c>
      <c r="Q142" s="136">
        <f>N142</f>
        <v>7727</v>
      </c>
      <c r="R142" s="26">
        <f>P142+Q142</f>
        <v>9072.5249999999996</v>
      </c>
      <c r="S142" s="136">
        <f>B158</f>
        <v>672.76250000000005</v>
      </c>
      <c r="T142" s="136">
        <f>Q142</f>
        <v>7727</v>
      </c>
      <c r="U142" s="26">
        <f>T142+S142</f>
        <v>8399.7625000000007</v>
      </c>
      <c r="V142" s="136">
        <v>0</v>
      </c>
      <c r="W142" s="136">
        <f>T142</f>
        <v>7727</v>
      </c>
      <c r="X142" s="26">
        <f>W142+V142</f>
        <v>7727</v>
      </c>
      <c r="Y142" s="24">
        <v>0</v>
      </c>
    </row>
    <row r="143" spans="1:40" ht="14.4" thickBot="1" x14ac:dyDescent="0.3">
      <c r="A143" s="106" t="s">
        <v>35</v>
      </c>
      <c r="B143" s="107">
        <v>303.8</v>
      </c>
      <c r="C143" s="17"/>
      <c r="D143" s="17" t="s">
        <v>111</v>
      </c>
      <c r="E143" s="48">
        <f>599*3</f>
        <v>1797</v>
      </c>
      <c r="F143" s="17"/>
      <c r="G143" s="17" t="s">
        <v>111</v>
      </c>
      <c r="H143" s="130">
        <f>599*3</f>
        <v>1797</v>
      </c>
      <c r="I143" s="24">
        <v>1</v>
      </c>
      <c r="J143" s="136">
        <f>J142+$B$155</f>
        <v>5382.1</v>
      </c>
      <c r="K143" s="25">
        <v>0</v>
      </c>
      <c r="L143" s="26">
        <f t="shared" ref="L143:L202" si="65">J143+K143</f>
        <v>5382.1</v>
      </c>
      <c r="M143" s="136">
        <f>M142+B$156</f>
        <v>4036.5750000000003</v>
      </c>
      <c r="N143" s="136">
        <f>N142+$H$160</f>
        <v>8277.25</v>
      </c>
      <c r="O143" s="26">
        <f t="shared" ref="O143:O202" si="66">N143+M143</f>
        <v>12313.825000000001</v>
      </c>
      <c r="P143" s="136">
        <f>P142+$B$157</f>
        <v>2691.05</v>
      </c>
      <c r="Q143" s="136">
        <f>Q142+$H$161</f>
        <v>8328.5</v>
      </c>
      <c r="R143" s="26">
        <f t="shared" ref="R143:R202" si="67">P143+Q143</f>
        <v>11019.55</v>
      </c>
      <c r="S143" s="136">
        <f>S142+$B$158</f>
        <v>1345.5250000000001</v>
      </c>
      <c r="T143" s="136">
        <f>T142+$H$162</f>
        <v>8379.75</v>
      </c>
      <c r="U143" s="26">
        <f t="shared" ref="U143:U202" si="68">T143+S143</f>
        <v>9725.2749999999996</v>
      </c>
      <c r="V143" s="136">
        <f>V142+K$156</f>
        <v>0</v>
      </c>
      <c r="W143" s="136">
        <f>W142+$H$163</f>
        <v>8431</v>
      </c>
      <c r="X143" s="26">
        <f t="shared" ref="X143:X202" si="69">W143+V143</f>
        <v>8431</v>
      </c>
      <c r="Y143" s="24">
        <v>1</v>
      </c>
    </row>
    <row r="144" spans="1:40" ht="14.4" thickBot="1" x14ac:dyDescent="0.3">
      <c r="A144" s="106" t="s">
        <v>36</v>
      </c>
      <c r="B144" s="107">
        <v>258.93</v>
      </c>
      <c r="C144" s="17"/>
      <c r="D144" s="17" t="s">
        <v>99</v>
      </c>
      <c r="E144" s="46">
        <v>2900</v>
      </c>
      <c r="F144" s="17"/>
      <c r="G144" s="17" t="s">
        <v>99</v>
      </c>
      <c r="H144" s="110">
        <v>2900</v>
      </c>
      <c r="I144" s="24">
        <v>2</v>
      </c>
      <c r="J144" s="136">
        <f t="shared" ref="J144:J202" si="70">J143+$B$155</f>
        <v>8073.1500000000005</v>
      </c>
      <c r="K144" s="25">
        <v>0</v>
      </c>
      <c r="L144" s="26">
        <f t="shared" si="65"/>
        <v>8073.1500000000005</v>
      </c>
      <c r="M144" s="136">
        <f t="shared" ref="M144:M202" si="71">M143+B$156</f>
        <v>6054.8625000000002</v>
      </c>
      <c r="N144" s="136">
        <f t="shared" ref="N144:N202" si="72">N143+$H$160</f>
        <v>8827.5</v>
      </c>
      <c r="O144" s="26">
        <f t="shared" si="66"/>
        <v>14882.362499999999</v>
      </c>
      <c r="P144" s="136">
        <f t="shared" ref="P144:P202" si="73">P143+$B$157</f>
        <v>4036.5750000000003</v>
      </c>
      <c r="Q144" s="136">
        <f t="shared" ref="Q144:Q202" si="74">Q143+$H$161</f>
        <v>8930</v>
      </c>
      <c r="R144" s="26">
        <f t="shared" si="67"/>
        <v>12966.575000000001</v>
      </c>
      <c r="S144" s="136">
        <f t="shared" ref="S144:S202" si="75">S143+$B$158</f>
        <v>2018.2875000000001</v>
      </c>
      <c r="T144" s="136">
        <f t="shared" ref="T144:T202" si="76">T143+$H$162</f>
        <v>9032.5</v>
      </c>
      <c r="U144" s="26">
        <f t="shared" si="68"/>
        <v>11050.7875</v>
      </c>
      <c r="V144" s="136">
        <f t="shared" ref="V144:V202" si="77">V143+K$156</f>
        <v>0</v>
      </c>
      <c r="W144" s="136">
        <f t="shared" ref="W144:W202" si="78">W143+$H$163</f>
        <v>9135</v>
      </c>
      <c r="X144" s="26">
        <f t="shared" si="69"/>
        <v>9135</v>
      </c>
      <c r="Y144" s="24">
        <v>2</v>
      </c>
    </row>
    <row r="145" spans="1:27" ht="14.4" thickBot="1" x14ac:dyDescent="0.3">
      <c r="A145" s="106" t="s">
        <v>37</v>
      </c>
      <c r="B145" s="107">
        <v>979.72</v>
      </c>
      <c r="C145" s="17"/>
      <c r="D145" s="17" t="s">
        <v>27</v>
      </c>
      <c r="E145" s="48">
        <v>750</v>
      </c>
      <c r="F145" s="17"/>
      <c r="G145" s="17" t="s">
        <v>27</v>
      </c>
      <c r="H145" s="130">
        <v>750</v>
      </c>
      <c r="I145" s="24">
        <v>3</v>
      </c>
      <c r="J145" s="136">
        <f t="shared" si="70"/>
        <v>10764.2</v>
      </c>
      <c r="K145" s="25">
        <v>0</v>
      </c>
      <c r="L145" s="26">
        <f t="shared" si="65"/>
        <v>10764.2</v>
      </c>
      <c r="M145" s="136">
        <f t="shared" si="71"/>
        <v>8073.1500000000005</v>
      </c>
      <c r="N145" s="136">
        <f t="shared" si="72"/>
        <v>9377.75</v>
      </c>
      <c r="O145" s="26">
        <f t="shared" si="66"/>
        <v>17450.900000000001</v>
      </c>
      <c r="P145" s="136">
        <f t="shared" si="73"/>
        <v>5382.1</v>
      </c>
      <c r="Q145" s="136">
        <f t="shared" si="74"/>
        <v>9531.5</v>
      </c>
      <c r="R145" s="26">
        <f t="shared" si="67"/>
        <v>14913.6</v>
      </c>
      <c r="S145" s="136">
        <f t="shared" si="75"/>
        <v>2691.05</v>
      </c>
      <c r="T145" s="136">
        <f t="shared" si="76"/>
        <v>9685.25</v>
      </c>
      <c r="U145" s="26">
        <f t="shared" si="68"/>
        <v>12376.3</v>
      </c>
      <c r="V145" s="136">
        <f t="shared" si="77"/>
        <v>0</v>
      </c>
      <c r="W145" s="136">
        <f t="shared" si="78"/>
        <v>9839</v>
      </c>
      <c r="X145" s="26">
        <f t="shared" si="69"/>
        <v>9839</v>
      </c>
      <c r="Y145" s="24">
        <v>3</v>
      </c>
    </row>
    <row r="146" spans="1:27" ht="14.4" thickBot="1" x14ac:dyDescent="0.3">
      <c r="A146" s="106" t="s">
        <v>38</v>
      </c>
      <c r="B146" s="107">
        <v>1113.5999999999999</v>
      </c>
      <c r="C146" s="17"/>
      <c r="D146" s="17" t="s">
        <v>115</v>
      </c>
      <c r="E146" s="48">
        <f>500*4.1</f>
        <v>2050</v>
      </c>
      <c r="F146" s="17"/>
      <c r="G146" s="17" t="s">
        <v>115</v>
      </c>
      <c r="H146" s="130">
        <f>500*4.1</f>
        <v>2050</v>
      </c>
      <c r="I146" s="24">
        <v>4</v>
      </c>
      <c r="J146" s="136">
        <f t="shared" si="70"/>
        <v>13455.25</v>
      </c>
      <c r="K146" s="25">
        <v>0</v>
      </c>
      <c r="L146" s="26">
        <f t="shared" si="65"/>
        <v>13455.25</v>
      </c>
      <c r="M146" s="136">
        <f t="shared" si="71"/>
        <v>10091.4375</v>
      </c>
      <c r="N146" s="136">
        <f t="shared" si="72"/>
        <v>9928</v>
      </c>
      <c r="O146" s="26">
        <f t="shared" si="66"/>
        <v>20019.4375</v>
      </c>
      <c r="P146" s="136">
        <f t="shared" si="73"/>
        <v>6727.625</v>
      </c>
      <c r="Q146" s="136">
        <f t="shared" si="74"/>
        <v>10133</v>
      </c>
      <c r="R146" s="26">
        <f t="shared" si="67"/>
        <v>16860.625</v>
      </c>
      <c r="S146" s="136">
        <f t="shared" si="75"/>
        <v>3363.8125</v>
      </c>
      <c r="T146" s="136">
        <f t="shared" si="76"/>
        <v>10338</v>
      </c>
      <c r="U146" s="26">
        <f t="shared" si="68"/>
        <v>13701.8125</v>
      </c>
      <c r="V146" s="136">
        <f t="shared" si="77"/>
        <v>0</v>
      </c>
      <c r="W146" s="136">
        <f t="shared" si="78"/>
        <v>10543</v>
      </c>
      <c r="X146" s="26">
        <f t="shared" si="69"/>
        <v>10543</v>
      </c>
      <c r="Y146" s="24">
        <v>4</v>
      </c>
    </row>
    <row r="147" spans="1:27" ht="14.4" thickBot="1" x14ac:dyDescent="0.3">
      <c r="A147" s="106" t="s">
        <v>39</v>
      </c>
      <c r="B147" s="107">
        <v>603.04</v>
      </c>
      <c r="C147" s="17"/>
      <c r="D147" s="17" t="s">
        <v>116</v>
      </c>
      <c r="E147" s="48">
        <f>1000*2.35</f>
        <v>2350</v>
      </c>
      <c r="F147" s="17"/>
      <c r="G147" s="17" t="s">
        <v>100</v>
      </c>
      <c r="H147" s="110">
        <v>230</v>
      </c>
      <c r="I147" s="24">
        <v>5</v>
      </c>
      <c r="J147" s="136">
        <f t="shared" si="70"/>
        <v>16146.3</v>
      </c>
      <c r="K147" s="25">
        <v>0</v>
      </c>
      <c r="L147" s="26">
        <f t="shared" si="65"/>
        <v>16146.3</v>
      </c>
      <c r="M147" s="136">
        <f t="shared" si="71"/>
        <v>12109.725</v>
      </c>
      <c r="N147" s="136">
        <f t="shared" si="72"/>
        <v>10478.25</v>
      </c>
      <c r="O147" s="26">
        <f t="shared" si="66"/>
        <v>22587.974999999999</v>
      </c>
      <c r="P147" s="136">
        <f t="shared" si="73"/>
        <v>8073.15</v>
      </c>
      <c r="Q147" s="136">
        <f t="shared" si="74"/>
        <v>10734.5</v>
      </c>
      <c r="R147" s="26">
        <f t="shared" si="67"/>
        <v>18807.650000000001</v>
      </c>
      <c r="S147" s="136">
        <f t="shared" si="75"/>
        <v>4036.5749999999998</v>
      </c>
      <c r="T147" s="136">
        <f t="shared" si="76"/>
        <v>10990.75</v>
      </c>
      <c r="U147" s="26">
        <f t="shared" si="68"/>
        <v>15027.325000000001</v>
      </c>
      <c r="V147" s="136">
        <f t="shared" si="77"/>
        <v>0</v>
      </c>
      <c r="W147" s="136">
        <f t="shared" si="78"/>
        <v>11247</v>
      </c>
      <c r="X147" s="26">
        <f t="shared" si="69"/>
        <v>11247</v>
      </c>
      <c r="Y147" s="24">
        <v>5</v>
      </c>
    </row>
    <row r="148" spans="1:27" ht="14.4" thickBot="1" x14ac:dyDescent="0.3">
      <c r="A148" s="106" t="s">
        <v>94</v>
      </c>
      <c r="B148" s="107">
        <v>83.36</v>
      </c>
      <c r="C148" s="17"/>
      <c r="D148" s="17" t="s">
        <v>117</v>
      </c>
      <c r="E148" s="48">
        <f>3.99*1000</f>
        <v>3990</v>
      </c>
      <c r="F148" s="17"/>
      <c r="G148" s="47" t="s">
        <v>43</v>
      </c>
      <c r="H148" s="131">
        <f>SUM(H143:H147)</f>
        <v>7727</v>
      </c>
      <c r="I148" s="24">
        <v>6</v>
      </c>
      <c r="J148" s="136">
        <f t="shared" si="70"/>
        <v>18837.349999999999</v>
      </c>
      <c r="K148" s="25">
        <v>0</v>
      </c>
      <c r="L148" s="26">
        <f t="shared" si="65"/>
        <v>18837.349999999999</v>
      </c>
      <c r="M148" s="136">
        <f t="shared" si="71"/>
        <v>14128.012500000001</v>
      </c>
      <c r="N148" s="136">
        <f t="shared" si="72"/>
        <v>11028.5</v>
      </c>
      <c r="O148" s="26">
        <f t="shared" si="66"/>
        <v>25156.512500000001</v>
      </c>
      <c r="P148" s="136">
        <f t="shared" si="73"/>
        <v>9418.6749999999993</v>
      </c>
      <c r="Q148" s="136">
        <f t="shared" si="74"/>
        <v>11336</v>
      </c>
      <c r="R148" s="26">
        <f t="shared" si="67"/>
        <v>20754.674999999999</v>
      </c>
      <c r="S148" s="136">
        <f t="shared" si="75"/>
        <v>4709.3374999999996</v>
      </c>
      <c r="T148" s="136">
        <f t="shared" si="76"/>
        <v>11643.5</v>
      </c>
      <c r="U148" s="26">
        <f t="shared" si="68"/>
        <v>16352.8375</v>
      </c>
      <c r="V148" s="136">
        <f t="shared" si="77"/>
        <v>0</v>
      </c>
      <c r="W148" s="136">
        <f t="shared" si="78"/>
        <v>11951</v>
      </c>
      <c r="X148" s="26">
        <f t="shared" si="69"/>
        <v>11951</v>
      </c>
      <c r="Y148" s="24">
        <v>6</v>
      </c>
    </row>
    <row r="149" spans="1:27" ht="14.4" thickBot="1" x14ac:dyDescent="0.3">
      <c r="A149" s="106" t="s">
        <v>95</v>
      </c>
      <c r="B149" s="107">
        <v>45.98</v>
      </c>
      <c r="C149" s="17"/>
      <c r="D149" s="17" t="s">
        <v>100</v>
      </c>
      <c r="E149" s="46">
        <v>230</v>
      </c>
      <c r="F149" s="17"/>
      <c r="G149" s="18"/>
      <c r="H149" s="110"/>
      <c r="I149" s="24">
        <v>7</v>
      </c>
      <c r="J149" s="136">
        <f t="shared" si="70"/>
        <v>21528.399999999998</v>
      </c>
      <c r="K149" s="25">
        <v>0</v>
      </c>
      <c r="L149" s="26">
        <f t="shared" si="65"/>
        <v>21528.399999999998</v>
      </c>
      <c r="M149" s="136">
        <f t="shared" si="71"/>
        <v>16146.300000000001</v>
      </c>
      <c r="N149" s="136">
        <f t="shared" si="72"/>
        <v>11578.75</v>
      </c>
      <c r="O149" s="26">
        <f t="shared" si="66"/>
        <v>27725.050000000003</v>
      </c>
      <c r="P149" s="136">
        <f t="shared" si="73"/>
        <v>10764.199999999999</v>
      </c>
      <c r="Q149" s="136">
        <f t="shared" si="74"/>
        <v>11937.5</v>
      </c>
      <c r="R149" s="26">
        <f t="shared" si="67"/>
        <v>22701.699999999997</v>
      </c>
      <c r="S149" s="136">
        <f t="shared" si="75"/>
        <v>5382.0999999999995</v>
      </c>
      <c r="T149" s="136">
        <f t="shared" si="76"/>
        <v>12296.25</v>
      </c>
      <c r="U149" s="26">
        <f t="shared" si="68"/>
        <v>17678.349999999999</v>
      </c>
      <c r="V149" s="136">
        <f t="shared" si="77"/>
        <v>0</v>
      </c>
      <c r="W149" s="136">
        <f t="shared" si="78"/>
        <v>12655</v>
      </c>
      <c r="X149" s="26">
        <f t="shared" si="69"/>
        <v>12655</v>
      </c>
      <c r="Y149" s="24">
        <v>7</v>
      </c>
      <c r="AA149" s="8">
        <v>3</v>
      </c>
    </row>
    <row r="150" spans="1:27" ht="14.4" thickBot="1" x14ac:dyDescent="0.3">
      <c r="A150" s="106" t="s">
        <v>96</v>
      </c>
      <c r="B150" s="107">
        <v>476</v>
      </c>
      <c r="C150" s="17"/>
      <c r="D150" s="47" t="s">
        <v>43</v>
      </c>
      <c r="E150" s="129">
        <f>SUM(E143:E149)</f>
        <v>14067</v>
      </c>
      <c r="F150" s="17"/>
      <c r="G150" s="17" t="s">
        <v>148</v>
      </c>
      <c r="H150" s="111">
        <v>205</v>
      </c>
      <c r="I150" s="24">
        <v>8</v>
      </c>
      <c r="J150" s="136">
        <f t="shared" si="70"/>
        <v>24219.449999999997</v>
      </c>
      <c r="K150" s="25">
        <v>0</v>
      </c>
      <c r="L150" s="26">
        <f t="shared" si="65"/>
        <v>24219.449999999997</v>
      </c>
      <c r="M150" s="136">
        <f t="shared" si="71"/>
        <v>18164.587500000001</v>
      </c>
      <c r="N150" s="136">
        <f t="shared" si="72"/>
        <v>12129</v>
      </c>
      <c r="O150" s="26">
        <f t="shared" si="66"/>
        <v>30293.587500000001</v>
      </c>
      <c r="P150" s="136">
        <f t="shared" si="73"/>
        <v>12109.724999999999</v>
      </c>
      <c r="Q150" s="136">
        <f t="shared" si="74"/>
        <v>12539</v>
      </c>
      <c r="R150" s="26">
        <f t="shared" si="67"/>
        <v>24648.724999999999</v>
      </c>
      <c r="S150" s="136">
        <f t="shared" si="75"/>
        <v>6054.8624999999993</v>
      </c>
      <c r="T150" s="136">
        <f t="shared" si="76"/>
        <v>12949</v>
      </c>
      <c r="U150" s="26">
        <f t="shared" si="68"/>
        <v>19003.862499999999</v>
      </c>
      <c r="V150" s="136">
        <f t="shared" si="77"/>
        <v>0</v>
      </c>
      <c r="W150" s="136">
        <f t="shared" si="78"/>
        <v>13359</v>
      </c>
      <c r="X150" s="26">
        <f t="shared" si="69"/>
        <v>13359</v>
      </c>
      <c r="Y150" s="24">
        <v>8</v>
      </c>
      <c r="AA150" s="8">
        <v>4</v>
      </c>
    </row>
    <row r="151" spans="1:27" ht="14.4" thickBot="1" x14ac:dyDescent="0.3">
      <c r="A151" s="106" t="s">
        <v>97</v>
      </c>
      <c r="B151" s="107">
        <v>130.63999999999999</v>
      </c>
      <c r="C151" s="17"/>
      <c r="D151" s="18"/>
      <c r="E151" s="46"/>
      <c r="F151" s="17"/>
      <c r="G151" s="112" t="s">
        <v>147</v>
      </c>
      <c r="H151" s="114">
        <v>4100</v>
      </c>
      <c r="I151" s="24">
        <v>9</v>
      </c>
      <c r="J151" s="136">
        <f t="shared" si="70"/>
        <v>26910.499999999996</v>
      </c>
      <c r="K151" s="25">
        <v>0</v>
      </c>
      <c r="L151" s="26">
        <f t="shared" si="65"/>
        <v>26910.499999999996</v>
      </c>
      <c r="M151" s="136">
        <f t="shared" si="71"/>
        <v>20182.875</v>
      </c>
      <c r="N151" s="136">
        <f t="shared" si="72"/>
        <v>12679.25</v>
      </c>
      <c r="O151" s="26">
        <f t="shared" si="66"/>
        <v>32862.125</v>
      </c>
      <c r="P151" s="136">
        <f t="shared" si="73"/>
        <v>13455.249999999998</v>
      </c>
      <c r="Q151" s="136">
        <f t="shared" si="74"/>
        <v>13140.5</v>
      </c>
      <c r="R151" s="26">
        <f t="shared" si="67"/>
        <v>26595.75</v>
      </c>
      <c r="S151" s="136">
        <f t="shared" si="75"/>
        <v>6727.6249999999991</v>
      </c>
      <c r="T151" s="136">
        <f t="shared" si="76"/>
        <v>13601.75</v>
      </c>
      <c r="U151" s="26">
        <f t="shared" si="68"/>
        <v>20329.375</v>
      </c>
      <c r="V151" s="136">
        <f t="shared" si="77"/>
        <v>0</v>
      </c>
      <c r="W151" s="136">
        <f t="shared" si="78"/>
        <v>14063</v>
      </c>
      <c r="X151" s="26">
        <f t="shared" si="69"/>
        <v>14063</v>
      </c>
      <c r="Y151" s="24">
        <v>9</v>
      </c>
      <c r="AA151" s="8">
        <v>9</v>
      </c>
    </row>
    <row r="152" spans="1:27" ht="14.4" thickBot="1" x14ac:dyDescent="0.3">
      <c r="A152" s="106" t="s">
        <v>80</v>
      </c>
      <c r="B152" s="107">
        <v>24.31</v>
      </c>
      <c r="C152" s="17"/>
      <c r="D152" s="17" t="s">
        <v>118</v>
      </c>
      <c r="E152" s="107">
        <f>1000*4.1</f>
        <v>4100</v>
      </c>
      <c r="F152" s="21"/>
      <c r="G152" s="138" t="s">
        <v>124</v>
      </c>
      <c r="H152" s="110">
        <f>H151*0.25</f>
        <v>1025</v>
      </c>
      <c r="I152" s="24">
        <v>10</v>
      </c>
      <c r="J152" s="136">
        <f t="shared" si="70"/>
        <v>29601.549999999996</v>
      </c>
      <c r="K152" s="25">
        <v>0</v>
      </c>
      <c r="L152" s="26">
        <f t="shared" si="65"/>
        <v>29601.549999999996</v>
      </c>
      <c r="M152" s="136">
        <f t="shared" si="71"/>
        <v>22201.162499999999</v>
      </c>
      <c r="N152" s="136">
        <f t="shared" si="72"/>
        <v>13229.5</v>
      </c>
      <c r="O152" s="26">
        <f t="shared" si="66"/>
        <v>35430.662499999999</v>
      </c>
      <c r="P152" s="136">
        <f t="shared" si="73"/>
        <v>14800.774999999998</v>
      </c>
      <c r="Q152" s="136">
        <f t="shared" si="74"/>
        <v>13742</v>
      </c>
      <c r="R152" s="26">
        <f t="shared" si="67"/>
        <v>28542.774999999998</v>
      </c>
      <c r="S152" s="136">
        <f t="shared" si="75"/>
        <v>7400.3874999999989</v>
      </c>
      <c r="T152" s="136">
        <f t="shared" si="76"/>
        <v>14254.5</v>
      </c>
      <c r="U152" s="26">
        <f t="shared" si="68"/>
        <v>21654.887499999997</v>
      </c>
      <c r="V152" s="136">
        <f t="shared" si="77"/>
        <v>0</v>
      </c>
      <c r="W152" s="136">
        <f t="shared" si="78"/>
        <v>14767</v>
      </c>
      <c r="X152" s="26">
        <f t="shared" si="69"/>
        <v>14767</v>
      </c>
      <c r="Y152" s="24">
        <v>10</v>
      </c>
    </row>
    <row r="153" spans="1:27" ht="14.4" thickBot="1" x14ac:dyDescent="0.3">
      <c r="A153" s="108" t="s">
        <v>41</v>
      </c>
      <c r="B153" s="109">
        <f>SUM(B143:B152)</f>
        <v>4019.38</v>
      </c>
      <c r="C153" s="17"/>
      <c r="D153" s="17" t="s">
        <v>116</v>
      </c>
      <c r="E153" s="107">
        <f>1000*2.35</f>
        <v>2350</v>
      </c>
      <c r="F153" s="17"/>
      <c r="G153" s="10" t="s">
        <v>125</v>
      </c>
      <c r="H153" s="139">
        <f>H151*0.5</f>
        <v>2050</v>
      </c>
      <c r="I153" s="24">
        <v>11</v>
      </c>
      <c r="J153" s="136">
        <f t="shared" si="70"/>
        <v>32292.599999999995</v>
      </c>
      <c r="K153" s="25">
        <v>0</v>
      </c>
      <c r="L153" s="26">
        <f t="shared" si="65"/>
        <v>32292.599999999995</v>
      </c>
      <c r="M153" s="136">
        <f t="shared" si="71"/>
        <v>24219.449999999997</v>
      </c>
      <c r="N153" s="136">
        <f t="shared" si="72"/>
        <v>13779.75</v>
      </c>
      <c r="O153" s="26">
        <f t="shared" si="66"/>
        <v>37999.199999999997</v>
      </c>
      <c r="P153" s="136">
        <f t="shared" si="73"/>
        <v>16146.299999999997</v>
      </c>
      <c r="Q153" s="136">
        <f t="shared" si="74"/>
        <v>14343.5</v>
      </c>
      <c r="R153" s="26">
        <f t="shared" si="67"/>
        <v>30489.799999999996</v>
      </c>
      <c r="S153" s="136">
        <f t="shared" si="75"/>
        <v>8073.1499999999987</v>
      </c>
      <c r="T153" s="136">
        <f t="shared" si="76"/>
        <v>14907.25</v>
      </c>
      <c r="U153" s="26">
        <f t="shared" si="68"/>
        <v>22980.399999999998</v>
      </c>
      <c r="V153" s="136">
        <f t="shared" si="77"/>
        <v>0</v>
      </c>
      <c r="W153" s="136">
        <f t="shared" si="78"/>
        <v>15471</v>
      </c>
      <c r="X153" s="26">
        <f t="shared" si="69"/>
        <v>15471</v>
      </c>
      <c r="Y153" s="24">
        <v>11</v>
      </c>
    </row>
    <row r="154" spans="1:27" ht="14.4" thickBot="1" x14ac:dyDescent="0.3">
      <c r="A154" s="106"/>
      <c r="B154" s="107"/>
      <c r="C154" s="17"/>
      <c r="D154" s="17" t="s">
        <v>117</v>
      </c>
      <c r="E154" s="107">
        <f>1000*3.99</f>
        <v>3990</v>
      </c>
      <c r="F154" s="17"/>
      <c r="G154" s="10" t="s">
        <v>126</v>
      </c>
      <c r="H154" s="15">
        <f>H151*0.75</f>
        <v>3075</v>
      </c>
      <c r="I154" s="24">
        <v>12</v>
      </c>
      <c r="J154" s="136">
        <f t="shared" si="70"/>
        <v>34983.649999999994</v>
      </c>
      <c r="K154" s="25">
        <v>0</v>
      </c>
      <c r="L154" s="26">
        <f t="shared" si="65"/>
        <v>34983.649999999994</v>
      </c>
      <c r="M154" s="136">
        <f t="shared" si="71"/>
        <v>26237.737499999996</v>
      </c>
      <c r="N154" s="136">
        <f t="shared" si="72"/>
        <v>14330</v>
      </c>
      <c r="O154" s="26">
        <f t="shared" si="66"/>
        <v>40567.737499999996</v>
      </c>
      <c r="P154" s="136">
        <f t="shared" si="73"/>
        <v>17491.824999999997</v>
      </c>
      <c r="Q154" s="136">
        <f t="shared" si="74"/>
        <v>14945</v>
      </c>
      <c r="R154" s="26">
        <f t="shared" si="67"/>
        <v>32436.824999999997</v>
      </c>
      <c r="S154" s="136">
        <f t="shared" si="75"/>
        <v>8745.9124999999985</v>
      </c>
      <c r="T154" s="136">
        <f t="shared" si="76"/>
        <v>15560</v>
      </c>
      <c r="U154" s="26">
        <f t="shared" si="68"/>
        <v>24305.912499999999</v>
      </c>
      <c r="V154" s="136">
        <f t="shared" si="77"/>
        <v>0</v>
      </c>
      <c r="W154" s="136">
        <f t="shared" si="78"/>
        <v>16175</v>
      </c>
      <c r="X154" s="26">
        <f t="shared" si="69"/>
        <v>16175</v>
      </c>
      <c r="Y154" s="24">
        <v>12</v>
      </c>
    </row>
    <row r="155" spans="1:27" ht="14.4" thickBot="1" x14ac:dyDescent="0.3">
      <c r="A155" s="119" t="s">
        <v>120</v>
      </c>
      <c r="B155" s="120">
        <f>SUM(B143:B146)+B159</f>
        <v>2691.05</v>
      </c>
      <c r="C155" s="21"/>
      <c r="D155" s="112" t="s">
        <v>29</v>
      </c>
      <c r="E155" s="113">
        <f>SUM(E152:E154)</f>
        <v>10440</v>
      </c>
      <c r="F155" s="17"/>
      <c r="G155" s="18"/>
      <c r="H155" s="110"/>
      <c r="I155" s="24">
        <v>13</v>
      </c>
      <c r="J155" s="136">
        <f t="shared" si="70"/>
        <v>37674.699999999997</v>
      </c>
      <c r="K155" s="25">
        <v>0</v>
      </c>
      <c r="L155" s="26">
        <f t="shared" si="65"/>
        <v>37674.699999999997</v>
      </c>
      <c r="M155" s="136">
        <f t="shared" si="71"/>
        <v>28256.024999999994</v>
      </c>
      <c r="N155" s="136">
        <f t="shared" si="72"/>
        <v>14880.25</v>
      </c>
      <c r="O155" s="26">
        <f t="shared" si="66"/>
        <v>43136.274999999994</v>
      </c>
      <c r="P155" s="136">
        <f t="shared" si="73"/>
        <v>18837.349999999999</v>
      </c>
      <c r="Q155" s="136">
        <f t="shared" si="74"/>
        <v>15546.5</v>
      </c>
      <c r="R155" s="26">
        <f t="shared" si="67"/>
        <v>34383.85</v>
      </c>
      <c r="S155" s="136">
        <f t="shared" si="75"/>
        <v>9418.6749999999993</v>
      </c>
      <c r="T155" s="136">
        <f t="shared" si="76"/>
        <v>16212.75</v>
      </c>
      <c r="U155" s="26">
        <f t="shared" si="68"/>
        <v>25631.424999999999</v>
      </c>
      <c r="V155" s="136">
        <f t="shared" si="77"/>
        <v>0</v>
      </c>
      <c r="W155" s="136">
        <f t="shared" si="78"/>
        <v>16879</v>
      </c>
      <c r="X155" s="26">
        <f t="shared" si="69"/>
        <v>16879</v>
      </c>
      <c r="Y155" s="24">
        <v>13</v>
      </c>
    </row>
    <row r="156" spans="1:27" ht="14.4" thickBot="1" x14ac:dyDescent="0.3">
      <c r="A156" s="119" t="s">
        <v>50</v>
      </c>
      <c r="B156" s="120">
        <f>B155*0.75</f>
        <v>2018.2875000000001</v>
      </c>
      <c r="C156" s="21"/>
      <c r="D156" s="17"/>
      <c r="E156" s="107"/>
      <c r="F156" s="18"/>
      <c r="G156" s="17"/>
      <c r="H156" s="111"/>
      <c r="I156" s="24">
        <v>14</v>
      </c>
      <c r="J156" s="136">
        <f t="shared" si="70"/>
        <v>40365.75</v>
      </c>
      <c r="K156" s="25">
        <v>0</v>
      </c>
      <c r="L156" s="26">
        <f t="shared" si="65"/>
        <v>40365.75</v>
      </c>
      <c r="M156" s="136">
        <f t="shared" si="71"/>
        <v>30274.312499999993</v>
      </c>
      <c r="N156" s="136">
        <f t="shared" si="72"/>
        <v>15430.5</v>
      </c>
      <c r="O156" s="26">
        <f t="shared" si="66"/>
        <v>45704.812499999993</v>
      </c>
      <c r="P156" s="136">
        <f t="shared" si="73"/>
        <v>20182.875</v>
      </c>
      <c r="Q156" s="136">
        <f t="shared" si="74"/>
        <v>16148</v>
      </c>
      <c r="R156" s="26">
        <f t="shared" si="67"/>
        <v>36330.875</v>
      </c>
      <c r="S156" s="136">
        <f t="shared" si="75"/>
        <v>10091.4375</v>
      </c>
      <c r="T156" s="136">
        <f t="shared" si="76"/>
        <v>16865.5</v>
      </c>
      <c r="U156" s="26">
        <f t="shared" si="68"/>
        <v>26956.9375</v>
      </c>
      <c r="V156" s="136">
        <f t="shared" si="77"/>
        <v>0</v>
      </c>
      <c r="W156" s="136">
        <f t="shared" si="78"/>
        <v>17583</v>
      </c>
      <c r="X156" s="26">
        <f t="shared" si="69"/>
        <v>17583</v>
      </c>
      <c r="Y156" s="24">
        <v>14</v>
      </c>
    </row>
    <row r="157" spans="1:27" ht="14.4" thickBot="1" x14ac:dyDescent="0.3">
      <c r="A157" s="137" t="s">
        <v>51</v>
      </c>
      <c r="B157" s="120">
        <f>B155*0.5</f>
        <v>1345.5250000000001</v>
      </c>
      <c r="C157" s="21"/>
      <c r="D157" s="121" t="s">
        <v>15</v>
      </c>
      <c r="E157" s="132">
        <v>5988</v>
      </c>
      <c r="F157" s="18"/>
      <c r="G157" s="121" t="s">
        <v>15</v>
      </c>
      <c r="H157" s="122">
        <v>5988</v>
      </c>
      <c r="I157" s="24">
        <v>15</v>
      </c>
      <c r="J157" s="136">
        <f t="shared" si="70"/>
        <v>43056.800000000003</v>
      </c>
      <c r="K157" s="25">
        <v>0</v>
      </c>
      <c r="L157" s="26">
        <f t="shared" si="65"/>
        <v>43056.800000000003</v>
      </c>
      <c r="M157" s="136">
        <f t="shared" si="71"/>
        <v>32292.599999999991</v>
      </c>
      <c r="N157" s="136">
        <f t="shared" si="72"/>
        <v>15980.75</v>
      </c>
      <c r="O157" s="26">
        <f t="shared" si="66"/>
        <v>48273.349999999991</v>
      </c>
      <c r="P157" s="136">
        <f t="shared" si="73"/>
        <v>21528.400000000001</v>
      </c>
      <c r="Q157" s="136">
        <f t="shared" si="74"/>
        <v>16749.5</v>
      </c>
      <c r="R157" s="26">
        <f t="shared" si="67"/>
        <v>38277.9</v>
      </c>
      <c r="S157" s="136">
        <f t="shared" si="75"/>
        <v>10764.2</v>
      </c>
      <c r="T157" s="136">
        <f t="shared" si="76"/>
        <v>17518.25</v>
      </c>
      <c r="U157" s="26">
        <f t="shared" si="68"/>
        <v>28282.45</v>
      </c>
      <c r="V157" s="136">
        <f t="shared" si="77"/>
        <v>0</v>
      </c>
      <c r="W157" s="136">
        <f t="shared" si="78"/>
        <v>18287</v>
      </c>
      <c r="X157" s="26">
        <f t="shared" si="69"/>
        <v>18287</v>
      </c>
      <c r="Y157" s="24">
        <v>15</v>
      </c>
    </row>
    <row r="158" spans="1:27" ht="14.4" thickBot="1" x14ac:dyDescent="0.3">
      <c r="A158" s="123" t="s">
        <v>122</v>
      </c>
      <c r="B158" s="82">
        <f>B155*0.25</f>
        <v>672.76250000000005</v>
      </c>
      <c r="C158" s="84"/>
      <c r="D158" s="51"/>
      <c r="E158" s="52"/>
      <c r="F158" s="51"/>
      <c r="G158" s="17" t="s">
        <v>121</v>
      </c>
      <c r="H158" s="111">
        <f>H157/12</f>
        <v>499</v>
      </c>
      <c r="I158" s="24">
        <v>16</v>
      </c>
      <c r="J158" s="136">
        <f t="shared" si="70"/>
        <v>45747.850000000006</v>
      </c>
      <c r="K158" s="25">
        <v>0</v>
      </c>
      <c r="L158" s="26">
        <f t="shared" si="65"/>
        <v>45747.850000000006</v>
      </c>
      <c r="M158" s="136">
        <f t="shared" si="71"/>
        <v>34310.88749999999</v>
      </c>
      <c r="N158" s="136">
        <f t="shared" si="72"/>
        <v>16531</v>
      </c>
      <c r="O158" s="26">
        <f t="shared" si="66"/>
        <v>50841.88749999999</v>
      </c>
      <c r="P158" s="136">
        <f t="shared" si="73"/>
        <v>22873.925000000003</v>
      </c>
      <c r="Q158" s="136">
        <f t="shared" si="74"/>
        <v>17351</v>
      </c>
      <c r="R158" s="26">
        <f t="shared" si="67"/>
        <v>40224.925000000003</v>
      </c>
      <c r="S158" s="136">
        <f t="shared" si="75"/>
        <v>11436.962500000001</v>
      </c>
      <c r="T158" s="136">
        <f t="shared" si="76"/>
        <v>18171</v>
      </c>
      <c r="U158" s="26">
        <f t="shared" si="68"/>
        <v>29607.962500000001</v>
      </c>
      <c r="V158" s="136">
        <f t="shared" si="77"/>
        <v>0</v>
      </c>
      <c r="W158" s="136">
        <f t="shared" si="78"/>
        <v>18991</v>
      </c>
      <c r="X158" s="26">
        <f t="shared" si="69"/>
        <v>18991</v>
      </c>
      <c r="Y158" s="24">
        <v>16</v>
      </c>
    </row>
    <row r="159" spans="1:27" ht="14.4" thickBot="1" x14ac:dyDescent="0.3">
      <c r="A159" s="8" t="s">
        <v>158</v>
      </c>
      <c r="B159" s="8">
        <v>35</v>
      </c>
      <c r="I159" s="24">
        <v>17</v>
      </c>
      <c r="J159" s="136">
        <f t="shared" si="70"/>
        <v>48438.900000000009</v>
      </c>
      <c r="K159" s="25">
        <v>0</v>
      </c>
      <c r="L159" s="26">
        <f t="shared" si="65"/>
        <v>48438.900000000009</v>
      </c>
      <c r="M159" s="136">
        <f t="shared" si="71"/>
        <v>36329.174999999988</v>
      </c>
      <c r="N159" s="136">
        <f t="shared" si="72"/>
        <v>17081.25</v>
      </c>
      <c r="O159" s="26">
        <f t="shared" si="66"/>
        <v>53410.424999999988</v>
      </c>
      <c r="P159" s="136">
        <f t="shared" si="73"/>
        <v>24219.450000000004</v>
      </c>
      <c r="Q159" s="136">
        <f t="shared" si="74"/>
        <v>17952.5</v>
      </c>
      <c r="R159" s="26">
        <f t="shared" si="67"/>
        <v>42171.950000000004</v>
      </c>
      <c r="S159" s="136">
        <f t="shared" si="75"/>
        <v>12109.725000000002</v>
      </c>
      <c r="T159" s="136">
        <f t="shared" si="76"/>
        <v>18823.75</v>
      </c>
      <c r="U159" s="26">
        <f t="shared" si="68"/>
        <v>30933.475000000002</v>
      </c>
      <c r="V159" s="136">
        <f t="shared" si="77"/>
        <v>0</v>
      </c>
      <c r="W159" s="136">
        <f t="shared" si="78"/>
        <v>19695</v>
      </c>
      <c r="X159" s="26">
        <f t="shared" si="69"/>
        <v>19695</v>
      </c>
      <c r="Y159" s="24">
        <v>17</v>
      </c>
    </row>
    <row r="160" spans="1:27" ht="14.4" thickBot="1" x14ac:dyDescent="0.3">
      <c r="F160" s="8">
        <v>0.25</v>
      </c>
      <c r="G160" s="8" t="s">
        <v>149</v>
      </c>
      <c r="H160" s="15">
        <f>H$158+(F160*H$150)</f>
        <v>550.25</v>
      </c>
      <c r="I160" s="37">
        <v>18</v>
      </c>
      <c r="J160" s="136">
        <f t="shared" si="70"/>
        <v>51129.950000000012</v>
      </c>
      <c r="K160" s="38">
        <v>0</v>
      </c>
      <c r="L160" s="26">
        <f t="shared" si="65"/>
        <v>51129.950000000012</v>
      </c>
      <c r="M160" s="136">
        <f t="shared" si="71"/>
        <v>38347.462499999987</v>
      </c>
      <c r="N160" s="136">
        <f t="shared" si="72"/>
        <v>17631.5</v>
      </c>
      <c r="O160" s="26">
        <f t="shared" si="66"/>
        <v>55978.962499999987</v>
      </c>
      <c r="P160" s="136">
        <f t="shared" si="73"/>
        <v>25564.975000000006</v>
      </c>
      <c r="Q160" s="136">
        <f t="shared" si="74"/>
        <v>18554</v>
      </c>
      <c r="R160" s="26">
        <f t="shared" si="67"/>
        <v>44118.975000000006</v>
      </c>
      <c r="S160" s="136">
        <f t="shared" si="75"/>
        <v>12782.487500000003</v>
      </c>
      <c r="T160" s="136">
        <f t="shared" si="76"/>
        <v>19476.5</v>
      </c>
      <c r="U160" s="26">
        <f t="shared" si="68"/>
        <v>32258.987500000003</v>
      </c>
      <c r="V160" s="136">
        <f t="shared" si="77"/>
        <v>0</v>
      </c>
      <c r="W160" s="136">
        <f t="shared" si="78"/>
        <v>20399</v>
      </c>
      <c r="X160" s="26">
        <f t="shared" si="69"/>
        <v>20399</v>
      </c>
      <c r="Y160" s="37">
        <v>18</v>
      </c>
    </row>
    <row r="161" spans="1:25" ht="14.4" thickBot="1" x14ac:dyDescent="0.3">
      <c r="A161" s="186" t="s">
        <v>156</v>
      </c>
      <c r="F161" s="8">
        <v>0.5</v>
      </c>
      <c r="G161" s="8" t="s">
        <v>150</v>
      </c>
      <c r="H161" s="15">
        <f t="shared" ref="H161:H163" si="79">H$158+(F161*H$150)</f>
        <v>601.5</v>
      </c>
      <c r="I161" s="24">
        <v>19</v>
      </c>
      <c r="J161" s="136">
        <f t="shared" si="70"/>
        <v>53821.000000000015</v>
      </c>
      <c r="K161" s="25">
        <v>0</v>
      </c>
      <c r="L161" s="26">
        <f t="shared" si="65"/>
        <v>53821.000000000015</v>
      </c>
      <c r="M161" s="136">
        <f t="shared" si="71"/>
        <v>40365.749999999985</v>
      </c>
      <c r="N161" s="136">
        <f t="shared" si="72"/>
        <v>18181.75</v>
      </c>
      <c r="O161" s="26">
        <f t="shared" si="66"/>
        <v>58547.499999999985</v>
      </c>
      <c r="P161" s="136">
        <f t="shared" si="73"/>
        <v>26910.500000000007</v>
      </c>
      <c r="Q161" s="136">
        <f t="shared" si="74"/>
        <v>19155.5</v>
      </c>
      <c r="R161" s="26">
        <f t="shared" si="67"/>
        <v>46066.000000000007</v>
      </c>
      <c r="S161" s="136">
        <f t="shared" si="75"/>
        <v>13455.250000000004</v>
      </c>
      <c r="T161" s="136">
        <f t="shared" si="76"/>
        <v>20129.25</v>
      </c>
      <c r="U161" s="26">
        <f t="shared" si="68"/>
        <v>33584.5</v>
      </c>
      <c r="V161" s="136">
        <f t="shared" si="77"/>
        <v>0</v>
      </c>
      <c r="W161" s="136">
        <f t="shared" si="78"/>
        <v>21103</v>
      </c>
      <c r="X161" s="26">
        <f t="shared" si="69"/>
        <v>21103</v>
      </c>
      <c r="Y161" s="24">
        <v>19</v>
      </c>
    </row>
    <row r="162" spans="1:25" ht="14.4" thickBot="1" x14ac:dyDescent="0.3">
      <c r="A162" s="8" t="s">
        <v>157</v>
      </c>
      <c r="B162" s="61">
        <v>2656.05</v>
      </c>
      <c r="F162" s="8">
        <v>0.75</v>
      </c>
      <c r="G162" s="8" t="s">
        <v>151</v>
      </c>
      <c r="H162" s="15">
        <f t="shared" si="79"/>
        <v>652.75</v>
      </c>
      <c r="I162" s="24">
        <v>20</v>
      </c>
      <c r="J162" s="136">
        <f t="shared" si="70"/>
        <v>56512.050000000017</v>
      </c>
      <c r="K162" s="25">
        <v>0</v>
      </c>
      <c r="L162" s="26">
        <f t="shared" si="65"/>
        <v>56512.050000000017</v>
      </c>
      <c r="M162" s="136">
        <f t="shared" si="71"/>
        <v>42384.037499999984</v>
      </c>
      <c r="N162" s="136">
        <f t="shared" si="72"/>
        <v>18732</v>
      </c>
      <c r="O162" s="26">
        <f t="shared" si="66"/>
        <v>61116.037499999984</v>
      </c>
      <c r="P162" s="136">
        <f t="shared" si="73"/>
        <v>28256.025000000009</v>
      </c>
      <c r="Q162" s="136">
        <f t="shared" si="74"/>
        <v>19757</v>
      </c>
      <c r="R162" s="26">
        <f t="shared" si="67"/>
        <v>48013.025000000009</v>
      </c>
      <c r="S162" s="136">
        <f t="shared" si="75"/>
        <v>14128.012500000004</v>
      </c>
      <c r="T162" s="136">
        <f t="shared" si="76"/>
        <v>20782</v>
      </c>
      <c r="U162" s="26">
        <f t="shared" si="68"/>
        <v>34910.012500000004</v>
      </c>
      <c r="V162" s="136">
        <f t="shared" si="77"/>
        <v>0</v>
      </c>
      <c r="W162" s="136">
        <f t="shared" si="78"/>
        <v>21807</v>
      </c>
      <c r="X162" s="26">
        <f t="shared" si="69"/>
        <v>21807</v>
      </c>
      <c r="Y162" s="24">
        <v>20</v>
      </c>
    </row>
    <row r="163" spans="1:25" ht="14.4" thickBot="1" x14ac:dyDescent="0.3">
      <c r="A163" s="8" t="s">
        <v>50</v>
      </c>
      <c r="B163" s="61">
        <v>1992.0375000000001</v>
      </c>
      <c r="F163" s="8">
        <v>1</v>
      </c>
      <c r="G163" s="8" t="s">
        <v>152</v>
      </c>
      <c r="H163" s="15">
        <f t="shared" si="79"/>
        <v>704</v>
      </c>
      <c r="I163" s="24">
        <v>21</v>
      </c>
      <c r="J163" s="136">
        <f t="shared" si="70"/>
        <v>59203.10000000002</v>
      </c>
      <c r="K163" s="25">
        <v>0</v>
      </c>
      <c r="L163" s="26">
        <f t="shared" si="65"/>
        <v>59203.10000000002</v>
      </c>
      <c r="M163" s="136">
        <f t="shared" si="71"/>
        <v>44402.324999999983</v>
      </c>
      <c r="N163" s="136">
        <f t="shared" si="72"/>
        <v>19282.25</v>
      </c>
      <c r="O163" s="26">
        <f t="shared" si="66"/>
        <v>63684.574999999983</v>
      </c>
      <c r="P163" s="136">
        <f t="shared" si="73"/>
        <v>29601.55000000001</v>
      </c>
      <c r="Q163" s="136">
        <f t="shared" si="74"/>
        <v>20358.5</v>
      </c>
      <c r="R163" s="26">
        <f t="shared" si="67"/>
        <v>49960.05000000001</v>
      </c>
      <c r="S163" s="136">
        <f t="shared" si="75"/>
        <v>14800.775000000005</v>
      </c>
      <c r="T163" s="136">
        <f t="shared" si="76"/>
        <v>21434.75</v>
      </c>
      <c r="U163" s="26">
        <f t="shared" si="68"/>
        <v>36235.525000000009</v>
      </c>
      <c r="V163" s="136">
        <f t="shared" si="77"/>
        <v>0</v>
      </c>
      <c r="W163" s="136">
        <f t="shared" si="78"/>
        <v>22511</v>
      </c>
      <c r="X163" s="26">
        <f t="shared" si="69"/>
        <v>22511</v>
      </c>
      <c r="Y163" s="24">
        <v>21</v>
      </c>
    </row>
    <row r="164" spans="1:25" ht="14.4" thickBot="1" x14ac:dyDescent="0.3">
      <c r="A164" s="8" t="s">
        <v>51</v>
      </c>
      <c r="B164" s="61">
        <v>1328.0250000000001</v>
      </c>
      <c r="I164" s="24">
        <v>22</v>
      </c>
      <c r="J164" s="136">
        <f t="shared" si="70"/>
        <v>61894.150000000023</v>
      </c>
      <c r="K164" s="25">
        <v>0</v>
      </c>
      <c r="L164" s="26">
        <f t="shared" si="65"/>
        <v>61894.150000000023</v>
      </c>
      <c r="M164" s="136">
        <f t="shared" si="71"/>
        <v>46420.612499999981</v>
      </c>
      <c r="N164" s="136">
        <f t="shared" si="72"/>
        <v>19832.5</v>
      </c>
      <c r="O164" s="26">
        <f t="shared" si="66"/>
        <v>66253.112499999988</v>
      </c>
      <c r="P164" s="136">
        <f t="shared" si="73"/>
        <v>30947.075000000012</v>
      </c>
      <c r="Q164" s="136">
        <f t="shared" si="74"/>
        <v>20960</v>
      </c>
      <c r="R164" s="26">
        <f t="shared" si="67"/>
        <v>51907.075000000012</v>
      </c>
      <c r="S164" s="136">
        <f t="shared" si="75"/>
        <v>15473.537500000006</v>
      </c>
      <c r="T164" s="136">
        <f t="shared" si="76"/>
        <v>22087.5</v>
      </c>
      <c r="U164" s="26">
        <f t="shared" si="68"/>
        <v>37561.037500000006</v>
      </c>
      <c r="V164" s="136">
        <f t="shared" si="77"/>
        <v>0</v>
      </c>
      <c r="W164" s="136">
        <f t="shared" si="78"/>
        <v>23215</v>
      </c>
      <c r="X164" s="26">
        <f t="shared" si="69"/>
        <v>23215</v>
      </c>
      <c r="Y164" s="24">
        <v>22</v>
      </c>
    </row>
    <row r="165" spans="1:25" ht="14.4" thickBot="1" x14ac:dyDescent="0.3">
      <c r="A165" s="8" t="s">
        <v>122</v>
      </c>
      <c r="B165" s="61">
        <v>664.01250000000005</v>
      </c>
      <c r="I165" s="24">
        <v>23</v>
      </c>
      <c r="J165" s="136">
        <f t="shared" si="70"/>
        <v>64585.200000000026</v>
      </c>
      <c r="K165" s="25">
        <v>0</v>
      </c>
      <c r="L165" s="26">
        <f t="shared" si="65"/>
        <v>64585.200000000026</v>
      </c>
      <c r="M165" s="136">
        <f t="shared" si="71"/>
        <v>48438.89999999998</v>
      </c>
      <c r="N165" s="136">
        <f t="shared" si="72"/>
        <v>20382.75</v>
      </c>
      <c r="O165" s="26">
        <f t="shared" si="66"/>
        <v>68821.64999999998</v>
      </c>
      <c r="P165" s="136">
        <f t="shared" si="73"/>
        <v>32292.600000000013</v>
      </c>
      <c r="Q165" s="136">
        <f t="shared" si="74"/>
        <v>21561.5</v>
      </c>
      <c r="R165" s="26">
        <f t="shared" si="67"/>
        <v>53854.100000000013</v>
      </c>
      <c r="S165" s="136">
        <f t="shared" si="75"/>
        <v>16146.300000000007</v>
      </c>
      <c r="T165" s="136">
        <f t="shared" si="76"/>
        <v>22740.25</v>
      </c>
      <c r="U165" s="26">
        <f t="shared" si="68"/>
        <v>38886.550000000003</v>
      </c>
      <c r="V165" s="136">
        <f t="shared" si="77"/>
        <v>0</v>
      </c>
      <c r="W165" s="136">
        <f t="shared" si="78"/>
        <v>23919</v>
      </c>
      <c r="X165" s="26">
        <f t="shared" si="69"/>
        <v>23919</v>
      </c>
      <c r="Y165" s="24">
        <v>23</v>
      </c>
    </row>
    <row r="166" spans="1:25" ht="14.4" thickBot="1" x14ac:dyDescent="0.3">
      <c r="I166" s="24">
        <v>24</v>
      </c>
      <c r="J166" s="136">
        <f t="shared" si="70"/>
        <v>67276.250000000029</v>
      </c>
      <c r="K166" s="25">
        <v>0</v>
      </c>
      <c r="L166" s="26">
        <f t="shared" si="65"/>
        <v>67276.250000000029</v>
      </c>
      <c r="M166" s="136">
        <f t="shared" si="71"/>
        <v>50457.187499999978</v>
      </c>
      <c r="N166" s="136">
        <f t="shared" si="72"/>
        <v>20933</v>
      </c>
      <c r="O166" s="26">
        <f t="shared" si="66"/>
        <v>71390.187499999971</v>
      </c>
      <c r="P166" s="136">
        <f t="shared" si="73"/>
        <v>33638.125000000015</v>
      </c>
      <c r="Q166" s="136">
        <f t="shared" si="74"/>
        <v>22163</v>
      </c>
      <c r="R166" s="26">
        <f t="shared" si="67"/>
        <v>55801.125000000015</v>
      </c>
      <c r="S166" s="136">
        <f t="shared" si="75"/>
        <v>16819.062500000007</v>
      </c>
      <c r="T166" s="136">
        <f t="shared" si="76"/>
        <v>23393</v>
      </c>
      <c r="U166" s="26">
        <f t="shared" si="68"/>
        <v>40212.062500000007</v>
      </c>
      <c r="V166" s="136">
        <f t="shared" si="77"/>
        <v>0</v>
      </c>
      <c r="W166" s="136">
        <f t="shared" si="78"/>
        <v>24623</v>
      </c>
      <c r="X166" s="26">
        <f t="shared" si="69"/>
        <v>24623</v>
      </c>
      <c r="Y166" s="24">
        <v>24</v>
      </c>
    </row>
    <row r="167" spans="1:25" ht="14.4" thickBot="1" x14ac:dyDescent="0.3">
      <c r="I167" s="24">
        <v>25</v>
      </c>
      <c r="J167" s="136">
        <f t="shared" si="70"/>
        <v>69967.300000000032</v>
      </c>
      <c r="K167" s="25">
        <v>0</v>
      </c>
      <c r="L167" s="26">
        <f t="shared" si="65"/>
        <v>69967.300000000032</v>
      </c>
      <c r="M167" s="136">
        <f t="shared" si="71"/>
        <v>52475.474999999977</v>
      </c>
      <c r="N167" s="136">
        <f t="shared" si="72"/>
        <v>21483.25</v>
      </c>
      <c r="O167" s="26">
        <f t="shared" si="66"/>
        <v>73958.724999999977</v>
      </c>
      <c r="P167" s="136">
        <f t="shared" si="73"/>
        <v>34983.650000000016</v>
      </c>
      <c r="Q167" s="136">
        <f t="shared" si="74"/>
        <v>22764.5</v>
      </c>
      <c r="R167" s="26">
        <f t="shared" si="67"/>
        <v>57748.150000000016</v>
      </c>
      <c r="S167" s="136">
        <f t="shared" si="75"/>
        <v>17491.825000000008</v>
      </c>
      <c r="T167" s="136">
        <f t="shared" si="76"/>
        <v>24045.75</v>
      </c>
      <c r="U167" s="26">
        <f t="shared" si="68"/>
        <v>41537.575000000012</v>
      </c>
      <c r="V167" s="136">
        <f t="shared" si="77"/>
        <v>0</v>
      </c>
      <c r="W167" s="136">
        <f t="shared" si="78"/>
        <v>25327</v>
      </c>
      <c r="X167" s="26">
        <f t="shared" si="69"/>
        <v>25327</v>
      </c>
      <c r="Y167" s="24">
        <v>25</v>
      </c>
    </row>
    <row r="168" spans="1:25" ht="14.4" thickBot="1" x14ac:dyDescent="0.3">
      <c r="I168" s="24">
        <v>26</v>
      </c>
      <c r="J168" s="136">
        <f t="shared" si="70"/>
        <v>72658.350000000035</v>
      </c>
      <c r="K168" s="25">
        <v>0</v>
      </c>
      <c r="L168" s="26">
        <f t="shared" si="65"/>
        <v>72658.350000000035</v>
      </c>
      <c r="M168" s="136">
        <f t="shared" si="71"/>
        <v>54493.762499999975</v>
      </c>
      <c r="N168" s="136">
        <f t="shared" si="72"/>
        <v>22033.5</v>
      </c>
      <c r="O168" s="26">
        <f t="shared" si="66"/>
        <v>76527.262499999983</v>
      </c>
      <c r="P168" s="136">
        <f t="shared" si="73"/>
        <v>36329.175000000017</v>
      </c>
      <c r="Q168" s="136">
        <f t="shared" si="74"/>
        <v>23366</v>
      </c>
      <c r="R168" s="26">
        <f t="shared" si="67"/>
        <v>59695.175000000017</v>
      </c>
      <c r="S168" s="136">
        <f t="shared" si="75"/>
        <v>18164.587500000009</v>
      </c>
      <c r="T168" s="136">
        <f t="shared" si="76"/>
        <v>24698.5</v>
      </c>
      <c r="U168" s="26">
        <f t="shared" si="68"/>
        <v>42863.087500000009</v>
      </c>
      <c r="V168" s="136">
        <f t="shared" si="77"/>
        <v>0</v>
      </c>
      <c r="W168" s="136">
        <f t="shared" si="78"/>
        <v>26031</v>
      </c>
      <c r="X168" s="26">
        <f t="shared" si="69"/>
        <v>26031</v>
      </c>
      <c r="Y168" s="24">
        <v>26</v>
      </c>
    </row>
    <row r="169" spans="1:25" ht="14.4" thickBot="1" x14ac:dyDescent="0.3">
      <c r="I169" s="24">
        <v>27</v>
      </c>
      <c r="J169" s="136">
        <f t="shared" si="70"/>
        <v>75349.400000000038</v>
      </c>
      <c r="K169" s="25">
        <v>0</v>
      </c>
      <c r="L169" s="26">
        <f t="shared" si="65"/>
        <v>75349.400000000038</v>
      </c>
      <c r="M169" s="136">
        <f t="shared" si="71"/>
        <v>56512.049999999974</v>
      </c>
      <c r="N169" s="136">
        <f t="shared" si="72"/>
        <v>22583.75</v>
      </c>
      <c r="O169" s="26">
        <f t="shared" si="66"/>
        <v>79095.799999999974</v>
      </c>
      <c r="P169" s="136">
        <f t="shared" si="73"/>
        <v>37674.700000000019</v>
      </c>
      <c r="Q169" s="136">
        <f t="shared" si="74"/>
        <v>23967.5</v>
      </c>
      <c r="R169" s="26">
        <f t="shared" si="67"/>
        <v>61642.200000000019</v>
      </c>
      <c r="S169" s="136">
        <f t="shared" si="75"/>
        <v>18837.350000000009</v>
      </c>
      <c r="T169" s="136">
        <f t="shared" si="76"/>
        <v>25351.25</v>
      </c>
      <c r="U169" s="26">
        <f t="shared" si="68"/>
        <v>44188.600000000006</v>
      </c>
      <c r="V169" s="136">
        <f t="shared" si="77"/>
        <v>0</v>
      </c>
      <c r="W169" s="136">
        <f t="shared" si="78"/>
        <v>26735</v>
      </c>
      <c r="X169" s="26">
        <f t="shared" si="69"/>
        <v>26735</v>
      </c>
      <c r="Y169" s="24">
        <v>27</v>
      </c>
    </row>
    <row r="170" spans="1:25" ht="14.4" thickBot="1" x14ac:dyDescent="0.3">
      <c r="I170" s="24">
        <v>28</v>
      </c>
      <c r="J170" s="136">
        <f t="shared" si="70"/>
        <v>78040.450000000041</v>
      </c>
      <c r="K170" s="25">
        <v>0</v>
      </c>
      <c r="L170" s="26">
        <f t="shared" si="65"/>
        <v>78040.450000000041</v>
      </c>
      <c r="M170" s="136">
        <f t="shared" si="71"/>
        <v>58530.337499999972</v>
      </c>
      <c r="N170" s="136">
        <f t="shared" si="72"/>
        <v>23134</v>
      </c>
      <c r="O170" s="26">
        <f t="shared" si="66"/>
        <v>81664.337499999965</v>
      </c>
      <c r="P170" s="136">
        <f t="shared" si="73"/>
        <v>39020.22500000002</v>
      </c>
      <c r="Q170" s="136">
        <f t="shared" si="74"/>
        <v>24569</v>
      </c>
      <c r="R170" s="26">
        <f t="shared" si="67"/>
        <v>63589.22500000002</v>
      </c>
      <c r="S170" s="136">
        <f t="shared" si="75"/>
        <v>19510.11250000001</v>
      </c>
      <c r="T170" s="136">
        <f t="shared" si="76"/>
        <v>26004</v>
      </c>
      <c r="U170" s="26">
        <f t="shared" si="68"/>
        <v>45514.11250000001</v>
      </c>
      <c r="V170" s="136">
        <f t="shared" si="77"/>
        <v>0</v>
      </c>
      <c r="W170" s="136">
        <f t="shared" si="78"/>
        <v>27439</v>
      </c>
      <c r="X170" s="26">
        <f t="shared" si="69"/>
        <v>27439</v>
      </c>
      <c r="Y170" s="24">
        <v>28</v>
      </c>
    </row>
    <row r="171" spans="1:25" ht="14.4" thickBot="1" x14ac:dyDescent="0.3">
      <c r="I171" s="24">
        <v>29</v>
      </c>
      <c r="J171" s="136">
        <f t="shared" si="70"/>
        <v>80731.500000000044</v>
      </c>
      <c r="K171" s="25">
        <v>0</v>
      </c>
      <c r="L171" s="26">
        <f t="shared" si="65"/>
        <v>80731.500000000044</v>
      </c>
      <c r="M171" s="136">
        <f t="shared" si="71"/>
        <v>60548.624999999971</v>
      </c>
      <c r="N171" s="136">
        <f t="shared" si="72"/>
        <v>23684.25</v>
      </c>
      <c r="O171" s="26">
        <f t="shared" si="66"/>
        <v>84232.874999999971</v>
      </c>
      <c r="P171" s="136">
        <f t="shared" si="73"/>
        <v>40365.750000000022</v>
      </c>
      <c r="Q171" s="136">
        <f t="shared" si="74"/>
        <v>25170.5</v>
      </c>
      <c r="R171" s="26">
        <f t="shared" si="67"/>
        <v>65536.250000000029</v>
      </c>
      <c r="S171" s="136">
        <f t="shared" si="75"/>
        <v>20182.875000000011</v>
      </c>
      <c r="T171" s="136">
        <f t="shared" si="76"/>
        <v>26656.75</v>
      </c>
      <c r="U171" s="26">
        <f t="shared" si="68"/>
        <v>46839.625000000015</v>
      </c>
      <c r="V171" s="136">
        <f t="shared" si="77"/>
        <v>0</v>
      </c>
      <c r="W171" s="136">
        <f t="shared" si="78"/>
        <v>28143</v>
      </c>
      <c r="X171" s="26">
        <f t="shared" si="69"/>
        <v>28143</v>
      </c>
      <c r="Y171" s="24">
        <v>29</v>
      </c>
    </row>
    <row r="172" spans="1:25" ht="14.4" thickBot="1" x14ac:dyDescent="0.3">
      <c r="I172" s="24">
        <v>30</v>
      </c>
      <c r="J172" s="136">
        <f t="shared" si="70"/>
        <v>83422.550000000047</v>
      </c>
      <c r="K172" s="25">
        <v>0</v>
      </c>
      <c r="L172" s="26">
        <f t="shared" si="65"/>
        <v>83422.550000000047</v>
      </c>
      <c r="M172" s="136">
        <f t="shared" si="71"/>
        <v>62566.912499999969</v>
      </c>
      <c r="N172" s="136">
        <f t="shared" si="72"/>
        <v>24234.5</v>
      </c>
      <c r="O172" s="26">
        <f t="shared" si="66"/>
        <v>86801.412499999977</v>
      </c>
      <c r="P172" s="136">
        <f t="shared" si="73"/>
        <v>41711.275000000023</v>
      </c>
      <c r="Q172" s="136">
        <f t="shared" si="74"/>
        <v>25772</v>
      </c>
      <c r="R172" s="26">
        <f t="shared" si="67"/>
        <v>67483.275000000023</v>
      </c>
      <c r="S172" s="136">
        <f t="shared" si="75"/>
        <v>20855.637500000012</v>
      </c>
      <c r="T172" s="136">
        <f t="shared" si="76"/>
        <v>27309.5</v>
      </c>
      <c r="U172" s="26">
        <f t="shared" si="68"/>
        <v>48165.137500000012</v>
      </c>
      <c r="V172" s="136">
        <f t="shared" si="77"/>
        <v>0</v>
      </c>
      <c r="W172" s="136">
        <f t="shared" si="78"/>
        <v>28847</v>
      </c>
      <c r="X172" s="26">
        <f t="shared" si="69"/>
        <v>28847</v>
      </c>
      <c r="Y172" s="24">
        <v>30</v>
      </c>
    </row>
    <row r="173" spans="1:25" ht="14.4" thickBot="1" x14ac:dyDescent="0.3">
      <c r="I173" s="24">
        <v>31</v>
      </c>
      <c r="J173" s="136">
        <f t="shared" si="70"/>
        <v>86113.600000000049</v>
      </c>
      <c r="K173" s="25">
        <v>0</v>
      </c>
      <c r="L173" s="26">
        <f t="shared" si="65"/>
        <v>86113.600000000049</v>
      </c>
      <c r="M173" s="136">
        <f t="shared" si="71"/>
        <v>64585.199999999968</v>
      </c>
      <c r="N173" s="136">
        <f t="shared" si="72"/>
        <v>24784.75</v>
      </c>
      <c r="O173" s="26">
        <f t="shared" si="66"/>
        <v>89369.949999999968</v>
      </c>
      <c r="P173" s="136">
        <f t="shared" si="73"/>
        <v>43056.800000000025</v>
      </c>
      <c r="Q173" s="136">
        <f t="shared" si="74"/>
        <v>26373.5</v>
      </c>
      <c r="R173" s="26">
        <f t="shared" si="67"/>
        <v>69430.300000000017</v>
      </c>
      <c r="S173" s="136">
        <f t="shared" si="75"/>
        <v>21528.400000000012</v>
      </c>
      <c r="T173" s="136">
        <f t="shared" si="76"/>
        <v>27962.25</v>
      </c>
      <c r="U173" s="26">
        <f t="shared" si="68"/>
        <v>49490.650000000009</v>
      </c>
      <c r="V173" s="136">
        <f t="shared" si="77"/>
        <v>0</v>
      </c>
      <c r="W173" s="136">
        <f t="shared" si="78"/>
        <v>29551</v>
      </c>
      <c r="X173" s="26">
        <f t="shared" si="69"/>
        <v>29551</v>
      </c>
      <c r="Y173" s="24">
        <v>31</v>
      </c>
    </row>
    <row r="174" spans="1:25" ht="14.4" thickBot="1" x14ac:dyDescent="0.3">
      <c r="I174" s="24">
        <v>32</v>
      </c>
      <c r="J174" s="136">
        <f t="shared" si="70"/>
        <v>88804.650000000052</v>
      </c>
      <c r="K174" s="25">
        <v>0</v>
      </c>
      <c r="L174" s="26">
        <f t="shared" si="65"/>
        <v>88804.650000000052</v>
      </c>
      <c r="M174" s="136">
        <f t="shared" si="71"/>
        <v>66603.487499999974</v>
      </c>
      <c r="N174" s="136">
        <f t="shared" si="72"/>
        <v>25335</v>
      </c>
      <c r="O174" s="26">
        <f t="shared" si="66"/>
        <v>91938.487499999974</v>
      </c>
      <c r="P174" s="136">
        <f t="shared" si="73"/>
        <v>44402.325000000026</v>
      </c>
      <c r="Q174" s="136">
        <f t="shared" si="74"/>
        <v>26975</v>
      </c>
      <c r="R174" s="26">
        <f t="shared" si="67"/>
        <v>71377.325000000026</v>
      </c>
      <c r="S174" s="136">
        <f t="shared" si="75"/>
        <v>22201.162500000013</v>
      </c>
      <c r="T174" s="136">
        <f t="shared" si="76"/>
        <v>28615</v>
      </c>
      <c r="U174" s="26">
        <f t="shared" si="68"/>
        <v>50816.162500000013</v>
      </c>
      <c r="V174" s="136">
        <f t="shared" si="77"/>
        <v>0</v>
      </c>
      <c r="W174" s="136">
        <f t="shared" si="78"/>
        <v>30255</v>
      </c>
      <c r="X174" s="26">
        <f t="shared" si="69"/>
        <v>30255</v>
      </c>
      <c r="Y174" s="24">
        <v>32</v>
      </c>
    </row>
    <row r="175" spans="1:25" ht="14.4" thickBot="1" x14ac:dyDescent="0.3">
      <c r="I175" s="24">
        <v>33</v>
      </c>
      <c r="J175" s="136">
        <f t="shared" si="70"/>
        <v>91495.700000000055</v>
      </c>
      <c r="K175" s="25">
        <v>0</v>
      </c>
      <c r="L175" s="26">
        <f t="shared" si="65"/>
        <v>91495.700000000055</v>
      </c>
      <c r="M175" s="136">
        <f t="shared" si="71"/>
        <v>68621.77499999998</v>
      </c>
      <c r="N175" s="136">
        <f t="shared" si="72"/>
        <v>25885.25</v>
      </c>
      <c r="O175" s="26">
        <f t="shared" si="66"/>
        <v>94507.02499999998</v>
      </c>
      <c r="P175" s="136">
        <f t="shared" si="73"/>
        <v>45747.850000000028</v>
      </c>
      <c r="Q175" s="136">
        <f t="shared" si="74"/>
        <v>27576.5</v>
      </c>
      <c r="R175" s="26">
        <f t="shared" si="67"/>
        <v>73324.350000000035</v>
      </c>
      <c r="S175" s="136">
        <f t="shared" si="75"/>
        <v>22873.925000000014</v>
      </c>
      <c r="T175" s="136">
        <f t="shared" si="76"/>
        <v>29267.75</v>
      </c>
      <c r="U175" s="26">
        <f t="shared" si="68"/>
        <v>52141.675000000017</v>
      </c>
      <c r="V175" s="136">
        <f t="shared" si="77"/>
        <v>0</v>
      </c>
      <c r="W175" s="136">
        <f t="shared" si="78"/>
        <v>30959</v>
      </c>
      <c r="X175" s="26">
        <f t="shared" si="69"/>
        <v>30959</v>
      </c>
      <c r="Y175" s="24">
        <v>33</v>
      </c>
    </row>
    <row r="176" spans="1:25" ht="14.4" thickBot="1" x14ac:dyDescent="0.3">
      <c r="I176" s="24">
        <v>34</v>
      </c>
      <c r="J176" s="136">
        <f t="shared" si="70"/>
        <v>94186.750000000058</v>
      </c>
      <c r="K176" s="25">
        <v>0</v>
      </c>
      <c r="L176" s="26">
        <f t="shared" si="65"/>
        <v>94186.750000000058</v>
      </c>
      <c r="M176" s="136">
        <f t="shared" si="71"/>
        <v>70640.062499999985</v>
      </c>
      <c r="N176" s="136">
        <f t="shared" si="72"/>
        <v>26435.5</v>
      </c>
      <c r="O176" s="26">
        <f t="shared" si="66"/>
        <v>97075.562499999985</v>
      </c>
      <c r="P176" s="136">
        <f t="shared" si="73"/>
        <v>47093.375000000029</v>
      </c>
      <c r="Q176" s="136">
        <f t="shared" si="74"/>
        <v>28178</v>
      </c>
      <c r="R176" s="26">
        <f t="shared" si="67"/>
        <v>75271.375000000029</v>
      </c>
      <c r="S176" s="136">
        <f t="shared" si="75"/>
        <v>23546.687500000015</v>
      </c>
      <c r="T176" s="136">
        <f t="shared" si="76"/>
        <v>29920.5</v>
      </c>
      <c r="U176" s="26">
        <f t="shared" si="68"/>
        <v>53467.187500000015</v>
      </c>
      <c r="V176" s="136">
        <f t="shared" si="77"/>
        <v>0</v>
      </c>
      <c r="W176" s="136">
        <f t="shared" si="78"/>
        <v>31663</v>
      </c>
      <c r="X176" s="26">
        <f t="shared" si="69"/>
        <v>31663</v>
      </c>
      <c r="Y176" s="24">
        <v>34</v>
      </c>
    </row>
    <row r="177" spans="9:25" ht="14.4" thickBot="1" x14ac:dyDescent="0.3">
      <c r="I177" s="24">
        <v>35</v>
      </c>
      <c r="J177" s="136">
        <f t="shared" si="70"/>
        <v>96877.800000000061</v>
      </c>
      <c r="K177" s="25">
        <v>0</v>
      </c>
      <c r="L177" s="26">
        <f t="shared" si="65"/>
        <v>96877.800000000061</v>
      </c>
      <c r="M177" s="136">
        <f t="shared" si="71"/>
        <v>72658.349999999991</v>
      </c>
      <c r="N177" s="136">
        <f t="shared" si="72"/>
        <v>26985.75</v>
      </c>
      <c r="O177" s="26">
        <f t="shared" si="66"/>
        <v>99644.099999999991</v>
      </c>
      <c r="P177" s="136">
        <f t="shared" si="73"/>
        <v>48438.900000000031</v>
      </c>
      <c r="Q177" s="136">
        <f t="shared" si="74"/>
        <v>28779.5</v>
      </c>
      <c r="R177" s="26">
        <f t="shared" si="67"/>
        <v>77218.400000000023</v>
      </c>
      <c r="S177" s="136">
        <f t="shared" si="75"/>
        <v>24219.450000000015</v>
      </c>
      <c r="T177" s="136">
        <f t="shared" si="76"/>
        <v>30573.25</v>
      </c>
      <c r="U177" s="26">
        <f t="shared" si="68"/>
        <v>54792.700000000012</v>
      </c>
      <c r="V177" s="136">
        <f t="shared" si="77"/>
        <v>0</v>
      </c>
      <c r="W177" s="136">
        <f t="shared" si="78"/>
        <v>32367</v>
      </c>
      <c r="X177" s="26">
        <f t="shared" si="69"/>
        <v>32367</v>
      </c>
      <c r="Y177" s="24">
        <v>35</v>
      </c>
    </row>
    <row r="178" spans="9:25" ht="14.4" thickBot="1" x14ac:dyDescent="0.3">
      <c r="I178" s="42">
        <v>36</v>
      </c>
      <c r="J178" s="136">
        <f t="shared" si="70"/>
        <v>99568.850000000064</v>
      </c>
      <c r="K178" s="39">
        <v>0</v>
      </c>
      <c r="L178" s="26">
        <f t="shared" si="65"/>
        <v>99568.850000000064</v>
      </c>
      <c r="M178" s="136">
        <f t="shared" si="71"/>
        <v>74676.637499999997</v>
      </c>
      <c r="N178" s="136">
        <f t="shared" si="72"/>
        <v>27536</v>
      </c>
      <c r="O178" s="26">
        <f t="shared" si="66"/>
        <v>102212.6375</v>
      </c>
      <c r="P178" s="136">
        <f t="shared" si="73"/>
        <v>49784.425000000032</v>
      </c>
      <c r="Q178" s="136">
        <f t="shared" si="74"/>
        <v>29381</v>
      </c>
      <c r="R178" s="26">
        <f t="shared" si="67"/>
        <v>79165.425000000032</v>
      </c>
      <c r="S178" s="136">
        <f t="shared" si="75"/>
        <v>24892.212500000016</v>
      </c>
      <c r="T178" s="136">
        <f t="shared" si="76"/>
        <v>31226</v>
      </c>
      <c r="U178" s="26">
        <f t="shared" si="68"/>
        <v>56118.212500000016</v>
      </c>
      <c r="V178" s="136">
        <f t="shared" si="77"/>
        <v>0</v>
      </c>
      <c r="W178" s="136">
        <f t="shared" si="78"/>
        <v>33071</v>
      </c>
      <c r="X178" s="26">
        <f t="shared" si="69"/>
        <v>33071</v>
      </c>
      <c r="Y178" s="42">
        <v>36</v>
      </c>
    </row>
    <row r="179" spans="9:25" ht="14.4" thickBot="1" x14ac:dyDescent="0.3">
      <c r="I179" s="24">
        <v>37</v>
      </c>
      <c r="J179" s="136">
        <f t="shared" si="70"/>
        <v>102259.90000000007</v>
      </c>
      <c r="K179" s="25">
        <v>0</v>
      </c>
      <c r="L179" s="26">
        <f t="shared" si="65"/>
        <v>102259.90000000007</v>
      </c>
      <c r="M179" s="136">
        <f t="shared" si="71"/>
        <v>76694.925000000003</v>
      </c>
      <c r="N179" s="136">
        <f t="shared" si="72"/>
        <v>28086.25</v>
      </c>
      <c r="O179" s="26">
        <f t="shared" si="66"/>
        <v>104781.175</v>
      </c>
      <c r="P179" s="136">
        <f t="shared" si="73"/>
        <v>51129.950000000033</v>
      </c>
      <c r="Q179" s="136">
        <f t="shared" si="74"/>
        <v>29982.5</v>
      </c>
      <c r="R179" s="26">
        <f t="shared" si="67"/>
        <v>81112.450000000041</v>
      </c>
      <c r="S179" s="136">
        <f t="shared" si="75"/>
        <v>25564.975000000017</v>
      </c>
      <c r="T179" s="136">
        <f t="shared" si="76"/>
        <v>31878.75</v>
      </c>
      <c r="U179" s="26">
        <f t="shared" si="68"/>
        <v>57443.72500000002</v>
      </c>
      <c r="V179" s="136">
        <f t="shared" si="77"/>
        <v>0</v>
      </c>
      <c r="W179" s="136">
        <f t="shared" si="78"/>
        <v>33775</v>
      </c>
      <c r="X179" s="26">
        <f t="shared" si="69"/>
        <v>33775</v>
      </c>
      <c r="Y179" s="24">
        <v>37</v>
      </c>
    </row>
    <row r="180" spans="9:25" ht="14.4" thickBot="1" x14ac:dyDescent="0.3">
      <c r="I180" s="24">
        <v>38</v>
      </c>
      <c r="J180" s="136">
        <f t="shared" si="70"/>
        <v>104950.95000000007</v>
      </c>
      <c r="K180" s="25">
        <v>0</v>
      </c>
      <c r="L180" s="26">
        <f t="shared" si="65"/>
        <v>104950.95000000007</v>
      </c>
      <c r="M180" s="136">
        <f t="shared" si="71"/>
        <v>78713.212500000009</v>
      </c>
      <c r="N180" s="136">
        <f t="shared" si="72"/>
        <v>28636.5</v>
      </c>
      <c r="O180" s="26">
        <f t="shared" si="66"/>
        <v>107349.71250000001</v>
      </c>
      <c r="P180" s="136">
        <f t="shared" si="73"/>
        <v>52475.475000000035</v>
      </c>
      <c r="Q180" s="136">
        <f t="shared" si="74"/>
        <v>30584</v>
      </c>
      <c r="R180" s="26">
        <f t="shared" si="67"/>
        <v>83059.475000000035</v>
      </c>
      <c r="S180" s="136">
        <f t="shared" si="75"/>
        <v>26237.737500000017</v>
      </c>
      <c r="T180" s="136">
        <f t="shared" si="76"/>
        <v>32531.5</v>
      </c>
      <c r="U180" s="26">
        <f t="shared" si="68"/>
        <v>58769.237500000017</v>
      </c>
      <c r="V180" s="136">
        <f t="shared" si="77"/>
        <v>0</v>
      </c>
      <c r="W180" s="136">
        <f t="shared" si="78"/>
        <v>34479</v>
      </c>
      <c r="X180" s="26">
        <f t="shared" si="69"/>
        <v>34479</v>
      </c>
      <c r="Y180" s="24">
        <v>38</v>
      </c>
    </row>
    <row r="181" spans="9:25" ht="14.4" thickBot="1" x14ac:dyDescent="0.3">
      <c r="I181" s="24">
        <v>39</v>
      </c>
      <c r="J181" s="136">
        <f t="shared" si="70"/>
        <v>107642.00000000007</v>
      </c>
      <c r="K181" s="25">
        <v>0</v>
      </c>
      <c r="L181" s="26">
        <f t="shared" si="65"/>
        <v>107642.00000000007</v>
      </c>
      <c r="M181" s="136">
        <f t="shared" si="71"/>
        <v>80731.500000000015</v>
      </c>
      <c r="N181" s="136">
        <f t="shared" si="72"/>
        <v>29186.75</v>
      </c>
      <c r="O181" s="26">
        <f t="shared" si="66"/>
        <v>109918.25000000001</v>
      </c>
      <c r="P181" s="136">
        <f t="shared" si="73"/>
        <v>53821.000000000036</v>
      </c>
      <c r="Q181" s="136">
        <f t="shared" si="74"/>
        <v>31185.5</v>
      </c>
      <c r="R181" s="26">
        <f t="shared" si="67"/>
        <v>85006.500000000029</v>
      </c>
      <c r="S181" s="136">
        <f t="shared" si="75"/>
        <v>26910.500000000018</v>
      </c>
      <c r="T181" s="136">
        <f t="shared" si="76"/>
        <v>33184.25</v>
      </c>
      <c r="U181" s="26">
        <f t="shared" si="68"/>
        <v>60094.750000000015</v>
      </c>
      <c r="V181" s="136">
        <f t="shared" si="77"/>
        <v>0</v>
      </c>
      <c r="W181" s="136">
        <f t="shared" si="78"/>
        <v>35183</v>
      </c>
      <c r="X181" s="26">
        <f t="shared" si="69"/>
        <v>35183</v>
      </c>
      <c r="Y181" s="24">
        <v>39</v>
      </c>
    </row>
    <row r="182" spans="9:25" ht="14.4" thickBot="1" x14ac:dyDescent="0.3">
      <c r="I182" s="24">
        <v>40</v>
      </c>
      <c r="J182" s="136">
        <f t="shared" si="70"/>
        <v>110333.05000000008</v>
      </c>
      <c r="K182" s="25">
        <v>0</v>
      </c>
      <c r="L182" s="26">
        <f t="shared" si="65"/>
        <v>110333.05000000008</v>
      </c>
      <c r="M182" s="136">
        <f t="shared" si="71"/>
        <v>82749.78750000002</v>
      </c>
      <c r="N182" s="136">
        <f t="shared" si="72"/>
        <v>29737</v>
      </c>
      <c r="O182" s="26">
        <f t="shared" si="66"/>
        <v>112486.78750000002</v>
      </c>
      <c r="P182" s="136">
        <f t="shared" si="73"/>
        <v>55166.525000000038</v>
      </c>
      <c r="Q182" s="136">
        <f t="shared" si="74"/>
        <v>31787</v>
      </c>
      <c r="R182" s="26">
        <f t="shared" si="67"/>
        <v>86953.525000000038</v>
      </c>
      <c r="S182" s="136">
        <f t="shared" si="75"/>
        <v>27583.262500000019</v>
      </c>
      <c r="T182" s="136">
        <f t="shared" si="76"/>
        <v>33837</v>
      </c>
      <c r="U182" s="26">
        <f t="shared" si="68"/>
        <v>61420.262500000019</v>
      </c>
      <c r="V182" s="136">
        <f t="shared" si="77"/>
        <v>0</v>
      </c>
      <c r="W182" s="136">
        <f t="shared" si="78"/>
        <v>35887</v>
      </c>
      <c r="X182" s="26">
        <f t="shared" si="69"/>
        <v>35887</v>
      </c>
      <c r="Y182" s="24">
        <v>40</v>
      </c>
    </row>
    <row r="183" spans="9:25" ht="14.4" thickBot="1" x14ac:dyDescent="0.3">
      <c r="I183" s="24">
        <v>41</v>
      </c>
      <c r="J183" s="136">
        <f t="shared" si="70"/>
        <v>113024.10000000008</v>
      </c>
      <c r="K183" s="25">
        <v>0</v>
      </c>
      <c r="L183" s="26">
        <f t="shared" si="65"/>
        <v>113024.10000000008</v>
      </c>
      <c r="M183" s="136">
        <f t="shared" si="71"/>
        <v>84768.075000000026</v>
      </c>
      <c r="N183" s="136">
        <f t="shared" si="72"/>
        <v>30287.25</v>
      </c>
      <c r="O183" s="26">
        <f t="shared" si="66"/>
        <v>115055.32500000003</v>
      </c>
      <c r="P183" s="136">
        <f t="shared" si="73"/>
        <v>56512.050000000039</v>
      </c>
      <c r="Q183" s="136">
        <f t="shared" si="74"/>
        <v>32388.5</v>
      </c>
      <c r="R183" s="26">
        <f t="shared" si="67"/>
        <v>88900.550000000047</v>
      </c>
      <c r="S183" s="136">
        <f t="shared" si="75"/>
        <v>28256.02500000002</v>
      </c>
      <c r="T183" s="136">
        <f t="shared" si="76"/>
        <v>34489.75</v>
      </c>
      <c r="U183" s="26">
        <f t="shared" si="68"/>
        <v>62745.775000000023</v>
      </c>
      <c r="V183" s="136">
        <f t="shared" si="77"/>
        <v>0</v>
      </c>
      <c r="W183" s="136">
        <f t="shared" si="78"/>
        <v>36591</v>
      </c>
      <c r="X183" s="26">
        <f t="shared" si="69"/>
        <v>36591</v>
      </c>
      <c r="Y183" s="24">
        <v>41</v>
      </c>
    </row>
    <row r="184" spans="9:25" ht="14.4" thickBot="1" x14ac:dyDescent="0.3">
      <c r="I184" s="24">
        <v>42</v>
      </c>
      <c r="J184" s="136">
        <f t="shared" si="70"/>
        <v>115715.15000000008</v>
      </c>
      <c r="K184" s="25">
        <v>0</v>
      </c>
      <c r="L184" s="26">
        <f t="shared" si="65"/>
        <v>115715.15000000008</v>
      </c>
      <c r="M184" s="136">
        <f t="shared" si="71"/>
        <v>86786.362500000032</v>
      </c>
      <c r="N184" s="136">
        <f t="shared" si="72"/>
        <v>30837.5</v>
      </c>
      <c r="O184" s="26">
        <f t="shared" si="66"/>
        <v>117623.86250000003</v>
      </c>
      <c r="P184" s="136">
        <f t="shared" si="73"/>
        <v>57857.575000000041</v>
      </c>
      <c r="Q184" s="136">
        <f t="shared" si="74"/>
        <v>32990</v>
      </c>
      <c r="R184" s="26">
        <f t="shared" si="67"/>
        <v>90847.575000000041</v>
      </c>
      <c r="S184" s="136">
        <f t="shared" si="75"/>
        <v>28928.78750000002</v>
      </c>
      <c r="T184" s="136">
        <f t="shared" si="76"/>
        <v>35142.5</v>
      </c>
      <c r="U184" s="26">
        <f t="shared" si="68"/>
        <v>64071.28750000002</v>
      </c>
      <c r="V184" s="136">
        <f t="shared" si="77"/>
        <v>0</v>
      </c>
      <c r="W184" s="136">
        <f t="shared" si="78"/>
        <v>37295</v>
      </c>
      <c r="X184" s="26">
        <f t="shared" si="69"/>
        <v>37295</v>
      </c>
      <c r="Y184" s="24">
        <v>42</v>
      </c>
    </row>
    <row r="185" spans="9:25" ht="14.4" thickBot="1" x14ac:dyDescent="0.3">
      <c r="I185" s="24">
        <v>43</v>
      </c>
      <c r="J185" s="136">
        <f t="shared" si="70"/>
        <v>118406.20000000008</v>
      </c>
      <c r="K185" s="25">
        <v>0</v>
      </c>
      <c r="L185" s="26">
        <f t="shared" si="65"/>
        <v>118406.20000000008</v>
      </c>
      <c r="M185" s="136">
        <f t="shared" si="71"/>
        <v>88804.650000000038</v>
      </c>
      <c r="N185" s="136">
        <f t="shared" si="72"/>
        <v>31387.75</v>
      </c>
      <c r="O185" s="26">
        <f t="shared" si="66"/>
        <v>120192.40000000004</v>
      </c>
      <c r="P185" s="136">
        <f t="shared" si="73"/>
        <v>59203.100000000042</v>
      </c>
      <c r="Q185" s="136">
        <f t="shared" si="74"/>
        <v>33591.5</v>
      </c>
      <c r="R185" s="26">
        <f t="shared" si="67"/>
        <v>92794.600000000035</v>
      </c>
      <c r="S185" s="136">
        <f t="shared" si="75"/>
        <v>29601.550000000021</v>
      </c>
      <c r="T185" s="136">
        <f t="shared" si="76"/>
        <v>35795.25</v>
      </c>
      <c r="U185" s="26">
        <f t="shared" si="68"/>
        <v>65396.800000000017</v>
      </c>
      <c r="V185" s="136">
        <f t="shared" si="77"/>
        <v>0</v>
      </c>
      <c r="W185" s="136">
        <f t="shared" si="78"/>
        <v>37999</v>
      </c>
      <c r="X185" s="26">
        <f t="shared" si="69"/>
        <v>37999</v>
      </c>
      <c r="Y185" s="24">
        <v>43</v>
      </c>
    </row>
    <row r="186" spans="9:25" ht="14.4" thickBot="1" x14ac:dyDescent="0.3">
      <c r="I186" s="24">
        <v>44</v>
      </c>
      <c r="J186" s="136">
        <f t="shared" si="70"/>
        <v>121097.25000000009</v>
      </c>
      <c r="K186" s="25">
        <v>0</v>
      </c>
      <c r="L186" s="26">
        <f t="shared" si="65"/>
        <v>121097.25000000009</v>
      </c>
      <c r="M186" s="136">
        <f t="shared" si="71"/>
        <v>90822.937500000044</v>
      </c>
      <c r="N186" s="136">
        <f t="shared" si="72"/>
        <v>31938</v>
      </c>
      <c r="O186" s="26">
        <f t="shared" si="66"/>
        <v>122760.93750000004</v>
      </c>
      <c r="P186" s="136">
        <f t="shared" si="73"/>
        <v>60548.625000000044</v>
      </c>
      <c r="Q186" s="136">
        <f t="shared" si="74"/>
        <v>34193</v>
      </c>
      <c r="R186" s="26">
        <f t="shared" si="67"/>
        <v>94741.625000000044</v>
      </c>
      <c r="S186" s="136">
        <f t="shared" si="75"/>
        <v>30274.312500000022</v>
      </c>
      <c r="T186" s="136">
        <f t="shared" si="76"/>
        <v>36448</v>
      </c>
      <c r="U186" s="26">
        <f t="shared" si="68"/>
        <v>66722.312500000029</v>
      </c>
      <c r="V186" s="136">
        <f t="shared" si="77"/>
        <v>0</v>
      </c>
      <c r="W186" s="136">
        <f t="shared" si="78"/>
        <v>38703</v>
      </c>
      <c r="X186" s="26">
        <f t="shared" si="69"/>
        <v>38703</v>
      </c>
      <c r="Y186" s="24">
        <v>44</v>
      </c>
    </row>
    <row r="187" spans="9:25" ht="14.4" thickBot="1" x14ac:dyDescent="0.3">
      <c r="I187" s="24">
        <v>45</v>
      </c>
      <c r="J187" s="136">
        <f t="shared" si="70"/>
        <v>123788.30000000009</v>
      </c>
      <c r="K187" s="25">
        <v>0</v>
      </c>
      <c r="L187" s="26">
        <f t="shared" si="65"/>
        <v>123788.30000000009</v>
      </c>
      <c r="M187" s="136">
        <f t="shared" si="71"/>
        <v>92841.225000000049</v>
      </c>
      <c r="N187" s="136">
        <f t="shared" si="72"/>
        <v>32488.25</v>
      </c>
      <c r="O187" s="26">
        <f t="shared" si="66"/>
        <v>125329.47500000005</v>
      </c>
      <c r="P187" s="136">
        <f t="shared" si="73"/>
        <v>61894.150000000045</v>
      </c>
      <c r="Q187" s="136">
        <f t="shared" si="74"/>
        <v>34794.5</v>
      </c>
      <c r="R187" s="26">
        <f t="shared" si="67"/>
        <v>96688.650000000052</v>
      </c>
      <c r="S187" s="136">
        <f t="shared" si="75"/>
        <v>30947.075000000023</v>
      </c>
      <c r="T187" s="136">
        <f t="shared" si="76"/>
        <v>37100.75</v>
      </c>
      <c r="U187" s="26">
        <f t="shared" si="68"/>
        <v>68047.825000000026</v>
      </c>
      <c r="V187" s="136">
        <f t="shared" si="77"/>
        <v>0</v>
      </c>
      <c r="W187" s="136">
        <f t="shared" si="78"/>
        <v>39407</v>
      </c>
      <c r="X187" s="26">
        <f t="shared" si="69"/>
        <v>39407</v>
      </c>
      <c r="Y187" s="24">
        <v>45</v>
      </c>
    </row>
    <row r="188" spans="9:25" ht="14.4" thickBot="1" x14ac:dyDescent="0.3">
      <c r="I188" s="24">
        <v>46</v>
      </c>
      <c r="J188" s="136">
        <f t="shared" si="70"/>
        <v>126479.35000000009</v>
      </c>
      <c r="K188" s="25">
        <v>0</v>
      </c>
      <c r="L188" s="26">
        <f t="shared" si="65"/>
        <v>126479.35000000009</v>
      </c>
      <c r="M188" s="136">
        <f t="shared" si="71"/>
        <v>94859.512500000055</v>
      </c>
      <c r="N188" s="136">
        <f t="shared" si="72"/>
        <v>33038.5</v>
      </c>
      <c r="O188" s="26">
        <f t="shared" si="66"/>
        <v>127898.01250000006</v>
      </c>
      <c r="P188" s="136">
        <f t="shared" si="73"/>
        <v>63239.675000000047</v>
      </c>
      <c r="Q188" s="136">
        <f t="shared" si="74"/>
        <v>35396</v>
      </c>
      <c r="R188" s="26">
        <f t="shared" si="67"/>
        <v>98635.675000000047</v>
      </c>
      <c r="S188" s="136">
        <f t="shared" si="75"/>
        <v>31619.837500000023</v>
      </c>
      <c r="T188" s="136">
        <f t="shared" si="76"/>
        <v>37753.5</v>
      </c>
      <c r="U188" s="26">
        <f t="shared" si="68"/>
        <v>69373.337500000023</v>
      </c>
      <c r="V188" s="136">
        <f t="shared" si="77"/>
        <v>0</v>
      </c>
      <c r="W188" s="136">
        <f t="shared" si="78"/>
        <v>40111</v>
      </c>
      <c r="X188" s="26">
        <f t="shared" si="69"/>
        <v>40111</v>
      </c>
      <c r="Y188" s="24">
        <v>46</v>
      </c>
    </row>
    <row r="189" spans="9:25" ht="14.4" thickBot="1" x14ac:dyDescent="0.3">
      <c r="I189" s="24">
        <v>47</v>
      </c>
      <c r="J189" s="136">
        <f t="shared" si="70"/>
        <v>129170.4000000001</v>
      </c>
      <c r="K189" s="25">
        <v>0</v>
      </c>
      <c r="L189" s="26">
        <f t="shared" si="65"/>
        <v>129170.4000000001</v>
      </c>
      <c r="M189" s="136">
        <f t="shared" si="71"/>
        <v>96877.800000000061</v>
      </c>
      <c r="N189" s="136">
        <f t="shared" si="72"/>
        <v>33588.75</v>
      </c>
      <c r="O189" s="26">
        <f t="shared" si="66"/>
        <v>130466.55000000006</v>
      </c>
      <c r="P189" s="136">
        <f t="shared" si="73"/>
        <v>64585.200000000048</v>
      </c>
      <c r="Q189" s="136">
        <f t="shared" si="74"/>
        <v>35997.5</v>
      </c>
      <c r="R189" s="26">
        <f t="shared" si="67"/>
        <v>100582.70000000004</v>
      </c>
      <c r="S189" s="136">
        <f t="shared" si="75"/>
        <v>32292.600000000024</v>
      </c>
      <c r="T189" s="136">
        <f t="shared" si="76"/>
        <v>38406.25</v>
      </c>
      <c r="U189" s="26">
        <f t="shared" si="68"/>
        <v>70698.85000000002</v>
      </c>
      <c r="V189" s="136">
        <f t="shared" si="77"/>
        <v>0</v>
      </c>
      <c r="W189" s="136">
        <f t="shared" si="78"/>
        <v>40815</v>
      </c>
      <c r="X189" s="26">
        <f t="shared" si="69"/>
        <v>40815</v>
      </c>
      <c r="Y189" s="24">
        <v>47</v>
      </c>
    </row>
    <row r="190" spans="9:25" ht="14.4" thickBot="1" x14ac:dyDescent="0.3">
      <c r="I190" s="24">
        <v>48</v>
      </c>
      <c r="J190" s="136">
        <f t="shared" si="70"/>
        <v>131861.4500000001</v>
      </c>
      <c r="K190" s="25">
        <v>0</v>
      </c>
      <c r="L190" s="26">
        <f t="shared" si="65"/>
        <v>131861.4500000001</v>
      </c>
      <c r="M190" s="136">
        <f t="shared" si="71"/>
        <v>98896.087500000067</v>
      </c>
      <c r="N190" s="136">
        <f t="shared" si="72"/>
        <v>34139</v>
      </c>
      <c r="O190" s="26">
        <f t="shared" si="66"/>
        <v>133035.08750000008</v>
      </c>
      <c r="P190" s="136">
        <f t="shared" si="73"/>
        <v>65930.725000000049</v>
      </c>
      <c r="Q190" s="136">
        <f t="shared" si="74"/>
        <v>36599</v>
      </c>
      <c r="R190" s="26">
        <f t="shared" si="67"/>
        <v>102529.72500000005</v>
      </c>
      <c r="S190" s="136">
        <f t="shared" si="75"/>
        <v>32965.362500000025</v>
      </c>
      <c r="T190" s="136">
        <f t="shared" si="76"/>
        <v>39059</v>
      </c>
      <c r="U190" s="26">
        <f t="shared" si="68"/>
        <v>72024.362500000017</v>
      </c>
      <c r="V190" s="136">
        <f t="shared" si="77"/>
        <v>0</v>
      </c>
      <c r="W190" s="136">
        <f t="shared" si="78"/>
        <v>41519</v>
      </c>
      <c r="X190" s="26">
        <f t="shared" si="69"/>
        <v>41519</v>
      </c>
      <c r="Y190" s="24">
        <v>48</v>
      </c>
    </row>
    <row r="191" spans="9:25" ht="14.4" thickBot="1" x14ac:dyDescent="0.3">
      <c r="I191" s="8">
        <f>I190+1</f>
        <v>49</v>
      </c>
      <c r="J191" s="136">
        <f t="shared" si="70"/>
        <v>134552.50000000009</v>
      </c>
      <c r="K191" s="25">
        <v>0</v>
      </c>
      <c r="L191" s="26">
        <f t="shared" si="65"/>
        <v>134552.50000000009</v>
      </c>
      <c r="M191" s="136">
        <f t="shared" si="71"/>
        <v>100914.37500000007</v>
      </c>
      <c r="N191" s="136">
        <f t="shared" si="72"/>
        <v>34689.25</v>
      </c>
      <c r="O191" s="26">
        <f t="shared" si="66"/>
        <v>135603.62500000006</v>
      </c>
      <c r="P191" s="136">
        <f t="shared" si="73"/>
        <v>67276.250000000044</v>
      </c>
      <c r="Q191" s="136">
        <f t="shared" si="74"/>
        <v>37200.5</v>
      </c>
      <c r="R191" s="26">
        <f t="shared" si="67"/>
        <v>104476.75000000004</v>
      </c>
      <c r="S191" s="136">
        <f t="shared" si="75"/>
        <v>33638.125000000022</v>
      </c>
      <c r="T191" s="136">
        <f t="shared" si="76"/>
        <v>39711.75</v>
      </c>
      <c r="U191" s="26">
        <f t="shared" si="68"/>
        <v>73349.875000000029</v>
      </c>
      <c r="V191" s="136">
        <f t="shared" si="77"/>
        <v>0</v>
      </c>
      <c r="W191" s="136">
        <f t="shared" si="78"/>
        <v>42223</v>
      </c>
      <c r="X191" s="26">
        <f t="shared" si="69"/>
        <v>42223</v>
      </c>
      <c r="Y191" s="8">
        <f>Y190+1</f>
        <v>49</v>
      </c>
    </row>
    <row r="192" spans="9:25" ht="14.4" thickBot="1" x14ac:dyDescent="0.3">
      <c r="I192" s="8">
        <f t="shared" ref="I192:I202" si="80">I191+1</f>
        <v>50</v>
      </c>
      <c r="J192" s="136">
        <f t="shared" si="70"/>
        <v>137243.55000000008</v>
      </c>
      <c r="K192" s="25">
        <v>0</v>
      </c>
      <c r="L192" s="26">
        <f t="shared" si="65"/>
        <v>137243.55000000008</v>
      </c>
      <c r="M192" s="136">
        <f t="shared" si="71"/>
        <v>102932.66250000008</v>
      </c>
      <c r="N192" s="136">
        <f t="shared" si="72"/>
        <v>35239.5</v>
      </c>
      <c r="O192" s="26">
        <f t="shared" si="66"/>
        <v>138172.16250000009</v>
      </c>
      <c r="P192" s="136">
        <f t="shared" si="73"/>
        <v>68621.775000000038</v>
      </c>
      <c r="Q192" s="136">
        <f t="shared" si="74"/>
        <v>37802</v>
      </c>
      <c r="R192" s="26">
        <f t="shared" si="67"/>
        <v>106423.77500000004</v>
      </c>
      <c r="S192" s="136">
        <f t="shared" si="75"/>
        <v>34310.887500000019</v>
      </c>
      <c r="T192" s="136">
        <f t="shared" si="76"/>
        <v>40364.5</v>
      </c>
      <c r="U192" s="26">
        <f t="shared" si="68"/>
        <v>74675.387500000012</v>
      </c>
      <c r="V192" s="136">
        <f t="shared" si="77"/>
        <v>0</v>
      </c>
      <c r="W192" s="136">
        <f t="shared" si="78"/>
        <v>42927</v>
      </c>
      <c r="X192" s="26">
        <f t="shared" si="69"/>
        <v>42927</v>
      </c>
      <c r="Y192" s="8">
        <f t="shared" ref="Y192:Y202" si="81">Y191+1</f>
        <v>50</v>
      </c>
    </row>
    <row r="193" spans="9:25" ht="14.4" thickBot="1" x14ac:dyDescent="0.3">
      <c r="I193" s="8">
        <f t="shared" si="80"/>
        <v>51</v>
      </c>
      <c r="J193" s="136">
        <f t="shared" si="70"/>
        <v>139934.60000000006</v>
      </c>
      <c r="K193" s="25">
        <v>0</v>
      </c>
      <c r="L193" s="26">
        <f t="shared" si="65"/>
        <v>139934.60000000006</v>
      </c>
      <c r="M193" s="136">
        <f t="shared" si="71"/>
        <v>104950.95000000008</v>
      </c>
      <c r="N193" s="136">
        <f t="shared" si="72"/>
        <v>35789.75</v>
      </c>
      <c r="O193" s="26">
        <f t="shared" si="66"/>
        <v>140740.70000000007</v>
      </c>
      <c r="P193" s="136">
        <f t="shared" si="73"/>
        <v>69967.300000000032</v>
      </c>
      <c r="Q193" s="136">
        <f t="shared" si="74"/>
        <v>38403.5</v>
      </c>
      <c r="R193" s="26">
        <f t="shared" si="67"/>
        <v>108370.80000000003</v>
      </c>
      <c r="S193" s="136">
        <f t="shared" si="75"/>
        <v>34983.650000000016</v>
      </c>
      <c r="T193" s="136">
        <f t="shared" si="76"/>
        <v>41017.25</v>
      </c>
      <c r="U193" s="26">
        <f t="shared" si="68"/>
        <v>76000.900000000023</v>
      </c>
      <c r="V193" s="136">
        <f t="shared" si="77"/>
        <v>0</v>
      </c>
      <c r="W193" s="136">
        <f t="shared" si="78"/>
        <v>43631</v>
      </c>
      <c r="X193" s="26">
        <f t="shared" si="69"/>
        <v>43631</v>
      </c>
      <c r="Y193" s="8">
        <f t="shared" si="81"/>
        <v>51</v>
      </c>
    </row>
    <row r="194" spans="9:25" ht="14.4" thickBot="1" x14ac:dyDescent="0.3">
      <c r="I194" s="8">
        <f t="shared" si="80"/>
        <v>52</v>
      </c>
      <c r="J194" s="136">
        <f t="shared" si="70"/>
        <v>142625.65000000005</v>
      </c>
      <c r="K194" s="25">
        <v>0</v>
      </c>
      <c r="L194" s="26">
        <f t="shared" si="65"/>
        <v>142625.65000000005</v>
      </c>
      <c r="M194" s="136">
        <f t="shared" si="71"/>
        <v>106969.23750000009</v>
      </c>
      <c r="N194" s="136">
        <f t="shared" si="72"/>
        <v>36340</v>
      </c>
      <c r="O194" s="26">
        <f t="shared" si="66"/>
        <v>143309.2375000001</v>
      </c>
      <c r="P194" s="136">
        <f t="shared" si="73"/>
        <v>71312.825000000026</v>
      </c>
      <c r="Q194" s="136">
        <f t="shared" si="74"/>
        <v>39005</v>
      </c>
      <c r="R194" s="26">
        <f t="shared" si="67"/>
        <v>110317.82500000003</v>
      </c>
      <c r="S194" s="136">
        <f t="shared" si="75"/>
        <v>35656.412500000013</v>
      </c>
      <c r="T194" s="136">
        <f t="shared" si="76"/>
        <v>41670</v>
      </c>
      <c r="U194" s="26">
        <f t="shared" si="68"/>
        <v>77326.412500000006</v>
      </c>
      <c r="V194" s="136">
        <f t="shared" si="77"/>
        <v>0</v>
      </c>
      <c r="W194" s="136">
        <f t="shared" si="78"/>
        <v>44335</v>
      </c>
      <c r="X194" s="26">
        <f t="shared" si="69"/>
        <v>44335</v>
      </c>
      <c r="Y194" s="8">
        <f t="shared" si="81"/>
        <v>52</v>
      </c>
    </row>
    <row r="195" spans="9:25" ht="14.4" thickBot="1" x14ac:dyDescent="0.3">
      <c r="I195" s="8">
        <f t="shared" si="80"/>
        <v>53</v>
      </c>
      <c r="J195" s="136">
        <f t="shared" si="70"/>
        <v>145316.70000000004</v>
      </c>
      <c r="K195" s="25">
        <v>0</v>
      </c>
      <c r="L195" s="26">
        <f t="shared" si="65"/>
        <v>145316.70000000004</v>
      </c>
      <c r="M195" s="136">
        <f t="shared" si="71"/>
        <v>108987.5250000001</v>
      </c>
      <c r="N195" s="136">
        <f t="shared" si="72"/>
        <v>36890.25</v>
      </c>
      <c r="O195" s="26">
        <f t="shared" si="66"/>
        <v>145877.77500000008</v>
      </c>
      <c r="P195" s="136">
        <f t="shared" si="73"/>
        <v>72658.35000000002</v>
      </c>
      <c r="Q195" s="136">
        <f t="shared" si="74"/>
        <v>39606.5</v>
      </c>
      <c r="R195" s="26">
        <f t="shared" si="67"/>
        <v>112264.85000000002</v>
      </c>
      <c r="S195" s="136">
        <f t="shared" si="75"/>
        <v>36329.17500000001</v>
      </c>
      <c r="T195" s="136">
        <f t="shared" si="76"/>
        <v>42322.75</v>
      </c>
      <c r="U195" s="26">
        <f t="shared" si="68"/>
        <v>78651.925000000017</v>
      </c>
      <c r="V195" s="136">
        <f t="shared" si="77"/>
        <v>0</v>
      </c>
      <c r="W195" s="136">
        <f t="shared" si="78"/>
        <v>45039</v>
      </c>
      <c r="X195" s="26">
        <f t="shared" si="69"/>
        <v>45039</v>
      </c>
      <c r="Y195" s="8">
        <f t="shared" si="81"/>
        <v>53</v>
      </c>
    </row>
    <row r="196" spans="9:25" ht="14.4" thickBot="1" x14ac:dyDescent="0.3">
      <c r="I196" s="8">
        <f t="shared" si="80"/>
        <v>54</v>
      </c>
      <c r="J196" s="136">
        <f t="shared" si="70"/>
        <v>148007.75000000003</v>
      </c>
      <c r="K196" s="25">
        <v>0</v>
      </c>
      <c r="L196" s="26">
        <f t="shared" si="65"/>
        <v>148007.75000000003</v>
      </c>
      <c r="M196" s="136">
        <f t="shared" si="71"/>
        <v>111005.8125000001</v>
      </c>
      <c r="N196" s="136">
        <f t="shared" si="72"/>
        <v>37440.5</v>
      </c>
      <c r="O196" s="26">
        <f t="shared" si="66"/>
        <v>148446.31250000012</v>
      </c>
      <c r="P196" s="136">
        <f t="shared" si="73"/>
        <v>74003.875000000015</v>
      </c>
      <c r="Q196" s="136">
        <f t="shared" si="74"/>
        <v>40208</v>
      </c>
      <c r="R196" s="26">
        <f t="shared" si="67"/>
        <v>114211.87500000001</v>
      </c>
      <c r="S196" s="136">
        <f t="shared" si="75"/>
        <v>37001.937500000007</v>
      </c>
      <c r="T196" s="136">
        <f t="shared" si="76"/>
        <v>42975.5</v>
      </c>
      <c r="U196" s="26">
        <f t="shared" si="68"/>
        <v>79977.4375</v>
      </c>
      <c r="V196" s="136">
        <f t="shared" si="77"/>
        <v>0</v>
      </c>
      <c r="W196" s="136">
        <f t="shared" si="78"/>
        <v>45743</v>
      </c>
      <c r="X196" s="26">
        <f t="shared" si="69"/>
        <v>45743</v>
      </c>
      <c r="Y196" s="8">
        <f t="shared" si="81"/>
        <v>54</v>
      </c>
    </row>
    <row r="197" spans="9:25" ht="14.4" thickBot="1" x14ac:dyDescent="0.3">
      <c r="I197" s="8">
        <f t="shared" si="80"/>
        <v>55</v>
      </c>
      <c r="J197" s="136">
        <f t="shared" si="70"/>
        <v>150698.80000000002</v>
      </c>
      <c r="K197" s="25">
        <v>0</v>
      </c>
      <c r="L197" s="26">
        <f t="shared" si="65"/>
        <v>150698.80000000002</v>
      </c>
      <c r="M197" s="136">
        <f t="shared" si="71"/>
        <v>113024.10000000011</v>
      </c>
      <c r="N197" s="136">
        <f t="shared" si="72"/>
        <v>37990.75</v>
      </c>
      <c r="O197" s="26">
        <f t="shared" si="66"/>
        <v>151014.85000000009</v>
      </c>
      <c r="P197" s="136">
        <f t="shared" si="73"/>
        <v>75349.400000000009</v>
      </c>
      <c r="Q197" s="136">
        <f t="shared" si="74"/>
        <v>40809.5</v>
      </c>
      <c r="R197" s="26">
        <f t="shared" si="67"/>
        <v>116158.90000000001</v>
      </c>
      <c r="S197" s="136">
        <f t="shared" si="75"/>
        <v>37674.700000000004</v>
      </c>
      <c r="T197" s="136">
        <f t="shared" si="76"/>
        <v>43628.25</v>
      </c>
      <c r="U197" s="26">
        <f t="shared" si="68"/>
        <v>81302.950000000012</v>
      </c>
      <c r="V197" s="136">
        <f t="shared" si="77"/>
        <v>0</v>
      </c>
      <c r="W197" s="136">
        <f t="shared" si="78"/>
        <v>46447</v>
      </c>
      <c r="X197" s="26">
        <f t="shared" si="69"/>
        <v>46447</v>
      </c>
      <c r="Y197" s="8">
        <f t="shared" si="81"/>
        <v>55</v>
      </c>
    </row>
    <row r="198" spans="9:25" ht="14.4" thickBot="1" x14ac:dyDescent="0.3">
      <c r="I198" s="8">
        <f t="shared" si="80"/>
        <v>56</v>
      </c>
      <c r="J198" s="136">
        <f t="shared" si="70"/>
        <v>153389.85</v>
      </c>
      <c r="K198" s="25">
        <v>0</v>
      </c>
      <c r="L198" s="26">
        <f t="shared" si="65"/>
        <v>153389.85</v>
      </c>
      <c r="M198" s="136">
        <f t="shared" si="71"/>
        <v>115042.38750000011</v>
      </c>
      <c r="N198" s="136">
        <f t="shared" si="72"/>
        <v>38541</v>
      </c>
      <c r="O198" s="26">
        <f t="shared" si="66"/>
        <v>153583.38750000013</v>
      </c>
      <c r="P198" s="136">
        <f t="shared" si="73"/>
        <v>76694.925000000003</v>
      </c>
      <c r="Q198" s="136">
        <f t="shared" si="74"/>
        <v>41411</v>
      </c>
      <c r="R198" s="26">
        <f t="shared" si="67"/>
        <v>118105.925</v>
      </c>
      <c r="S198" s="136">
        <f t="shared" si="75"/>
        <v>38347.462500000001</v>
      </c>
      <c r="T198" s="136">
        <f t="shared" si="76"/>
        <v>44281</v>
      </c>
      <c r="U198" s="26">
        <f t="shared" si="68"/>
        <v>82628.462499999994</v>
      </c>
      <c r="V198" s="136">
        <f t="shared" si="77"/>
        <v>0</v>
      </c>
      <c r="W198" s="136">
        <f t="shared" si="78"/>
        <v>47151</v>
      </c>
      <c r="X198" s="26">
        <f t="shared" si="69"/>
        <v>47151</v>
      </c>
      <c r="Y198" s="8">
        <f t="shared" si="81"/>
        <v>56</v>
      </c>
    </row>
    <row r="199" spans="9:25" ht="14.4" thickBot="1" x14ac:dyDescent="0.3">
      <c r="I199" s="8">
        <f t="shared" si="80"/>
        <v>57</v>
      </c>
      <c r="J199" s="136">
        <f t="shared" si="70"/>
        <v>156080.9</v>
      </c>
      <c r="K199" s="25">
        <v>0</v>
      </c>
      <c r="L199" s="26">
        <f t="shared" si="65"/>
        <v>156080.9</v>
      </c>
      <c r="M199" s="136">
        <f t="shared" si="71"/>
        <v>117060.67500000012</v>
      </c>
      <c r="N199" s="136">
        <f t="shared" si="72"/>
        <v>39091.25</v>
      </c>
      <c r="O199" s="26">
        <f t="shared" si="66"/>
        <v>156151.9250000001</v>
      </c>
      <c r="P199" s="136">
        <f t="shared" si="73"/>
        <v>78040.45</v>
      </c>
      <c r="Q199" s="136">
        <f t="shared" si="74"/>
        <v>42012.5</v>
      </c>
      <c r="R199" s="26">
        <f t="shared" si="67"/>
        <v>120052.95</v>
      </c>
      <c r="S199" s="136">
        <f t="shared" si="75"/>
        <v>39020.224999999999</v>
      </c>
      <c r="T199" s="136">
        <f t="shared" si="76"/>
        <v>44933.75</v>
      </c>
      <c r="U199" s="26">
        <f t="shared" si="68"/>
        <v>83953.975000000006</v>
      </c>
      <c r="V199" s="136">
        <f t="shared" si="77"/>
        <v>0</v>
      </c>
      <c r="W199" s="136">
        <f t="shared" si="78"/>
        <v>47855</v>
      </c>
      <c r="X199" s="26">
        <f t="shared" si="69"/>
        <v>47855</v>
      </c>
      <c r="Y199" s="8">
        <f t="shared" si="81"/>
        <v>57</v>
      </c>
    </row>
    <row r="200" spans="9:25" ht="14.4" thickBot="1" x14ac:dyDescent="0.3">
      <c r="I200" s="8">
        <f t="shared" si="80"/>
        <v>58</v>
      </c>
      <c r="J200" s="136">
        <f t="shared" si="70"/>
        <v>158771.94999999998</v>
      </c>
      <c r="K200" s="25">
        <v>0</v>
      </c>
      <c r="L200" s="26">
        <f t="shared" si="65"/>
        <v>158771.94999999998</v>
      </c>
      <c r="M200" s="136">
        <f t="shared" si="71"/>
        <v>119078.96250000013</v>
      </c>
      <c r="N200" s="136">
        <f t="shared" si="72"/>
        <v>39641.5</v>
      </c>
      <c r="O200" s="26">
        <f t="shared" si="66"/>
        <v>158720.46250000014</v>
      </c>
      <c r="P200" s="136">
        <f t="shared" si="73"/>
        <v>79385.974999999991</v>
      </c>
      <c r="Q200" s="136">
        <f t="shared" si="74"/>
        <v>42614</v>
      </c>
      <c r="R200" s="26">
        <f t="shared" si="67"/>
        <v>121999.97499999999</v>
      </c>
      <c r="S200" s="136">
        <f t="shared" si="75"/>
        <v>39692.987499999996</v>
      </c>
      <c r="T200" s="136">
        <f t="shared" si="76"/>
        <v>45586.5</v>
      </c>
      <c r="U200" s="26">
        <f t="shared" si="68"/>
        <v>85279.487499999988</v>
      </c>
      <c r="V200" s="136">
        <f t="shared" si="77"/>
        <v>0</v>
      </c>
      <c r="W200" s="136">
        <f t="shared" si="78"/>
        <v>48559</v>
      </c>
      <c r="X200" s="26">
        <f t="shared" si="69"/>
        <v>48559</v>
      </c>
      <c r="Y200" s="8">
        <f t="shared" si="81"/>
        <v>58</v>
      </c>
    </row>
    <row r="201" spans="9:25" ht="14.4" thickBot="1" x14ac:dyDescent="0.3">
      <c r="I201" s="8">
        <f t="shared" si="80"/>
        <v>59</v>
      </c>
      <c r="J201" s="136">
        <f t="shared" si="70"/>
        <v>161462.99999999997</v>
      </c>
      <c r="K201" s="25">
        <v>0</v>
      </c>
      <c r="L201" s="26">
        <f t="shared" si="65"/>
        <v>161462.99999999997</v>
      </c>
      <c r="M201" s="136">
        <f t="shared" si="71"/>
        <v>121097.25000000013</v>
      </c>
      <c r="N201" s="136">
        <f t="shared" si="72"/>
        <v>40191.75</v>
      </c>
      <c r="O201" s="26">
        <f t="shared" si="66"/>
        <v>161289.00000000012</v>
      </c>
      <c r="P201" s="136">
        <f t="shared" si="73"/>
        <v>80731.499999999985</v>
      </c>
      <c r="Q201" s="136">
        <f t="shared" si="74"/>
        <v>43215.5</v>
      </c>
      <c r="R201" s="26">
        <f t="shared" si="67"/>
        <v>123946.99999999999</v>
      </c>
      <c r="S201" s="136">
        <f t="shared" si="75"/>
        <v>40365.749999999993</v>
      </c>
      <c r="T201" s="136">
        <f t="shared" si="76"/>
        <v>46239.25</v>
      </c>
      <c r="U201" s="26">
        <f t="shared" si="68"/>
        <v>86605</v>
      </c>
      <c r="V201" s="136">
        <f t="shared" si="77"/>
        <v>0</v>
      </c>
      <c r="W201" s="136">
        <f t="shared" si="78"/>
        <v>49263</v>
      </c>
      <c r="X201" s="26">
        <f t="shared" si="69"/>
        <v>49263</v>
      </c>
      <c r="Y201" s="8">
        <f t="shared" si="81"/>
        <v>59</v>
      </c>
    </row>
    <row r="202" spans="9:25" ht="14.4" thickBot="1" x14ac:dyDescent="0.3">
      <c r="I202" s="8">
        <f t="shared" si="80"/>
        <v>60</v>
      </c>
      <c r="J202" s="136">
        <f t="shared" si="70"/>
        <v>164154.04999999996</v>
      </c>
      <c r="K202" s="25">
        <v>0</v>
      </c>
      <c r="L202" s="26">
        <f t="shared" si="65"/>
        <v>164154.04999999996</v>
      </c>
      <c r="M202" s="136">
        <f t="shared" si="71"/>
        <v>123115.53750000014</v>
      </c>
      <c r="N202" s="136">
        <f t="shared" si="72"/>
        <v>40742</v>
      </c>
      <c r="O202" s="26">
        <f t="shared" si="66"/>
        <v>163857.53750000015</v>
      </c>
      <c r="P202" s="136">
        <f t="shared" si="73"/>
        <v>82077.02499999998</v>
      </c>
      <c r="Q202" s="136">
        <f t="shared" si="74"/>
        <v>43817</v>
      </c>
      <c r="R202" s="26">
        <f t="shared" si="67"/>
        <v>125894.02499999998</v>
      </c>
      <c r="S202" s="136">
        <f t="shared" si="75"/>
        <v>41038.51249999999</v>
      </c>
      <c r="T202" s="136">
        <f t="shared" si="76"/>
        <v>46892</v>
      </c>
      <c r="U202" s="26">
        <f t="shared" si="68"/>
        <v>87930.512499999983</v>
      </c>
      <c r="V202" s="136">
        <f t="shared" si="77"/>
        <v>0</v>
      </c>
      <c r="W202" s="136">
        <f t="shared" si="78"/>
        <v>49967</v>
      </c>
      <c r="X202" s="26">
        <f t="shared" si="69"/>
        <v>49967</v>
      </c>
      <c r="Y202" s="8">
        <f t="shared" si="81"/>
        <v>60</v>
      </c>
    </row>
  </sheetData>
  <mergeCells count="46">
    <mergeCell ref="A81:B81"/>
    <mergeCell ref="D81:E81"/>
    <mergeCell ref="G81:H81"/>
    <mergeCell ref="BB5:BC5"/>
    <mergeCell ref="AC4:AE4"/>
    <mergeCell ref="AF4:AH4"/>
    <mergeCell ref="AI4:AK4"/>
    <mergeCell ref="I3:J3"/>
    <mergeCell ref="Y3:Z3"/>
    <mergeCell ref="I70:J70"/>
    <mergeCell ref="Y70:Z70"/>
    <mergeCell ref="G70:H70"/>
    <mergeCell ref="G2:H2"/>
    <mergeCell ref="Z4:AB4"/>
    <mergeCell ref="Z62:AB62"/>
    <mergeCell ref="J4:L4"/>
    <mergeCell ref="M4:O4"/>
    <mergeCell ref="P4:R4"/>
    <mergeCell ref="S4:U4"/>
    <mergeCell ref="V4:X4"/>
    <mergeCell ref="K62:M62"/>
    <mergeCell ref="N62:P62"/>
    <mergeCell ref="Q62:S62"/>
    <mergeCell ref="T62:V62"/>
    <mergeCell ref="W62:Y62"/>
    <mergeCell ref="J71:L71"/>
    <mergeCell ref="M71:O71"/>
    <mergeCell ref="P71:R71"/>
    <mergeCell ref="S71:U71"/>
    <mergeCell ref="V71:X71"/>
    <mergeCell ref="A141:B141"/>
    <mergeCell ref="D141:E141"/>
    <mergeCell ref="S140:U140"/>
    <mergeCell ref="BE4:BG4"/>
    <mergeCell ref="BJ4:BL4"/>
    <mergeCell ref="I139:J139"/>
    <mergeCell ref="J140:L140"/>
    <mergeCell ref="M140:O140"/>
    <mergeCell ref="P140:R140"/>
    <mergeCell ref="V140:X140"/>
    <mergeCell ref="Z71:AB71"/>
    <mergeCell ref="AC71:AE71"/>
    <mergeCell ref="AF71:AH71"/>
    <mergeCell ref="AI71:AK71"/>
    <mergeCell ref="AL4:AN4"/>
    <mergeCell ref="AL71:AN7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Sheet2</vt:lpstr>
      <vt:lpstr>Proposal Info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2018-04-10T17:38:28Z</dcterms:created>
  <dcterms:modified xsi:type="dcterms:W3CDTF">2018-04-25T19:47:54Z</dcterms:modified>
</cp:coreProperties>
</file>