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9120" activeTab="2"/>
  </bookViews>
  <sheets>
    <sheet name="Nozzle Contour Example" sheetId="3" r:id="rId1"/>
    <sheet name="Example Plot" sheetId="6" r:id="rId2"/>
    <sheet name="Nozzle Contour Analysis" sheetId="7" r:id="rId3"/>
    <sheet name="Analysis Plot" sheetId="9" r:id="rId4"/>
  </sheets>
  <definedNames>
    <definedName name="gam">'Nozzle Contour Example'!$E$3</definedName>
  </definedNames>
  <calcPr calcId="125725"/>
</workbook>
</file>

<file path=xl/calcChain.xml><?xml version="1.0" encoding="utf-8"?>
<calcChain xmlns="http://schemas.openxmlformats.org/spreadsheetml/2006/main">
  <c r="F95" i="9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E72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F63" i="7"/>
  <c r="F62"/>
  <c r="F61"/>
  <c r="F60"/>
  <c r="F59"/>
  <c r="F58"/>
  <c r="F57"/>
  <c r="E63"/>
  <c r="E62"/>
  <c r="E61"/>
  <c r="E60"/>
  <c r="E59"/>
  <c r="E58"/>
  <c r="E57"/>
  <c r="F55"/>
  <c r="F54"/>
  <c r="F53"/>
  <c r="F52"/>
  <c r="F51"/>
  <c r="F50"/>
  <c r="F49"/>
  <c r="F48"/>
  <c r="E55"/>
  <c r="E54"/>
  <c r="E53"/>
  <c r="E52"/>
  <c r="E51"/>
  <c r="E50"/>
  <c r="E49"/>
  <c r="E48"/>
  <c r="K63"/>
  <c r="K62"/>
  <c r="K61"/>
  <c r="K59"/>
  <c r="K57"/>
  <c r="K48"/>
  <c r="K33"/>
  <c r="K26"/>
  <c r="K11"/>
  <c r="K18"/>
  <c r="H63"/>
  <c r="J63" s="1"/>
  <c r="D63"/>
  <c r="H62"/>
  <c r="H61"/>
  <c r="H60"/>
  <c r="I60" s="1"/>
  <c r="H59"/>
  <c r="J59" s="1"/>
  <c r="H58"/>
  <c r="I58" s="1"/>
  <c r="H57"/>
  <c r="J57" s="1"/>
  <c r="D32"/>
  <c r="D31"/>
  <c r="E32"/>
  <c r="E31"/>
  <c r="E30"/>
  <c r="E36"/>
  <c r="E35"/>
  <c r="E34"/>
  <c r="E21"/>
  <c r="F17"/>
  <c r="F16"/>
  <c r="F15"/>
  <c r="F18" s="1"/>
  <c r="C18" s="1"/>
  <c r="E23" s="1"/>
  <c r="E17"/>
  <c r="C17" s="1"/>
  <c r="E16"/>
  <c r="C16" s="1"/>
  <c r="E15"/>
  <c r="C15" s="1"/>
  <c r="F14"/>
  <c r="E14"/>
  <c r="E13"/>
  <c r="F13"/>
  <c r="F12"/>
  <c r="E12"/>
  <c r="F10"/>
  <c r="E10"/>
  <c r="F9"/>
  <c r="E9"/>
  <c r="F8"/>
  <c r="E8"/>
  <c r="B8" s="1"/>
  <c r="H21"/>
  <c r="H20"/>
  <c r="H19"/>
  <c r="H18"/>
  <c r="H17"/>
  <c r="H16"/>
  <c r="H15"/>
  <c r="H14"/>
  <c r="H13"/>
  <c r="H12"/>
  <c r="H11"/>
  <c r="H10"/>
  <c r="H9"/>
  <c r="H8"/>
  <c r="H7"/>
  <c r="H6"/>
  <c r="J6" s="1"/>
  <c r="H5"/>
  <c r="H4"/>
  <c r="E5"/>
  <c r="E4"/>
  <c r="H55"/>
  <c r="I55" s="1"/>
  <c r="L58" s="1"/>
  <c r="H54"/>
  <c r="H53"/>
  <c r="H52"/>
  <c r="J52" s="1"/>
  <c r="H51"/>
  <c r="H50"/>
  <c r="J50" s="1"/>
  <c r="H49"/>
  <c r="I49" s="1"/>
  <c r="H48"/>
  <c r="J48" s="1"/>
  <c r="H47"/>
  <c r="H46"/>
  <c r="I46" s="1"/>
  <c r="L49" s="1"/>
  <c r="F46"/>
  <c r="H45"/>
  <c r="J45" s="1"/>
  <c r="H44"/>
  <c r="I44" s="1"/>
  <c r="D44"/>
  <c r="H43"/>
  <c r="H42"/>
  <c r="H41"/>
  <c r="J41" s="1"/>
  <c r="K45" s="1"/>
  <c r="H40"/>
  <c r="J40" s="1"/>
  <c r="F40"/>
  <c r="E40"/>
  <c r="H39"/>
  <c r="J39" s="1"/>
  <c r="F39"/>
  <c r="E39"/>
  <c r="H38"/>
  <c r="J38" s="1"/>
  <c r="F38"/>
  <c r="H36"/>
  <c r="I36" s="1"/>
  <c r="F36"/>
  <c r="D36"/>
  <c r="H35"/>
  <c r="I35" s="1"/>
  <c r="D35"/>
  <c r="H34"/>
  <c r="I34" s="1"/>
  <c r="D34"/>
  <c r="H33"/>
  <c r="I33" s="1"/>
  <c r="H32"/>
  <c r="F35"/>
  <c r="H31"/>
  <c r="F31"/>
  <c r="F34"/>
  <c r="H30"/>
  <c r="F30"/>
  <c r="H29"/>
  <c r="H28"/>
  <c r="J28" s="1"/>
  <c r="F28"/>
  <c r="E28"/>
  <c r="D28"/>
  <c r="H27"/>
  <c r="F27"/>
  <c r="E27"/>
  <c r="D27"/>
  <c r="Q26"/>
  <c r="H26"/>
  <c r="H25"/>
  <c r="H24"/>
  <c r="H23"/>
  <c r="J23" s="1"/>
  <c r="J21"/>
  <c r="J14"/>
  <c r="D13"/>
  <c r="D12"/>
  <c r="J11"/>
  <c r="E11"/>
  <c r="J7"/>
  <c r="E7"/>
  <c r="E6"/>
  <c r="J5"/>
  <c r="M7"/>
  <c r="M57" i="3"/>
  <c r="M56"/>
  <c r="N48"/>
  <c r="M48"/>
  <c r="K40"/>
  <c r="H38"/>
  <c r="H37"/>
  <c r="H36"/>
  <c r="H35"/>
  <c r="J35" s="1"/>
  <c r="K57"/>
  <c r="K56"/>
  <c r="K55"/>
  <c r="K53"/>
  <c r="K49"/>
  <c r="K43"/>
  <c r="L57"/>
  <c r="L56"/>
  <c r="L55"/>
  <c r="L53"/>
  <c r="L49"/>
  <c r="L43"/>
  <c r="J53"/>
  <c r="I53"/>
  <c r="H53"/>
  <c r="E57"/>
  <c r="E56"/>
  <c r="E55"/>
  <c r="E53"/>
  <c r="E49"/>
  <c r="E43"/>
  <c r="C57"/>
  <c r="C56"/>
  <c r="C55"/>
  <c r="C53"/>
  <c r="C43"/>
  <c r="C49"/>
  <c r="D49" s="1"/>
  <c r="B56"/>
  <c r="B55"/>
  <c r="B53"/>
  <c r="B43"/>
  <c r="B49"/>
  <c r="D53"/>
  <c r="F57"/>
  <c r="K54"/>
  <c r="C54"/>
  <c r="M38"/>
  <c r="M31"/>
  <c r="M23"/>
  <c r="M27" s="1"/>
  <c r="N27" s="1"/>
  <c r="L52"/>
  <c r="K52"/>
  <c r="K51"/>
  <c r="L50"/>
  <c r="K50"/>
  <c r="L48"/>
  <c r="K48"/>
  <c r="K47"/>
  <c r="L47"/>
  <c r="L45"/>
  <c r="K46"/>
  <c r="K45"/>
  <c r="L44"/>
  <c r="K44"/>
  <c r="F56"/>
  <c r="F55"/>
  <c r="E54"/>
  <c r="F53"/>
  <c r="C52"/>
  <c r="F52"/>
  <c r="E52"/>
  <c r="F51"/>
  <c r="E51"/>
  <c r="C50"/>
  <c r="F50"/>
  <c r="E50"/>
  <c r="F43"/>
  <c r="C48"/>
  <c r="E48"/>
  <c r="F48"/>
  <c r="C47"/>
  <c r="D47" s="1"/>
  <c r="E47"/>
  <c r="F47"/>
  <c r="F49"/>
  <c r="C51"/>
  <c r="D51" s="1"/>
  <c r="D46"/>
  <c r="F38"/>
  <c r="E46"/>
  <c r="C45"/>
  <c r="B45"/>
  <c r="C44"/>
  <c r="D44" s="1"/>
  <c r="B44"/>
  <c r="E45"/>
  <c r="F45"/>
  <c r="E44"/>
  <c r="F44"/>
  <c r="H51"/>
  <c r="I51" s="1"/>
  <c r="I52"/>
  <c r="J40"/>
  <c r="I40"/>
  <c r="H57"/>
  <c r="J57" s="1"/>
  <c r="H56"/>
  <c r="I56" s="1"/>
  <c r="H55"/>
  <c r="J55" s="1"/>
  <c r="H54"/>
  <c r="J54" s="1"/>
  <c r="H52"/>
  <c r="J52" s="1"/>
  <c r="H50"/>
  <c r="J50" s="1"/>
  <c r="H49"/>
  <c r="J49" s="1"/>
  <c r="H48"/>
  <c r="I48" s="1"/>
  <c r="H47"/>
  <c r="J47" s="1"/>
  <c r="H46"/>
  <c r="I46" s="1"/>
  <c r="H45"/>
  <c r="I45" s="1"/>
  <c r="H44"/>
  <c r="J44" s="1"/>
  <c r="H43"/>
  <c r="I43" s="1"/>
  <c r="H42"/>
  <c r="J42" s="1"/>
  <c r="H41"/>
  <c r="I41" s="1"/>
  <c r="H40"/>
  <c r="C42"/>
  <c r="C41"/>
  <c r="C40"/>
  <c r="M28"/>
  <c r="F42"/>
  <c r="F41"/>
  <c r="E42"/>
  <c r="E41"/>
  <c r="F40"/>
  <c r="E40"/>
  <c r="D57"/>
  <c r="D56"/>
  <c r="D55"/>
  <c r="D54"/>
  <c r="D52"/>
  <c r="D50"/>
  <c r="D48"/>
  <c r="D45"/>
  <c r="D43"/>
  <c r="D42"/>
  <c r="D41"/>
  <c r="D40"/>
  <c r="E35"/>
  <c r="J34"/>
  <c r="J33"/>
  <c r="I34"/>
  <c r="I33"/>
  <c r="J38"/>
  <c r="I37"/>
  <c r="L41" s="1"/>
  <c r="J36"/>
  <c r="K41" s="1"/>
  <c r="H34"/>
  <c r="H33"/>
  <c r="H32"/>
  <c r="I32" s="1"/>
  <c r="J32"/>
  <c r="C34"/>
  <c r="F37" s="1"/>
  <c r="C33"/>
  <c r="E37" s="1"/>
  <c r="C32"/>
  <c r="E36" s="1"/>
  <c r="F34"/>
  <c r="F33"/>
  <c r="E34"/>
  <c r="E33"/>
  <c r="E32"/>
  <c r="F32"/>
  <c r="N28"/>
  <c r="J31"/>
  <c r="J30"/>
  <c r="J29"/>
  <c r="I31"/>
  <c r="I30"/>
  <c r="I29"/>
  <c r="H31"/>
  <c r="H30"/>
  <c r="H29"/>
  <c r="H28"/>
  <c r="I28" s="1"/>
  <c r="J28"/>
  <c r="F31"/>
  <c r="F30"/>
  <c r="F29"/>
  <c r="E30"/>
  <c r="E29"/>
  <c r="C31"/>
  <c r="J27"/>
  <c r="I27"/>
  <c r="H27"/>
  <c r="H26"/>
  <c r="I26" s="1"/>
  <c r="J26"/>
  <c r="H25"/>
  <c r="I25" s="1"/>
  <c r="J25"/>
  <c r="E28"/>
  <c r="C28"/>
  <c r="C27"/>
  <c r="C26"/>
  <c r="E27"/>
  <c r="F27"/>
  <c r="E26"/>
  <c r="F26"/>
  <c r="C25"/>
  <c r="F28" s="1"/>
  <c r="F25"/>
  <c r="E25"/>
  <c r="Q28"/>
  <c r="E38"/>
  <c r="F35"/>
  <c r="C35" s="1"/>
  <c r="E31"/>
  <c r="L37"/>
  <c r="L36"/>
  <c r="L35"/>
  <c r="L34"/>
  <c r="L33"/>
  <c r="L32"/>
  <c r="L30"/>
  <c r="L28"/>
  <c r="K38"/>
  <c r="K37"/>
  <c r="K36"/>
  <c r="K34"/>
  <c r="K33"/>
  <c r="K32"/>
  <c r="K31"/>
  <c r="K30"/>
  <c r="D38"/>
  <c r="D37"/>
  <c r="D36"/>
  <c r="D34"/>
  <c r="D33"/>
  <c r="D32"/>
  <c r="D31"/>
  <c r="D30"/>
  <c r="D29"/>
  <c r="D28"/>
  <c r="D27"/>
  <c r="D26"/>
  <c r="D25"/>
  <c r="N26"/>
  <c r="N25"/>
  <c r="M26"/>
  <c r="M25"/>
  <c r="L27"/>
  <c r="L26"/>
  <c r="K27"/>
  <c r="K26"/>
  <c r="L25"/>
  <c r="K25"/>
  <c r="K35"/>
  <c r="K28"/>
  <c r="M6"/>
  <c r="M9" s="1"/>
  <c r="K20"/>
  <c r="K13"/>
  <c r="H23"/>
  <c r="J23" s="1"/>
  <c r="H22"/>
  <c r="H21"/>
  <c r="H20"/>
  <c r="J20" s="1"/>
  <c r="H19"/>
  <c r="H18"/>
  <c r="H17"/>
  <c r="H16"/>
  <c r="J16" s="1"/>
  <c r="H15"/>
  <c r="H14"/>
  <c r="H13"/>
  <c r="J13" s="1"/>
  <c r="H12"/>
  <c r="H11"/>
  <c r="H10"/>
  <c r="H9"/>
  <c r="J9" s="1"/>
  <c r="H8"/>
  <c r="J8" s="1"/>
  <c r="H7"/>
  <c r="J7" s="1"/>
  <c r="I7"/>
  <c r="H6"/>
  <c r="I6" s="1"/>
  <c r="C23"/>
  <c r="D23" s="1"/>
  <c r="C16"/>
  <c r="D16" s="1"/>
  <c r="B22"/>
  <c r="J22" s="1"/>
  <c r="B21"/>
  <c r="B19"/>
  <c r="J19" s="1"/>
  <c r="K23" s="1"/>
  <c r="B18"/>
  <c r="B17"/>
  <c r="J17" s="1"/>
  <c r="B14"/>
  <c r="B15"/>
  <c r="J15" s="1"/>
  <c r="K19" s="1"/>
  <c r="C20"/>
  <c r="D20" s="1"/>
  <c r="C13"/>
  <c r="D13" s="1"/>
  <c r="C22"/>
  <c r="D22" s="1"/>
  <c r="C21"/>
  <c r="D21" s="1"/>
  <c r="C19"/>
  <c r="D19" s="1"/>
  <c r="C18"/>
  <c r="D18" s="1"/>
  <c r="C17"/>
  <c r="D17" s="1"/>
  <c r="C15"/>
  <c r="D15" s="1"/>
  <c r="C14"/>
  <c r="D14" s="1"/>
  <c r="C10"/>
  <c r="D10" s="1"/>
  <c r="B10"/>
  <c r="C9"/>
  <c r="F9" s="1"/>
  <c r="C8"/>
  <c r="F8" s="1"/>
  <c r="C7"/>
  <c r="F7" s="1"/>
  <c r="C6"/>
  <c r="F6" s="1"/>
  <c r="E19" i="7" l="1"/>
  <c r="D15"/>
  <c r="F20"/>
  <c r="D17"/>
  <c r="E20"/>
  <c r="F19"/>
  <c r="D16"/>
  <c r="I57"/>
  <c r="L57" s="1"/>
  <c r="J58"/>
  <c r="I59"/>
  <c r="J60"/>
  <c r="I63"/>
  <c r="L63" s="1"/>
  <c r="J53"/>
  <c r="J54"/>
  <c r="C40"/>
  <c r="E44" s="1"/>
  <c r="C19"/>
  <c r="D19" s="1"/>
  <c r="C9"/>
  <c r="D9" s="1"/>
  <c r="C8"/>
  <c r="C10"/>
  <c r="D10" s="1"/>
  <c r="J4"/>
  <c r="I24"/>
  <c r="L27" s="1"/>
  <c r="I27"/>
  <c r="I30"/>
  <c r="L33" s="1"/>
  <c r="I4"/>
  <c r="I5"/>
  <c r="D7"/>
  <c r="I8"/>
  <c r="I9"/>
  <c r="I10"/>
  <c r="I11"/>
  <c r="I12"/>
  <c r="I13"/>
  <c r="I14"/>
  <c r="E24"/>
  <c r="I26"/>
  <c r="I32"/>
  <c r="L35" s="1"/>
  <c r="F4"/>
  <c r="F5"/>
  <c r="I28"/>
  <c r="C39"/>
  <c r="D39" s="1"/>
  <c r="I39"/>
  <c r="J51"/>
  <c r="D4"/>
  <c r="D5"/>
  <c r="F7"/>
  <c r="I7"/>
  <c r="I15"/>
  <c r="I16"/>
  <c r="I17"/>
  <c r="I18"/>
  <c r="I21"/>
  <c r="L39"/>
  <c r="E43"/>
  <c r="F42"/>
  <c r="N6"/>
  <c r="M5"/>
  <c r="N7"/>
  <c r="M6"/>
  <c r="N5"/>
  <c r="L10"/>
  <c r="D6"/>
  <c r="F6"/>
  <c r="I6"/>
  <c r="J8"/>
  <c r="K8" s="1"/>
  <c r="J9"/>
  <c r="J10"/>
  <c r="K14" s="1"/>
  <c r="D11"/>
  <c r="J12"/>
  <c r="J13"/>
  <c r="D14"/>
  <c r="J15"/>
  <c r="J16"/>
  <c r="J17"/>
  <c r="K21" s="1"/>
  <c r="D18"/>
  <c r="J18"/>
  <c r="K23" s="1"/>
  <c r="J19"/>
  <c r="J20"/>
  <c r="F23"/>
  <c r="C23" s="1"/>
  <c r="I23"/>
  <c r="L26" s="1"/>
  <c r="J24"/>
  <c r="K28" s="1"/>
  <c r="I25"/>
  <c r="L28" s="1"/>
  <c r="J26"/>
  <c r="J29"/>
  <c r="J31"/>
  <c r="K35" s="1"/>
  <c r="J33"/>
  <c r="K38" s="1"/>
  <c r="J34"/>
  <c r="K39" s="1"/>
  <c r="J35"/>
  <c r="K40" s="1"/>
  <c r="J36"/>
  <c r="I38"/>
  <c r="D40"/>
  <c r="I40"/>
  <c r="I41"/>
  <c r="K41"/>
  <c r="F43"/>
  <c r="J44"/>
  <c r="K44" s="1"/>
  <c r="I45"/>
  <c r="J46"/>
  <c r="K50" s="1"/>
  <c r="I48"/>
  <c r="L48" s="1"/>
  <c r="J49"/>
  <c r="K52" s="1"/>
  <c r="I50"/>
  <c r="I51"/>
  <c r="I52"/>
  <c r="I53"/>
  <c r="I54"/>
  <c r="J55"/>
  <c r="I19"/>
  <c r="I20"/>
  <c r="J25"/>
  <c r="K29" s="1"/>
  <c r="J27"/>
  <c r="K31" s="1"/>
  <c r="I29"/>
  <c r="L32" s="1"/>
  <c r="J30"/>
  <c r="K34" s="1"/>
  <c r="I31"/>
  <c r="L34" s="1"/>
  <c r="J32"/>
  <c r="K36" s="1"/>
  <c r="J56" i="3"/>
  <c r="I55"/>
  <c r="I49"/>
  <c r="J43"/>
  <c r="I57"/>
  <c r="I54"/>
  <c r="J51"/>
  <c r="I50"/>
  <c r="J48"/>
  <c r="I47"/>
  <c r="J46"/>
  <c r="J45"/>
  <c r="I44"/>
  <c r="I42"/>
  <c r="J41"/>
  <c r="D35"/>
  <c r="M30"/>
  <c r="N30" s="1"/>
  <c r="F36"/>
  <c r="I36"/>
  <c r="L40" s="1"/>
  <c r="I38"/>
  <c r="L42" s="1"/>
  <c r="J37"/>
  <c r="K42" s="1"/>
  <c r="I35"/>
  <c r="L29"/>
  <c r="M29" s="1"/>
  <c r="N29" s="1"/>
  <c r="K29"/>
  <c r="J10"/>
  <c r="K14" s="1"/>
  <c r="J14"/>
  <c r="J18"/>
  <c r="K22"/>
  <c r="J21"/>
  <c r="I13"/>
  <c r="N9"/>
  <c r="N7"/>
  <c r="M7"/>
  <c r="N8"/>
  <c r="M8"/>
  <c r="K17"/>
  <c r="K21"/>
  <c r="J6"/>
  <c r="K10" s="1"/>
  <c r="I9"/>
  <c r="I23"/>
  <c r="I8"/>
  <c r="I10"/>
  <c r="I16"/>
  <c r="I15"/>
  <c r="I17"/>
  <c r="I19"/>
  <c r="I14"/>
  <c r="L17" s="1"/>
  <c r="I18"/>
  <c r="I21"/>
  <c r="D6"/>
  <c r="D8"/>
  <c r="D7"/>
  <c r="D9"/>
  <c r="I20"/>
  <c r="I22"/>
  <c r="E7"/>
  <c r="E9"/>
  <c r="E6"/>
  <c r="E8"/>
  <c r="B11"/>
  <c r="J11" s="1"/>
  <c r="K15" s="1"/>
  <c r="C11"/>
  <c r="D11" s="1"/>
  <c r="B12"/>
  <c r="J12" s="1"/>
  <c r="K16" s="1"/>
  <c r="C12"/>
  <c r="D12" s="1"/>
  <c r="E13"/>
  <c r="E20"/>
  <c r="F16"/>
  <c r="F23"/>
  <c r="L20" i="7" l="1"/>
  <c r="L24"/>
  <c r="D8"/>
  <c r="F11"/>
  <c r="K25"/>
  <c r="L25"/>
  <c r="L30"/>
  <c r="K49"/>
  <c r="K27"/>
  <c r="C20"/>
  <c r="L19"/>
  <c r="L23"/>
  <c r="K53"/>
  <c r="K55"/>
  <c r="K30"/>
  <c r="K24"/>
  <c r="L31"/>
  <c r="K32"/>
  <c r="L54"/>
  <c r="L53"/>
  <c r="L59"/>
  <c r="L52"/>
  <c r="K60"/>
  <c r="K58"/>
  <c r="K54"/>
  <c r="L17"/>
  <c r="L16"/>
  <c r="L9"/>
  <c r="M9" s="1"/>
  <c r="L18"/>
  <c r="L12"/>
  <c r="L13"/>
  <c r="L11"/>
  <c r="L8"/>
  <c r="M8" s="1"/>
  <c r="N8" s="1"/>
  <c r="L15"/>
  <c r="L41"/>
  <c r="F26"/>
  <c r="C26" s="1"/>
  <c r="D23"/>
  <c r="C43"/>
  <c r="B43"/>
  <c r="K19"/>
  <c r="K17"/>
  <c r="K13"/>
  <c r="L38"/>
  <c r="K10"/>
  <c r="K20"/>
  <c r="K16"/>
  <c r="K12"/>
  <c r="K15"/>
  <c r="K9"/>
  <c r="N9" s="1"/>
  <c r="L40"/>
  <c r="M32" i="3"/>
  <c r="N32" s="1"/>
  <c r="M33"/>
  <c r="M34"/>
  <c r="N34" s="1"/>
  <c r="N33"/>
  <c r="K18"/>
  <c r="L20"/>
  <c r="L10"/>
  <c r="L13"/>
  <c r="M10"/>
  <c r="N10" s="1"/>
  <c r="L21"/>
  <c r="L22"/>
  <c r="L18"/>
  <c r="K11"/>
  <c r="K12"/>
  <c r="L19"/>
  <c r="I12"/>
  <c r="I11"/>
  <c r="M10" i="7" l="1"/>
  <c r="N10" s="1"/>
  <c r="M14" s="1"/>
  <c r="D20"/>
  <c r="E25"/>
  <c r="F24"/>
  <c r="C24" s="1"/>
  <c r="D24" s="1"/>
  <c r="M11"/>
  <c r="N11" s="1"/>
  <c r="J43"/>
  <c r="I43"/>
  <c r="D26"/>
  <c r="E26"/>
  <c r="E46"/>
  <c r="C46" s="1"/>
  <c r="F45"/>
  <c r="D43"/>
  <c r="M35" i="3"/>
  <c r="M36"/>
  <c r="N36" s="1"/>
  <c r="M37"/>
  <c r="N37" s="1"/>
  <c r="M13"/>
  <c r="N13" s="1"/>
  <c r="L12"/>
  <c r="M12" s="1"/>
  <c r="N12" s="1"/>
  <c r="L15"/>
  <c r="L11"/>
  <c r="M11" s="1"/>
  <c r="N11" s="1"/>
  <c r="L14"/>
  <c r="L43" i="7" l="1"/>
  <c r="L46"/>
  <c r="K43"/>
  <c r="M13"/>
  <c r="N13" s="1"/>
  <c r="F33"/>
  <c r="E33" s="1"/>
  <c r="D30"/>
  <c r="M12"/>
  <c r="N12" s="1"/>
  <c r="D46"/>
  <c r="M41" i="3"/>
  <c r="N41" s="1"/>
  <c r="N35"/>
  <c r="M42" s="1"/>
  <c r="N42" s="1"/>
  <c r="M46" s="1"/>
  <c r="M15"/>
  <c r="M14"/>
  <c r="N14" s="1"/>
  <c r="N15"/>
  <c r="M16"/>
  <c r="M16" i="7" l="1"/>
  <c r="N16" s="1"/>
  <c r="M15"/>
  <c r="N15" s="1"/>
  <c r="E38"/>
  <c r="C38" s="1"/>
  <c r="D33"/>
  <c r="M17"/>
  <c r="N17" s="1"/>
  <c r="M45" i="3"/>
  <c r="N45" s="1"/>
  <c r="M40"/>
  <c r="N40" s="1"/>
  <c r="M43" s="1"/>
  <c r="N43" s="1"/>
  <c r="M18"/>
  <c r="M19"/>
  <c r="N19" s="1"/>
  <c r="N18"/>
  <c r="M17"/>
  <c r="N17" s="1"/>
  <c r="M19" i="7" l="1"/>
  <c r="N19" s="1"/>
  <c r="M18"/>
  <c r="N18" s="1"/>
  <c r="M20"/>
  <c r="N20" s="1"/>
  <c r="M21"/>
  <c r="E42"/>
  <c r="F41"/>
  <c r="C41" s="1"/>
  <c r="D38"/>
  <c r="M44" i="3"/>
  <c r="N44" s="1"/>
  <c r="M49" s="1"/>
  <c r="M21"/>
  <c r="N21" s="1"/>
  <c r="M20"/>
  <c r="M22"/>
  <c r="N22" s="1"/>
  <c r="M23" i="7" l="1"/>
  <c r="N23" s="1"/>
  <c r="E41"/>
  <c r="D41"/>
  <c r="M24"/>
  <c r="N24" s="1"/>
  <c r="M25"/>
  <c r="N25" s="1"/>
  <c r="M29" s="1"/>
  <c r="C42"/>
  <c r="B42"/>
  <c r="N49" i="3"/>
  <c r="M47"/>
  <c r="N47" s="1"/>
  <c r="M51"/>
  <c r="N20"/>
  <c r="M27" i="7" l="1"/>
  <c r="N27" s="1"/>
  <c r="M26"/>
  <c r="N26" s="1"/>
  <c r="J42"/>
  <c r="I42"/>
  <c r="M28"/>
  <c r="N28" s="1"/>
  <c r="F47"/>
  <c r="E45"/>
  <c r="C45" s="1"/>
  <c r="D42"/>
  <c r="M50" i="3"/>
  <c r="N50" s="1"/>
  <c r="M53"/>
  <c r="N53" s="1"/>
  <c r="K46" i="7" l="1"/>
  <c r="K42"/>
  <c r="M32"/>
  <c r="N32" s="1"/>
  <c r="M36" s="1"/>
  <c r="D45"/>
  <c r="L45"/>
  <c r="L42"/>
  <c r="I47"/>
  <c r="J47"/>
  <c r="M30"/>
  <c r="N30" s="1"/>
  <c r="M33" s="1"/>
  <c r="M31"/>
  <c r="N31" s="1"/>
  <c r="M52" i="3"/>
  <c r="N52" s="1"/>
  <c r="M55"/>
  <c r="N55" s="1"/>
  <c r="K51" i="7" l="1"/>
  <c r="K47"/>
  <c r="L50"/>
  <c r="L47"/>
  <c r="M35"/>
  <c r="N35" s="1"/>
  <c r="M34"/>
  <c r="N34" s="1"/>
  <c r="D48"/>
  <c r="D47"/>
  <c r="E47"/>
  <c r="D51"/>
  <c r="N33"/>
  <c r="N56" i="3"/>
  <c r="M54"/>
  <c r="M39" i="7" l="1"/>
  <c r="N39" s="1"/>
  <c r="M38"/>
  <c r="N38" s="1"/>
  <c r="M41" s="1"/>
  <c r="M40"/>
  <c r="N40" s="1"/>
  <c r="M44" s="1"/>
  <c r="D53"/>
  <c r="D49"/>
  <c r="N57" i="3"/>
  <c r="D57" i="7" l="1"/>
  <c r="M43"/>
  <c r="N43" s="1"/>
  <c r="M42"/>
  <c r="N42" s="1"/>
  <c r="N41"/>
  <c r="D50"/>
  <c r="M46" l="1"/>
  <c r="N46" s="1"/>
  <c r="M45"/>
  <c r="N45" s="1"/>
  <c r="M47"/>
  <c r="N47" s="1"/>
  <c r="M51" s="1"/>
  <c r="D60"/>
  <c r="D54"/>
  <c r="D52"/>
  <c r="M50" l="1"/>
  <c r="N50" s="1"/>
  <c r="M53" s="1"/>
  <c r="N53" s="1"/>
  <c r="M55" s="1"/>
  <c r="M49"/>
  <c r="N49" s="1"/>
  <c r="M52" s="1"/>
  <c r="N52" s="1"/>
  <c r="M48"/>
  <c r="N48" s="1"/>
  <c r="D58"/>
  <c r="D55"/>
  <c r="N54" l="1"/>
  <c r="M54"/>
  <c r="M57"/>
  <c r="N57" s="1"/>
  <c r="M59" s="1"/>
  <c r="N59" s="1"/>
  <c r="D59"/>
  <c r="M58" l="1"/>
  <c r="N58" s="1"/>
  <c r="M60" s="1"/>
  <c r="D62"/>
  <c r="I61"/>
  <c r="L61" s="1"/>
  <c r="M61" s="1"/>
  <c r="J61"/>
  <c r="D61"/>
  <c r="J62"/>
  <c r="I62"/>
  <c r="L62" s="1"/>
  <c r="N61" l="1"/>
  <c r="M62" s="1"/>
  <c r="N62" s="1"/>
  <c r="M63" s="1"/>
  <c r="N63" s="1"/>
  <c r="D21"/>
  <c r="F21"/>
  <c r="F25"/>
  <c r="C25" s="1"/>
  <c r="D25" l="1"/>
  <c r="F32"/>
  <c r="D29"/>
  <c r="F29"/>
  <c r="E29"/>
</calcChain>
</file>

<file path=xl/sharedStrings.xml><?xml version="1.0" encoding="utf-8"?>
<sst xmlns="http://schemas.openxmlformats.org/spreadsheetml/2006/main" count="119" uniqueCount="24">
  <si>
    <t>M</t>
  </si>
  <si>
    <t>Point</t>
  </si>
  <si>
    <t>x</t>
  </si>
  <si>
    <t>y</t>
  </si>
  <si>
    <t>Iteration</t>
  </si>
  <si>
    <t>f(M)</t>
  </si>
  <si>
    <r>
      <t>M</t>
    </r>
    <r>
      <rPr>
        <vertAlign val="subscript"/>
        <sz val="11"/>
        <color theme="1"/>
        <rFont val="Calibri"/>
        <family val="2"/>
        <scheme val="minor"/>
      </rPr>
      <t>old</t>
    </r>
  </si>
  <si>
    <t>Table 7.1</t>
  </si>
  <si>
    <t>ν =</t>
  </si>
  <si>
    <t>γ =</t>
  </si>
  <si>
    <r>
      <t>m</t>
    </r>
    <r>
      <rPr>
        <vertAlign val="subscript"/>
        <sz val="11"/>
        <color theme="1"/>
        <rFont val="Calibri"/>
        <family val="2"/>
        <scheme val="minor"/>
      </rPr>
      <t>I</t>
    </r>
  </si>
  <si>
    <r>
      <t>m</t>
    </r>
    <r>
      <rPr>
        <vertAlign val="subscript"/>
        <sz val="11"/>
        <color theme="1"/>
        <rFont val="Calibri"/>
        <family val="2"/>
        <scheme val="minor"/>
      </rPr>
      <t>II</t>
    </r>
  </si>
  <si>
    <t>M=</t>
  </si>
  <si>
    <t>ν (radians)</t>
  </si>
  <si>
    <r>
      <t>ν=(C</t>
    </r>
    <r>
      <rPr>
        <vertAlign val="subscript"/>
        <sz val="11"/>
        <color theme="1"/>
        <rFont val="Calibri"/>
        <family val="2"/>
      </rPr>
      <t>I</t>
    </r>
    <r>
      <rPr>
        <sz val="11"/>
        <color theme="1"/>
        <rFont val="Calibri"/>
        <family val="2"/>
      </rPr>
      <t>+C</t>
    </r>
    <r>
      <rPr>
        <vertAlign val="subscript"/>
        <sz val="11"/>
        <color theme="1"/>
        <rFont val="Calibri"/>
        <family val="2"/>
      </rPr>
      <t>II</t>
    </r>
    <r>
      <rPr>
        <sz val="11"/>
        <color theme="1"/>
        <rFont val="Calibri"/>
        <family val="2"/>
      </rPr>
      <t>)/2   (deg)</t>
    </r>
  </si>
  <si>
    <r>
      <t>α=(C</t>
    </r>
    <r>
      <rPr>
        <vertAlign val="subscript"/>
        <sz val="11"/>
        <color theme="1"/>
        <rFont val="Calibri"/>
        <family val="2"/>
      </rPr>
      <t>I</t>
    </r>
    <r>
      <rPr>
        <sz val="11"/>
        <color theme="1"/>
        <rFont val="Calibri"/>
        <family val="2"/>
      </rPr>
      <t>-C</t>
    </r>
    <r>
      <rPr>
        <vertAlign val="subscript"/>
        <sz val="11"/>
        <color theme="1"/>
        <rFont val="Calibri"/>
        <family val="2"/>
      </rPr>
      <t>II</t>
    </r>
    <r>
      <rPr>
        <sz val="11"/>
        <color theme="1"/>
        <rFont val="Calibri"/>
        <family val="2"/>
      </rPr>
      <t>)/2  (deg)</t>
    </r>
  </si>
  <si>
    <t>input</t>
  </si>
  <si>
    <t>μ           (deg)</t>
  </si>
  <si>
    <t xml:space="preserve"> α + μ (deg)</t>
  </si>
  <si>
    <t xml:space="preserve"> α - μ   (deg)</t>
  </si>
  <si>
    <r>
      <t>C</t>
    </r>
    <r>
      <rPr>
        <vertAlign val="subscript"/>
        <sz val="11"/>
        <color theme="1"/>
        <rFont val="Calibri"/>
        <family val="2"/>
      </rPr>
      <t>I</t>
    </r>
    <r>
      <rPr>
        <sz val="11"/>
        <color theme="1"/>
        <rFont val="Calibri"/>
        <family val="2"/>
      </rPr>
      <t xml:space="preserve"> =ν+α (deg)</t>
    </r>
  </si>
  <si>
    <r>
      <t>C</t>
    </r>
    <r>
      <rPr>
        <vertAlign val="subscript"/>
        <sz val="11"/>
        <color theme="1"/>
        <rFont val="Calibri"/>
        <family val="2"/>
      </rPr>
      <t>II</t>
    </r>
    <r>
      <rPr>
        <sz val="11"/>
        <color theme="1"/>
        <rFont val="Calibri"/>
        <family val="2"/>
      </rPr>
      <t xml:space="preserve"> = ν-α  (deg)</t>
    </r>
  </si>
  <si>
    <t>Eq 14.60</t>
  </si>
  <si>
    <t>Mach Angle Calculator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</si>
</sst>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"/>
    <numFmt numFmtId="166" formatCode="0.000"/>
    <numFmt numFmtId="167" formatCode="0.000000000"/>
    <numFmt numFmtId="168" formatCode="0.000000000000"/>
  </numFmts>
  <fonts count="5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9" xfId="0" applyBorder="1"/>
    <xf numFmtId="0" fontId="0" fillId="0" borderId="8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164" fontId="0" fillId="0" borderId="9" xfId="0" applyNumberForma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0" xfId="0" applyBorder="1"/>
    <xf numFmtId="164" fontId="0" fillId="0" borderId="9" xfId="0" applyNumberFormat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0" fillId="0" borderId="7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7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right"/>
    </xf>
    <xf numFmtId="165" fontId="0" fillId="0" borderId="11" xfId="0" applyNumberFormat="1" applyBorder="1" applyAlignment="1">
      <alignment horizontal="left"/>
    </xf>
    <xf numFmtId="0" fontId="4" fillId="2" borderId="11" xfId="0" applyFont="1" applyFill="1" applyBorder="1"/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165" fontId="0" fillId="0" borderId="0" xfId="0" applyNumberForma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2" borderId="7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right"/>
    </xf>
    <xf numFmtId="165" fontId="0" fillId="0" borderId="17" xfId="0" applyNumberFormat="1" applyBorder="1" applyAlignment="1">
      <alignment horizontal="left"/>
    </xf>
    <xf numFmtId="0" fontId="0" fillId="0" borderId="17" xfId="0" applyBorder="1"/>
    <xf numFmtId="0" fontId="4" fillId="2" borderId="17" xfId="0" applyFont="1" applyFill="1" applyBorder="1"/>
    <xf numFmtId="164" fontId="0" fillId="2" borderId="4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 wrapText="1"/>
    </xf>
    <xf numFmtId="164" fontId="0" fillId="2" borderId="7" xfId="0" applyNumberFormat="1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center" vertical="center" wrapText="1"/>
    </xf>
    <xf numFmtId="164" fontId="0" fillId="2" borderId="8" xfId="0" applyNumberFormat="1" applyFon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 wrapText="1"/>
    </xf>
    <xf numFmtId="164" fontId="0" fillId="3" borderId="1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168" fontId="0" fillId="3" borderId="7" xfId="0" applyNumberFormat="1" applyFill="1" applyBorder="1" applyAlignment="1">
      <alignment horizontal="center" vertical="center"/>
    </xf>
    <xf numFmtId="168" fontId="0" fillId="3" borderId="4" xfId="0" applyNumberFormat="1" applyFill="1" applyBorder="1" applyAlignment="1">
      <alignment horizontal="center" vertical="center"/>
    </xf>
    <xf numFmtId="168" fontId="0" fillId="3" borderId="1" xfId="0" applyNumberFormat="1" applyFill="1" applyBorder="1" applyAlignment="1">
      <alignment horizontal="center" vertical="center"/>
    </xf>
    <xf numFmtId="168" fontId="0" fillId="3" borderId="15" xfId="0" applyNumberFormat="1" applyFill="1" applyBorder="1" applyAlignment="1">
      <alignment horizontal="center" vertical="center"/>
    </xf>
    <xf numFmtId="168" fontId="0" fillId="3" borderId="21" xfId="0" applyNumberFormat="1" applyFill="1" applyBorder="1" applyAlignment="1">
      <alignment horizontal="center" vertical="center"/>
    </xf>
    <xf numFmtId="168" fontId="0" fillId="3" borderId="8" xfId="0" applyNumberFormat="1" applyFill="1" applyBorder="1" applyAlignment="1">
      <alignment horizontal="center" vertical="center"/>
    </xf>
    <xf numFmtId="168" fontId="0" fillId="3" borderId="6" xfId="0" applyNumberFormat="1" applyFill="1" applyBorder="1" applyAlignment="1">
      <alignment horizontal="center" vertical="center"/>
    </xf>
    <xf numFmtId="167" fontId="0" fillId="0" borderId="0" xfId="0" applyNumberFormat="1"/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0" fontId="0" fillId="0" borderId="7" xfId="0" applyBorder="1"/>
    <xf numFmtId="0" fontId="2" fillId="0" borderId="7" xfId="0" applyFont="1" applyBorder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/>
    <xf numFmtId="164" fontId="0" fillId="0" borderId="8" xfId="0" applyNumberFormat="1" applyBorder="1"/>
    <xf numFmtId="0" fontId="0" fillId="0" borderId="6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'Example Plot'!$A$1:$A$50</c:f>
              <c:numCache>
                <c:formatCode>General</c:formatCode>
                <c:ptCount val="50"/>
                <c:pt idx="0">
                  <c:v>9.5143644542225836</c:v>
                </c:pt>
                <c:pt idx="1">
                  <c:v>9.5434680571690969</c:v>
                </c:pt>
                <c:pt idx="2">
                  <c:v>9.5609444143465101</c:v>
                </c:pt>
                <c:pt idx="3">
                  <c:v>9.5667722335056258</c:v>
                </c:pt>
                <c:pt idx="4">
                  <c:v>9.82654817824465</c:v>
                </c:pt>
                <c:pt idx="5">
                  <c:v>9.8505656116030824</c:v>
                </c:pt>
                <c:pt idx="6">
                  <c:v>9.8625816481270849</c:v>
                </c:pt>
                <c:pt idx="7">
                  <c:v>10.122348227935023</c:v>
                </c:pt>
                <c:pt idx="8">
                  <c:v>10.153311599700903</c:v>
                </c:pt>
                <c:pt idx="9">
                  <c:v>10.171904725280303</c:v>
                </c:pt>
                <c:pt idx="10">
                  <c:v>10.178104951813754</c:v>
                </c:pt>
                <c:pt idx="11">
                  <c:v>10.469788559193944</c:v>
                </c:pt>
                <c:pt idx="12">
                  <c:v>10.495378160388185</c:v>
                </c:pt>
                <c:pt idx="13">
                  <c:v>10.508180759983063</c:v>
                </c:pt>
                <c:pt idx="14">
                  <c:v>10.800838220074654</c:v>
                </c:pt>
                <c:pt idx="15">
                  <c:v>10.833877032972666</c:v>
                </c:pt>
                <c:pt idx="16">
                  <c:v>10.853716435536825</c:v>
                </c:pt>
                <c:pt idx="17">
                  <c:v>10.860332256511134</c:v>
                </c:pt>
                <c:pt idx="18">
                  <c:v>11.19207513194136</c:v>
                </c:pt>
                <c:pt idx="19">
                  <c:v>11.219430100720635</c:v>
                </c:pt>
                <c:pt idx="20">
                  <c:v>11.233115922142902</c:v>
                </c:pt>
                <c:pt idx="21">
                  <c:v>11.56714125025867</c:v>
                </c:pt>
                <c:pt idx="22">
                  <c:v>11.602524116638604</c:v>
                </c:pt>
                <c:pt idx="23">
                  <c:v>11.623771094614243</c:v>
                </c:pt>
                <c:pt idx="24">
                  <c:v>11.630856298015777</c:v>
                </c:pt>
                <c:pt idx="25">
                  <c:v>12.004834615319233</c:v>
                </c:pt>
                <c:pt idx="26">
                  <c:v>12.034176079902975</c:v>
                </c:pt>
                <c:pt idx="27">
                  <c:v>12.048855754656074</c:v>
                </c:pt>
                <c:pt idx="28">
                  <c:v>12.427122062568774</c:v>
                </c:pt>
                <c:pt idx="29">
                  <c:v>12.465135534516063</c:v>
                </c:pt>
                <c:pt idx="30">
                  <c:v>12.487962158921478</c:v>
                </c:pt>
                <c:pt idx="31">
                  <c:v>12.495574125059351</c:v>
                </c:pt>
                <c:pt idx="32">
                  <c:v>12.912227141301157</c:v>
                </c:pt>
                <c:pt idx="33">
                  <c:v>12.943786397842711</c:v>
                </c:pt>
                <c:pt idx="34">
                  <c:v>12.959575644495937</c:v>
                </c:pt>
                <c:pt idx="35">
                  <c:v>13.353782857022008</c:v>
                </c:pt>
                <c:pt idx="36">
                  <c:v>13.422641609050505</c:v>
                </c:pt>
                <c:pt idx="37">
                  <c:v>13.447221654545388</c:v>
                </c:pt>
                <c:pt idx="38">
                  <c:v>13.45541833183991</c:v>
                </c:pt>
                <c:pt idx="39" formatCode="0.0000">
                  <c:v>13.94763182544771</c:v>
                </c:pt>
                <c:pt idx="40" formatCode="0.0000">
                  <c:v>13.977061621907723</c:v>
                </c:pt>
                <c:pt idx="41" formatCode="0.0000">
                  <c:v>14.368029875630638</c:v>
                </c:pt>
                <c:pt idx="42" formatCode="0.0000">
                  <c:v>14.525935060706599</c:v>
                </c:pt>
                <c:pt idx="43" formatCode="0.0000">
                  <c:v>14.534946986408793</c:v>
                </c:pt>
                <c:pt idx="44" formatCode="0.0000">
                  <c:v>15.122545118819641</c:v>
                </c:pt>
                <c:pt idx="45" formatCode="0.0000">
                  <c:v>15.453568572785612</c:v>
                </c:pt>
                <c:pt idx="46" formatCode="0.0000">
                  <c:v>15.751580153864138</c:v>
                </c:pt>
                <c:pt idx="47" formatCode="0.0000">
                  <c:v>16.690487763025757</c:v>
                </c:pt>
                <c:pt idx="48" formatCode="0.0000">
                  <c:v>18.016960562133374</c:v>
                </c:pt>
                <c:pt idx="49" formatCode="0.0000">
                  <c:v>19.468473328255993</c:v>
                </c:pt>
              </c:numCache>
            </c:numRef>
          </c:xVal>
          <c:yVal>
            <c:numRef>
              <c:f>'Example Plot'!$B$1:$B$50</c:f>
              <c:numCache>
                <c:formatCode>General</c:formatCode>
                <c:ptCount val="50"/>
                <c:pt idx="0">
                  <c:v>1</c:v>
                </c:pt>
                <c:pt idx="1">
                  <c:v>0.66734429612256219</c:v>
                </c:pt>
                <c:pt idx="2">
                  <c:v>0.33387553601680742</c:v>
                </c:pt>
                <c:pt idx="3">
                  <c:v>0</c:v>
                </c:pt>
                <c:pt idx="4">
                  <c:v>0.85971156718772801</c:v>
                </c:pt>
                <c:pt idx="5">
                  <c:v>0.51624626838600918</c:v>
                </c:pt>
                <c:pt idx="6">
                  <c:v>0.1721520030279052</c:v>
                </c:pt>
                <c:pt idx="7">
                  <c:v>1.0639016695899861</c:v>
                </c:pt>
                <c:pt idx="8">
                  <c:v>0.7099887108361459</c:v>
                </c:pt>
                <c:pt idx="9">
                  <c:v>0.35521074020353227</c:v>
                </c:pt>
                <c:pt idx="10">
                  <c:v>0</c:v>
                </c:pt>
                <c:pt idx="11">
                  <c:v>0.91598780844288696</c:v>
                </c:pt>
                <c:pt idx="12">
                  <c:v>0.55003946212167465</c:v>
                </c:pt>
                <c:pt idx="13">
                  <c:v>0.18342097744295127</c:v>
                </c:pt>
                <c:pt idx="14">
                  <c:v>1.1352138413492372</c:v>
                </c:pt>
                <c:pt idx="15">
                  <c:v>0.7575784819037964</c:v>
                </c:pt>
                <c:pt idx="16">
                  <c:v>0.3790201297741761</c:v>
                </c:pt>
                <c:pt idx="17">
                  <c:v>0</c:v>
                </c:pt>
                <c:pt idx="18">
                  <c:v>0.97917969537527982</c:v>
                </c:pt>
                <c:pt idx="19">
                  <c:v>0.58798541640007596</c:v>
                </c:pt>
                <c:pt idx="20">
                  <c:v>0.19607476776720012</c:v>
                </c:pt>
                <c:pt idx="21">
                  <c:v>1.2157555353184986</c:v>
                </c:pt>
                <c:pt idx="22">
                  <c:v>0.8113275219742333</c:v>
                </c:pt>
                <c:pt idx="23">
                  <c:v>0.40591103101986525</c:v>
                </c:pt>
                <c:pt idx="24">
                  <c:v>0</c:v>
                </c:pt>
                <c:pt idx="25">
                  <c:v>1.0502869363440306</c:v>
                </c:pt>
                <c:pt idx="26">
                  <c:v>0.63068444384881017</c:v>
                </c:pt>
                <c:pt idx="27">
                  <c:v>0.21031355950824962</c:v>
                </c:pt>
                <c:pt idx="28">
                  <c:v>1.3061431609395062</c:v>
                </c:pt>
                <c:pt idx="29">
                  <c:v>0.87164718837247479</c:v>
                </c:pt>
                <c:pt idx="30">
                  <c:v>0.43608924797336579</c:v>
                </c:pt>
                <c:pt idx="31">
                  <c:v>0</c:v>
                </c:pt>
                <c:pt idx="32">
                  <c:v>1.1296734957355998</c:v>
                </c:pt>
                <c:pt idx="33">
                  <c:v>0.67835510062497151</c:v>
                </c:pt>
                <c:pt idx="34">
                  <c:v>0.22621023431682347</c:v>
                </c:pt>
                <c:pt idx="35">
                  <c:v>1.3872154753880908</c:v>
                </c:pt>
                <c:pt idx="36">
                  <c:v>0.93860253558121032</c:v>
                </c:pt>
                <c:pt idx="37">
                  <c:v>0.46958732770281791</c:v>
                </c:pt>
                <c:pt idx="38">
                  <c:v>0</c:v>
                </c:pt>
                <c:pt idx="39" formatCode="0.0000">
                  <c:v>0.73639121504695138</c:v>
                </c:pt>
                <c:pt idx="40" formatCode="0.0000">
                  <c:v>0.24397051811609835</c:v>
                </c:pt>
                <c:pt idx="41" formatCode="0.0000">
                  <c:v>1.4581392065652317</c:v>
                </c:pt>
                <c:pt idx="42" formatCode="0.0000">
                  <c:v>0.50718674243171891</c:v>
                </c:pt>
                <c:pt idx="43" formatCode="0.0000">
                  <c:v>0</c:v>
                </c:pt>
                <c:pt idx="44" formatCode="0.0000">
                  <c:v>0.26389454831537912</c:v>
                </c:pt>
                <c:pt idx="45" formatCode="0.0000">
                  <c:v>1.5150298790089298</c:v>
                </c:pt>
                <c:pt idx="46" formatCode="0.0000">
                  <c:v>0</c:v>
                </c:pt>
                <c:pt idx="47" formatCode="0.0000">
                  <c:v>1.5582240489312247</c:v>
                </c:pt>
                <c:pt idx="48" formatCode="0.0000">
                  <c:v>1.5813777177651633</c:v>
                </c:pt>
                <c:pt idx="49" formatCode="0.0000">
                  <c:v>1.5813777177651638</c:v>
                </c:pt>
              </c:numCache>
            </c:numRef>
          </c:yVal>
        </c:ser>
        <c:axId val="55342592"/>
        <c:axId val="55344128"/>
      </c:scatterChart>
      <c:valAx>
        <c:axId val="55342592"/>
        <c:scaling>
          <c:orientation val="minMax"/>
          <c:max val="20"/>
          <c:min val="9"/>
        </c:scaling>
        <c:axPos val="b"/>
        <c:numFmt formatCode="General" sourceLinked="1"/>
        <c:tickLblPos val="nextTo"/>
        <c:crossAx val="55344128"/>
        <c:crosses val="autoZero"/>
        <c:crossBetween val="midCat"/>
      </c:valAx>
      <c:valAx>
        <c:axId val="55344128"/>
        <c:scaling>
          <c:orientation val="minMax"/>
        </c:scaling>
        <c:axPos val="l"/>
        <c:majorGridlines/>
        <c:numFmt formatCode="General" sourceLinked="1"/>
        <c:tickLblPos val="nextTo"/>
        <c:crossAx val="553425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'Analysis Plot'!$A$1:$A$68</c:f>
              <c:numCache>
                <c:formatCode>0.0000</c:formatCode>
                <c:ptCount val="68"/>
                <c:pt idx="0">
                  <c:v>0.28000000000000003</c:v>
                </c:pt>
                <c:pt idx="1">
                  <c:v>0.29475644373033477</c:v>
                </c:pt>
                <c:pt idx="2">
                  <c:v>0.30365081175636638</c:v>
                </c:pt>
                <c:pt idx="3">
                  <c:v>0.3066349621292393</c:v>
                </c:pt>
                <c:pt idx="4">
                  <c:v>0.30068622055666183</c:v>
                </c:pt>
                <c:pt idx="5">
                  <c:v>0.31295199347606656</c:v>
                </c:pt>
                <c:pt idx="6">
                  <c:v>0.31916416082262694</c:v>
                </c:pt>
                <c:pt idx="7">
                  <c:v>0.31100849774796363</c:v>
                </c:pt>
                <c:pt idx="8">
                  <c:v>0.32720019157063263</c:v>
                </c:pt>
                <c:pt idx="9">
                  <c:v>0.3369992591606068</c:v>
                </c:pt>
                <c:pt idx="10">
                  <c:v>0.34031114381872818</c:v>
                </c:pt>
                <c:pt idx="11">
                  <c:v>0.34520241372057531</c:v>
                </c:pt>
                <c:pt idx="12">
                  <c:v>0.3592207089887004</c:v>
                </c:pt>
                <c:pt idx="13">
                  <c:v>0.36625337970282718</c:v>
                </c:pt>
                <c:pt idx="14">
                  <c:v>0.36667827551366988</c:v>
                </c:pt>
                <c:pt idx="15">
                  <c:v>0.38583154579858009</c:v>
                </c:pt>
                <c:pt idx="16">
                  <c:v>0.39732459710460177</c:v>
                </c:pt>
                <c:pt idx="17">
                  <c:v>0.40111100847598546</c:v>
                </c:pt>
                <c:pt idx="18">
                  <c:v>0.41700074599089515</c:v>
                </c:pt>
                <c:pt idx="19">
                  <c:v>0.43404304888279249</c:v>
                </c:pt>
                <c:pt idx="20">
                  <c:v>0.44247237202956352</c:v>
                </c:pt>
                <c:pt idx="21">
                  <c:v>0.4534217737966596</c:v>
                </c:pt>
                <c:pt idx="22">
                  <c:v>0.47710550109642114</c:v>
                </c:pt>
                <c:pt idx="23">
                  <c:v>0.4914599718067767</c:v>
                </c:pt>
                <c:pt idx="24">
                  <c:v>0.496225433296337</c:v>
                </c:pt>
                <c:pt idx="25">
                  <c:v>0.52783077307897019</c:v>
                </c:pt>
                <c:pt idx="26">
                  <c:v>0.54941357253874368</c:v>
                </c:pt>
                <c:pt idx="27">
                  <c:v>0.56043828769077753</c:v>
                </c:pt>
                <c:pt idx="28">
                  <c:v>0.58775126074745265</c:v>
                </c:pt>
                <c:pt idx="29">
                  <c:v>0.61844788046035992</c:v>
                </c:pt>
                <c:pt idx="30">
                  <c:v>0.63727754680868609</c:v>
                </c:pt>
                <c:pt idx="31">
                  <c:v>0.64376131924196967</c:v>
                </c:pt>
                <c:pt idx="32">
                  <c:v>0.70124770089418742</c:v>
                </c:pt>
                <c:pt idx="33">
                  <c:v>0.73015271471518928</c:v>
                </c:pt>
                <c:pt idx="34">
                  <c:v>0.74493981048396907</c:v>
                </c:pt>
                <c:pt idx="35">
                  <c:v>0.80100928220955681</c:v>
                </c:pt>
                <c:pt idx="36">
                  <c:v>0.84309512333994063</c:v>
                </c:pt>
                <c:pt idx="37">
                  <c:v>0.86889437065229913</c:v>
                </c:pt>
                <c:pt idx="38">
                  <c:v>0.87748502980874565</c:v>
                </c:pt>
                <c:pt idx="39">
                  <c:v>0.98128126933528859</c:v>
                </c:pt>
                <c:pt idx="40">
                  <c:v>1.0218648974677198</c:v>
                </c:pt>
                <c:pt idx="41">
                  <c:v>1.0422424133162045</c:v>
                </c:pt>
                <c:pt idx="42">
                  <c:v>1.1096677300100191</c:v>
                </c:pt>
                <c:pt idx="43">
                  <c:v>1.2129550178213091</c:v>
                </c:pt>
                <c:pt idx="44">
                  <c:v>1.2496924392711697</c:v>
                </c:pt>
                <c:pt idx="45">
                  <c:v>1.262014481561464</c:v>
                </c:pt>
                <c:pt idx="46">
                  <c:v>1.5141449552900168</c:v>
                </c:pt>
                <c:pt idx="47">
                  <c:v>1.5442842981945111</c:v>
                </c:pt>
                <c:pt idx="48">
                  <c:v>1.9119518751682836</c:v>
                </c:pt>
                <c:pt idx="49">
                  <c:v>1.9307851485364951</c:v>
                </c:pt>
                <c:pt idx="50">
                  <c:v>1.5644758704246648</c:v>
                </c:pt>
                <c:pt idx="51">
                  <c:v>2.4459954453022008</c:v>
                </c:pt>
                <c:pt idx="52">
                  <c:v>2.2348294655341738</c:v>
                </c:pt>
                <c:pt idx="53">
                  <c:v>3.1761919155228253</c:v>
                </c:pt>
                <c:pt idx="54">
                  <c:v>3.2287638124818936</c:v>
                </c:pt>
                <c:pt idx="55">
                  <c:v>4.7140965970796271</c:v>
                </c:pt>
                <c:pt idx="56">
                  <c:v>6.9589123926682772</c:v>
                </c:pt>
              </c:numCache>
            </c:numRef>
          </c:xVal>
          <c:yVal>
            <c:numRef>
              <c:f>'Analysis Plot'!$B$1:$B$68</c:f>
              <c:numCache>
                <c:formatCode>0.0000</c:formatCode>
                <c:ptCount val="68"/>
                <c:pt idx="0">
                  <c:v>0.125</c:v>
                </c:pt>
                <c:pt idx="1">
                  <c:v>8.4520050162349189E-2</c:v>
                </c:pt>
                <c:pt idx="2">
                  <c:v>4.2675338542298463E-2</c:v>
                </c:pt>
                <c:pt idx="3">
                  <c:v>0</c:v>
                </c:pt>
                <c:pt idx="4">
                  <c:v>0.10958628010516241</c:v>
                </c:pt>
                <c:pt idx="5">
                  <c:v>6.651999970105181E-2</c:v>
                </c:pt>
                <c:pt idx="6">
                  <c:v>2.2318132252952087E-2</c:v>
                </c:pt>
                <c:pt idx="7">
                  <c:v>0.13880587268571865</c:v>
                </c:pt>
                <c:pt idx="8">
                  <c:v>9.3941270189099327E-2</c:v>
                </c:pt>
                <c:pt idx="9">
                  <c:v>4.7362157176519169E-2</c:v>
                </c:pt>
                <c:pt idx="10">
                  <c:v>0</c:v>
                </c:pt>
                <c:pt idx="11">
                  <c:v>0.1259315636605744</c:v>
                </c:pt>
                <c:pt idx="12">
                  <c:v>7.6460058735835543E-2</c:v>
                </c:pt>
                <c:pt idx="13">
                  <c:v>2.5610931206154739E-2</c:v>
                </c:pt>
                <c:pt idx="14">
                  <c:v>0.16359165465176242</c:v>
                </c:pt>
                <c:pt idx="15">
                  <c:v>0.11089769467625876</c:v>
                </c:pt>
                <c:pt idx="16">
                  <c:v>5.5938230863429611E-2</c:v>
                </c:pt>
                <c:pt idx="17">
                  <c:v>0</c:v>
                </c:pt>
                <c:pt idx="18">
                  <c:v>0.15208327334069571</c:v>
                </c:pt>
                <c:pt idx="19">
                  <c:v>9.2505245815715079E-2</c:v>
                </c:pt>
                <c:pt idx="20">
                  <c:v>3.1034229367064649E-2</c:v>
                </c:pt>
                <c:pt idx="21">
                  <c:v>0.20221234835136123</c:v>
                </c:pt>
                <c:pt idx="22">
                  <c:v>0.13709757724816102</c:v>
                </c:pt>
                <c:pt idx="23">
                  <c:v>6.9307410338810771E-2</c:v>
                </c:pt>
                <c:pt idx="24">
                  <c:v>0</c:v>
                </c:pt>
                <c:pt idx="25">
                  <c:v>0.19243172919351198</c:v>
                </c:pt>
                <c:pt idx="26">
                  <c:v>0.11706073003017842</c:v>
                </c:pt>
                <c:pt idx="27">
                  <c:v>3.9331590581445267E-2</c:v>
                </c:pt>
                <c:pt idx="28">
                  <c:v>0.26201968922463298</c:v>
                </c:pt>
                <c:pt idx="29">
                  <c:v>0.17764284237565187</c:v>
                </c:pt>
                <c:pt idx="30">
                  <c:v>8.9746182476728553E-2</c:v>
                </c:pt>
                <c:pt idx="31">
                  <c:v>0</c:v>
                </c:pt>
                <c:pt idx="32">
                  <c:v>0.25555728130632227</c:v>
                </c:pt>
                <c:pt idx="33">
                  <c:v>0.1554054060309098</c:v>
                </c:pt>
                <c:pt idx="34">
                  <c:v>5.2130151139781734E-2</c:v>
                </c:pt>
                <c:pt idx="35">
                  <c:v>0.35696827775170531</c:v>
                </c:pt>
                <c:pt idx="36">
                  <c:v>0.24197448884441269</c:v>
                </c:pt>
                <c:pt idx="37">
                  <c:v>0.1221739237220385</c:v>
                </c:pt>
                <c:pt idx="38">
                  <c:v>0</c:v>
                </c:pt>
                <c:pt idx="39">
                  <c:v>0.35738419208925981</c:v>
                </c:pt>
                <c:pt idx="40">
                  <c:v>0.2172704943140879</c:v>
                </c:pt>
                <c:pt idx="41">
                  <c:v>7.289971018602974E-2</c:v>
                </c:pt>
                <c:pt idx="42">
                  <c:v>0.46931076530588184</c:v>
                </c:pt>
                <c:pt idx="43">
                  <c:v>0.3478726897922132</c:v>
                </c:pt>
                <c:pt idx="44">
                  <c:v>0.17565772226045356</c:v>
                </c:pt>
                <c:pt idx="45">
                  <c:v>0</c:v>
                </c:pt>
                <c:pt idx="46">
                  <c:v>0.32186061581719494</c:v>
                </c:pt>
                <c:pt idx="47">
                  <c:v>0.10799199377326678</c:v>
                </c:pt>
                <c:pt idx="48">
                  <c:v>0.26870505183861232</c:v>
                </c:pt>
                <c:pt idx="49">
                  <c:v>0</c:v>
                </c:pt>
                <c:pt idx="50">
                  <c:v>0.59972490097532538</c:v>
                </c:pt>
                <c:pt idx="51">
                  <c:v>0.17103243379810909</c:v>
                </c:pt>
                <c:pt idx="52">
                  <c:v>0.74221295625494088</c:v>
                </c:pt>
                <c:pt idx="53">
                  <c:v>0</c:v>
                </c:pt>
                <c:pt idx="54">
                  <c:v>0.88190131901434987</c:v>
                </c:pt>
                <c:pt idx="55">
                  <c:v>0.98576590531644626</c:v>
                </c:pt>
                <c:pt idx="56">
                  <c:v>0.98576590531644626</c:v>
                </c:pt>
              </c:numCache>
            </c:numRef>
          </c:yVal>
        </c:ser>
        <c:axId val="73034368"/>
        <c:axId val="73048448"/>
      </c:scatterChart>
      <c:valAx>
        <c:axId val="73034368"/>
        <c:scaling>
          <c:orientation val="minMax"/>
          <c:max val="7"/>
          <c:min val="0.25"/>
        </c:scaling>
        <c:axPos val="b"/>
        <c:numFmt formatCode="0.0000" sourceLinked="1"/>
        <c:tickLblPos val="nextTo"/>
        <c:crossAx val="73048448"/>
        <c:crosses val="autoZero"/>
        <c:crossBetween val="midCat"/>
      </c:valAx>
      <c:valAx>
        <c:axId val="73048448"/>
        <c:scaling>
          <c:orientation val="minMax"/>
        </c:scaling>
        <c:axPos val="l"/>
        <c:majorGridlines/>
        <c:numFmt formatCode="0.0000" sourceLinked="1"/>
        <c:tickLblPos val="nextTo"/>
        <c:crossAx val="73034368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Eq val="1"/>
            <c:trendlineLbl>
              <c:layout>
                <c:manualLayout>
                  <c:x val="-4.7565374326249008E-2"/>
                  <c:y val="0.1903712992589206"/>
                </c:manualLayout>
              </c:layout>
              <c:numFmt formatCode="0.0000000000000" sourceLinked="0"/>
            </c:trendlineLbl>
          </c:trendline>
          <c:xVal>
            <c:numRef>
              <c:f>'Analysis Plot'!$E$39:$E$50</c:f>
              <c:numCache>
                <c:formatCode>0.0000</c:formatCode>
                <c:ptCount val="12"/>
                <c:pt idx="0">
                  <c:v>0.28000000000000003</c:v>
                </c:pt>
                <c:pt idx="1">
                  <c:v>0.31100849774796363</c:v>
                </c:pt>
                <c:pt idx="2">
                  <c:v>0.36667827551366988</c:v>
                </c:pt>
                <c:pt idx="3">
                  <c:v>0.4534217737966596</c:v>
                </c:pt>
                <c:pt idx="4">
                  <c:v>0.58775126074745265</c:v>
                </c:pt>
                <c:pt idx="5">
                  <c:v>0.80100928220955681</c:v>
                </c:pt>
                <c:pt idx="6">
                  <c:v>1.1096677300100191</c:v>
                </c:pt>
                <c:pt idx="7">
                  <c:v>1.5644758704246648</c:v>
                </c:pt>
                <c:pt idx="8">
                  <c:v>2.2348294655341738</c:v>
                </c:pt>
                <c:pt idx="9">
                  <c:v>3.2287638124818936</c:v>
                </c:pt>
                <c:pt idx="10">
                  <c:v>4.7140965970796271</c:v>
                </c:pt>
                <c:pt idx="11">
                  <c:v>6.9589123926682772</c:v>
                </c:pt>
              </c:numCache>
            </c:numRef>
          </c:xVal>
          <c:yVal>
            <c:numRef>
              <c:f>'Analysis Plot'!$F$39:$F$50</c:f>
              <c:numCache>
                <c:formatCode>0.0000</c:formatCode>
                <c:ptCount val="12"/>
                <c:pt idx="0">
                  <c:v>0.125</c:v>
                </c:pt>
                <c:pt idx="1">
                  <c:v>0.13880587268571865</c:v>
                </c:pt>
                <c:pt idx="2">
                  <c:v>0.16359165465176242</c:v>
                </c:pt>
                <c:pt idx="3">
                  <c:v>0.20221234835136123</c:v>
                </c:pt>
                <c:pt idx="4">
                  <c:v>0.26201968922463298</c:v>
                </c:pt>
                <c:pt idx="5">
                  <c:v>0.35696827775170531</c:v>
                </c:pt>
                <c:pt idx="6">
                  <c:v>0.46931076530588184</c:v>
                </c:pt>
                <c:pt idx="7">
                  <c:v>0.59972490097532538</c:v>
                </c:pt>
                <c:pt idx="8">
                  <c:v>0.74221295625494088</c:v>
                </c:pt>
                <c:pt idx="9">
                  <c:v>0.88190131901434987</c:v>
                </c:pt>
                <c:pt idx="10">
                  <c:v>0.98576590531644626</c:v>
                </c:pt>
                <c:pt idx="11">
                  <c:v>0.98576590531644626</c:v>
                </c:pt>
              </c:numCache>
            </c:numRef>
          </c:yVal>
        </c:ser>
        <c:axId val="73068928"/>
        <c:axId val="73070464"/>
      </c:scatterChart>
      <c:valAx>
        <c:axId val="73068928"/>
        <c:scaling>
          <c:orientation val="minMax"/>
          <c:max val="7"/>
        </c:scaling>
        <c:axPos val="b"/>
        <c:numFmt formatCode="0.0000" sourceLinked="1"/>
        <c:tickLblPos val="nextTo"/>
        <c:crossAx val="73070464"/>
        <c:crosses val="autoZero"/>
        <c:crossBetween val="midCat"/>
      </c:valAx>
      <c:valAx>
        <c:axId val="73070464"/>
        <c:scaling>
          <c:orientation val="minMax"/>
        </c:scaling>
        <c:axPos val="l"/>
        <c:majorGridlines/>
        <c:numFmt formatCode="0.0000" sourceLinked="1"/>
        <c:tickLblPos val="nextTo"/>
        <c:crossAx val="730689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intercept val="0"/>
            <c:dispEq val="1"/>
            <c:trendlineLbl>
              <c:layout>
                <c:manualLayout>
                  <c:x val="-1.5555252583646895E-2"/>
                  <c:y val="0.17869144003169138"/>
                </c:manualLayout>
              </c:layout>
              <c:numFmt formatCode="0.0000000000000" sourceLinked="0"/>
            </c:trendlineLbl>
          </c:trendline>
          <c:xVal>
            <c:numRef>
              <c:f>'Analysis Plot'!$E$54:$E$61</c:f>
              <c:numCache>
                <c:formatCode>0.000000000000</c:formatCode>
                <c:ptCount val="8"/>
                <c:pt idx="1">
                  <c:v>0.80100928220955681</c:v>
                </c:pt>
                <c:pt idx="2">
                  <c:v>1.1096677300100191</c:v>
                </c:pt>
                <c:pt idx="3">
                  <c:v>1.5644758704246648</c:v>
                </c:pt>
                <c:pt idx="4">
                  <c:v>2.2348294655341738</c:v>
                </c:pt>
                <c:pt idx="5">
                  <c:v>3.2287638124818936</c:v>
                </c:pt>
                <c:pt idx="6">
                  <c:v>4.7140965970796271</c:v>
                </c:pt>
                <c:pt idx="7">
                  <c:v>6.9589123926682772</c:v>
                </c:pt>
              </c:numCache>
            </c:numRef>
          </c:xVal>
          <c:yVal>
            <c:numRef>
              <c:f>'Analysis Plot'!$F$54:$F$61</c:f>
              <c:numCache>
                <c:formatCode>0.000000000000</c:formatCode>
                <c:ptCount val="8"/>
                <c:pt idx="1">
                  <c:v>0.35696827775170531</c:v>
                </c:pt>
                <c:pt idx="2">
                  <c:v>0.46931076530588184</c:v>
                </c:pt>
                <c:pt idx="3">
                  <c:v>0.59972490097532538</c:v>
                </c:pt>
                <c:pt idx="4">
                  <c:v>0.74221295625494088</c:v>
                </c:pt>
                <c:pt idx="5">
                  <c:v>0.88190131901434987</c:v>
                </c:pt>
                <c:pt idx="6">
                  <c:v>0.98576590531644626</c:v>
                </c:pt>
                <c:pt idx="7">
                  <c:v>0.98576590531644626</c:v>
                </c:pt>
              </c:numCache>
            </c:numRef>
          </c:yVal>
        </c:ser>
        <c:axId val="73308032"/>
        <c:axId val="73309568"/>
      </c:scatterChart>
      <c:valAx>
        <c:axId val="73308032"/>
        <c:scaling>
          <c:orientation val="minMax"/>
        </c:scaling>
        <c:axPos val="b"/>
        <c:numFmt formatCode="0.000000000000" sourceLinked="1"/>
        <c:tickLblPos val="nextTo"/>
        <c:crossAx val="73309568"/>
        <c:crosses val="autoZero"/>
        <c:crossBetween val="midCat"/>
      </c:valAx>
      <c:valAx>
        <c:axId val="73309568"/>
        <c:scaling>
          <c:orientation val="minMax"/>
        </c:scaling>
        <c:axPos val="l"/>
        <c:majorGridlines/>
        <c:numFmt formatCode="0.000000000000" sourceLinked="1"/>
        <c:tickLblPos val="nextTo"/>
        <c:crossAx val="733080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1299958434456547E-2"/>
          <c:y val="7.4606250665794988E-2"/>
          <c:w val="0.84702119935351583"/>
          <c:h val="0.7980693039687948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Eq val="1"/>
            <c:trendlineLbl>
              <c:layout>
                <c:manualLayout>
                  <c:x val="3.2192684779313095E-3"/>
                  <c:y val="0.24843602020222669"/>
                </c:manualLayout>
              </c:layout>
              <c:numFmt formatCode="0.0000000000000" sourceLinked="0"/>
            </c:trendlineLbl>
          </c:trendline>
          <c:xVal>
            <c:numRef>
              <c:f>'Analysis Plot'!$E$71:$E$95</c:f>
              <c:numCache>
                <c:formatCode>0.000000000</c:formatCode>
                <c:ptCount val="25"/>
                <c:pt idx="0">
                  <c:v>2.96760249</c:v>
                </c:pt>
                <c:pt idx="1">
                  <c:v>3.21760249</c:v>
                </c:pt>
                <c:pt idx="2">
                  <c:v>3.46760249</c:v>
                </c:pt>
                <c:pt idx="3">
                  <c:v>3.71760249</c:v>
                </c:pt>
                <c:pt idx="4">
                  <c:v>3.96760249</c:v>
                </c:pt>
                <c:pt idx="5">
                  <c:v>4.21760249</c:v>
                </c:pt>
                <c:pt idx="6">
                  <c:v>4.46760249</c:v>
                </c:pt>
                <c:pt idx="7">
                  <c:v>4.71760249</c:v>
                </c:pt>
                <c:pt idx="8">
                  <c:v>4.96760249</c:v>
                </c:pt>
                <c:pt idx="9">
                  <c:v>5.21760249</c:v>
                </c:pt>
                <c:pt idx="10">
                  <c:v>5.46760249</c:v>
                </c:pt>
                <c:pt idx="11">
                  <c:v>5.71760249</c:v>
                </c:pt>
                <c:pt idx="12">
                  <c:v>5.96760249</c:v>
                </c:pt>
                <c:pt idx="13">
                  <c:v>6.21760249</c:v>
                </c:pt>
                <c:pt idx="14">
                  <c:v>6.46760249</c:v>
                </c:pt>
                <c:pt idx="15">
                  <c:v>6.71760249</c:v>
                </c:pt>
                <c:pt idx="16">
                  <c:v>6.96760249</c:v>
                </c:pt>
                <c:pt idx="17">
                  <c:v>7.21760249</c:v>
                </c:pt>
                <c:pt idx="18">
                  <c:v>7.46760249</c:v>
                </c:pt>
                <c:pt idx="19">
                  <c:v>7.71760249</c:v>
                </c:pt>
                <c:pt idx="20">
                  <c:v>7.96760249</c:v>
                </c:pt>
                <c:pt idx="21">
                  <c:v>8.2176024900000009</c:v>
                </c:pt>
                <c:pt idx="22">
                  <c:v>8.4676024900000009</c:v>
                </c:pt>
                <c:pt idx="23">
                  <c:v>8.7176024900000009</c:v>
                </c:pt>
                <c:pt idx="24">
                  <c:v>8.8260000000000005</c:v>
                </c:pt>
              </c:numCache>
            </c:numRef>
          </c:xVal>
          <c:yVal>
            <c:numRef>
              <c:f>'Analysis Plot'!$F$71:$F$95</c:f>
              <c:numCache>
                <c:formatCode>General</c:formatCode>
                <c:ptCount val="25"/>
                <c:pt idx="0">
                  <c:v>0.86188772410480441</c:v>
                </c:pt>
                <c:pt idx="1">
                  <c:v>0.890695547815892</c:v>
                </c:pt>
                <c:pt idx="2">
                  <c:v>0.91479013455245028</c:v>
                </c:pt>
                <c:pt idx="3">
                  <c:v>0.93458171652882926</c:v>
                </c:pt>
                <c:pt idx="4">
                  <c:v>0.95048052595937871</c:v>
                </c:pt>
                <c:pt idx="5">
                  <c:v>0.96289679505844883</c:v>
                </c:pt>
                <c:pt idx="6">
                  <c:v>0.9722407560403894</c:v>
                </c:pt>
                <c:pt idx="7">
                  <c:v>0.97892264111955085</c:v>
                </c:pt>
                <c:pt idx="8">
                  <c:v>0.98335268251028274</c:v>
                </c:pt>
                <c:pt idx="9">
                  <c:v>0.98594111242693505</c:v>
                </c:pt>
                <c:pt idx="10">
                  <c:v>0.98709816308385823</c:v>
                </c:pt>
                <c:pt idx="11">
                  <c:v>0.98723406669540181</c:v>
                </c:pt>
                <c:pt idx="12">
                  <c:v>0.9867590554759158</c:v>
                </c:pt>
                <c:pt idx="13">
                  <c:v>0.98608336163975108</c:v>
                </c:pt>
                <c:pt idx="14">
                  <c:v>0.98561721740125674</c:v>
                </c:pt>
                <c:pt idx="15">
                  <c:v>0.98577085497478234</c:v>
                </c:pt>
                <c:pt idx="16">
                  <c:v>0.9869545065746792</c:v>
                </c:pt>
                <c:pt idx="17">
                  <c:v>0.98957840441529643</c:v>
                </c:pt>
                <c:pt idx="18">
                  <c:v>0.99405278071098402</c:v>
                </c:pt>
                <c:pt idx="19">
                  <c:v>1.0007878676760924</c:v>
                </c:pt>
                <c:pt idx="20">
                  <c:v>1.0101938975249716</c:v>
                </c:pt>
                <c:pt idx="21">
                  <c:v>1.0226811024719715</c:v>
                </c:pt>
                <c:pt idx="22">
                  <c:v>1.0386597147314414</c:v>
                </c:pt>
                <c:pt idx="23">
                  <c:v>1.058539966517732</c:v>
                </c:pt>
                <c:pt idx="24">
                  <c:v>1.0684758825623037</c:v>
                </c:pt>
              </c:numCache>
            </c:numRef>
          </c:yVal>
        </c:ser>
        <c:axId val="73334144"/>
        <c:axId val="73344128"/>
      </c:scatterChart>
      <c:valAx>
        <c:axId val="73334144"/>
        <c:scaling>
          <c:orientation val="minMax"/>
        </c:scaling>
        <c:axPos val="b"/>
        <c:numFmt formatCode="0.000000000" sourceLinked="1"/>
        <c:tickLblPos val="nextTo"/>
        <c:crossAx val="73344128"/>
        <c:crosses val="autoZero"/>
        <c:crossBetween val="midCat"/>
      </c:valAx>
      <c:valAx>
        <c:axId val="73344128"/>
        <c:scaling>
          <c:orientation val="minMax"/>
        </c:scaling>
        <c:axPos val="l"/>
        <c:majorGridlines/>
        <c:numFmt formatCode="General" sourceLinked="1"/>
        <c:tickLblPos val="nextTo"/>
        <c:crossAx val="733341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35718</xdr:colOff>
      <xdr:row>18</xdr:row>
      <xdr:rowOff>47625</xdr:rowOff>
    </xdr:from>
    <xdr:to>
      <xdr:col>30</xdr:col>
      <xdr:colOff>464343</xdr:colOff>
      <xdr:row>32</xdr:row>
      <xdr:rowOff>119063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250030</xdr:colOff>
      <xdr:row>18</xdr:row>
      <xdr:rowOff>35719</xdr:rowOff>
    </xdr:from>
    <xdr:to>
      <xdr:col>30</xdr:col>
      <xdr:colOff>535780</xdr:colOff>
      <xdr:row>32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309562</xdr:colOff>
      <xdr:row>37</xdr:row>
      <xdr:rowOff>107155</xdr:rowOff>
    </xdr:from>
    <xdr:to>
      <xdr:col>29</xdr:col>
      <xdr:colOff>35718</xdr:colOff>
      <xdr:row>51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158749</xdr:colOff>
      <xdr:row>52</xdr:row>
      <xdr:rowOff>84667</xdr:rowOff>
    </xdr:from>
    <xdr:to>
      <xdr:col>29</xdr:col>
      <xdr:colOff>243416</xdr:colOff>
      <xdr:row>64</xdr:row>
      <xdr:rowOff>31750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508000</xdr:colOff>
      <xdr:row>71</xdr:row>
      <xdr:rowOff>52916</xdr:rowOff>
    </xdr:from>
    <xdr:to>
      <xdr:col>25</xdr:col>
      <xdr:colOff>253999</xdr:colOff>
      <xdr:row>85</xdr:row>
      <xdr:rowOff>127000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B57"/>
  <sheetViews>
    <sheetView topLeftCell="A34" zoomScale="90" zoomScaleNormal="90" workbookViewId="0">
      <selection activeCell="J51" sqref="J51"/>
    </sheetView>
  </sheetViews>
  <sheetFormatPr defaultRowHeight="15"/>
  <cols>
    <col min="1" max="2" width="11.140625" customWidth="1"/>
    <col min="3" max="3" width="11.42578125" customWidth="1"/>
    <col min="5" max="7" width="9.28515625" bestFit="1" customWidth="1"/>
    <col min="11" max="11" width="11.42578125" customWidth="1"/>
    <col min="12" max="12" width="10.5703125" bestFit="1" customWidth="1"/>
    <col min="13" max="13" width="12" bestFit="1" customWidth="1"/>
    <col min="14" max="14" width="10.5703125" bestFit="1" customWidth="1"/>
    <col min="15" max="15" width="8.42578125" customWidth="1"/>
    <col min="16" max="16" width="8" customWidth="1"/>
    <col min="17" max="17" width="9.5703125" customWidth="1"/>
  </cols>
  <sheetData>
    <row r="3" spans="1:28">
      <c r="A3" s="22"/>
      <c r="B3" s="23" t="s">
        <v>8</v>
      </c>
      <c r="C3" s="24">
        <v>0.46039999999999998</v>
      </c>
      <c r="D3" s="23" t="s">
        <v>9</v>
      </c>
      <c r="E3" s="24">
        <v>1.4</v>
      </c>
      <c r="F3" s="22"/>
      <c r="G3" s="22"/>
      <c r="H3" s="22"/>
      <c r="I3" s="22"/>
      <c r="J3" s="22"/>
      <c r="K3" s="22"/>
      <c r="L3" s="22"/>
      <c r="M3" s="22"/>
      <c r="N3" s="22"/>
    </row>
    <row r="4" spans="1:28" ht="15.75" thickBot="1">
      <c r="A4" s="77"/>
      <c r="B4" s="78" t="s">
        <v>12</v>
      </c>
      <c r="C4" s="79">
        <v>2</v>
      </c>
      <c r="D4" s="79"/>
      <c r="E4" s="77"/>
      <c r="F4" s="80" t="s">
        <v>16</v>
      </c>
      <c r="G4" s="77"/>
      <c r="H4" s="77"/>
      <c r="I4" s="77"/>
      <c r="J4" s="77"/>
      <c r="K4" s="81" t="s">
        <v>22</v>
      </c>
      <c r="L4" s="81"/>
      <c r="M4" s="81"/>
      <c r="N4" s="82"/>
      <c r="O4" s="64"/>
      <c r="P4" s="86"/>
      <c r="Q4" s="87"/>
      <c r="R4" s="88"/>
      <c r="S4" s="89"/>
      <c r="T4" s="90"/>
      <c r="U4" s="64"/>
      <c r="V4" s="64"/>
      <c r="W4" s="64"/>
      <c r="X4" s="64"/>
      <c r="Y4" s="70"/>
      <c r="Z4" s="70"/>
      <c r="AA4" s="70"/>
      <c r="AB4" s="70"/>
    </row>
    <row r="5" spans="1:28" ht="33.75" customHeight="1" thickBot="1">
      <c r="A5" s="52" t="s">
        <v>1</v>
      </c>
      <c r="B5" s="53" t="s">
        <v>15</v>
      </c>
      <c r="C5" s="53" t="s">
        <v>14</v>
      </c>
      <c r="D5" s="53" t="s">
        <v>13</v>
      </c>
      <c r="E5" s="53" t="s">
        <v>20</v>
      </c>
      <c r="F5" s="53" t="s">
        <v>21</v>
      </c>
      <c r="G5" s="53" t="s">
        <v>0</v>
      </c>
      <c r="H5" s="53" t="s">
        <v>17</v>
      </c>
      <c r="I5" s="53" t="s">
        <v>18</v>
      </c>
      <c r="J5" s="53" t="s">
        <v>19</v>
      </c>
      <c r="K5" s="54" t="s">
        <v>10</v>
      </c>
      <c r="L5" s="54" t="s">
        <v>11</v>
      </c>
      <c r="M5" s="54" t="s">
        <v>2</v>
      </c>
      <c r="N5" s="55" t="s">
        <v>3</v>
      </c>
      <c r="O5" s="71"/>
      <c r="P5" s="91"/>
      <c r="Q5" s="91"/>
      <c r="R5" s="91"/>
      <c r="S5" s="91"/>
      <c r="T5" s="91"/>
      <c r="U5" s="72"/>
      <c r="V5" s="72"/>
      <c r="W5" s="72"/>
      <c r="X5" s="72"/>
      <c r="Y5" s="70"/>
      <c r="Z5" s="70"/>
      <c r="AA5" s="70"/>
      <c r="AB5" s="70"/>
    </row>
    <row r="6" spans="1:28">
      <c r="A6" s="33">
        <v>1</v>
      </c>
      <c r="B6" s="34">
        <v>6</v>
      </c>
      <c r="C6" s="35">
        <f t="shared" ref="C6:C9" si="0">(180/PI())*((SQRT((gam+1)/(gam-1))*ATAN(SQRT((gam-1)/(gam+1)*(G6^2-1)))-ATAN(SQRT(G6^2-1))))</f>
        <v>26.379760813416457</v>
      </c>
      <c r="D6" s="35">
        <f>C6*(PI()/180)</f>
        <v>0.46041368208269473</v>
      </c>
      <c r="E6" s="35">
        <f>C6+B6</f>
        <v>32.379760813416453</v>
      </c>
      <c r="F6" s="35">
        <f>C6-B6</f>
        <v>20.379760813416457</v>
      </c>
      <c r="G6" s="34">
        <v>2</v>
      </c>
      <c r="H6" s="36">
        <f>(180/PI())*ASIN(1/G6)</f>
        <v>30.000000000000004</v>
      </c>
      <c r="I6" s="36">
        <f>H6+B6</f>
        <v>36</v>
      </c>
      <c r="J6" s="36">
        <f>B6-H6</f>
        <v>-24.000000000000004</v>
      </c>
      <c r="K6" s="37"/>
      <c r="L6" s="37"/>
      <c r="M6" s="38">
        <f>1/TAN(RADIANS(6))</f>
        <v>9.5143644542225836</v>
      </c>
      <c r="N6" s="39">
        <v>1</v>
      </c>
      <c r="O6" s="70"/>
      <c r="P6" s="92"/>
      <c r="Q6" s="92"/>
      <c r="R6" s="68"/>
      <c r="S6" s="68"/>
      <c r="T6" s="68"/>
      <c r="U6" s="73"/>
      <c r="V6" s="68"/>
      <c r="W6" s="68"/>
      <c r="X6" s="68"/>
      <c r="Y6" s="69"/>
      <c r="Z6" s="69"/>
      <c r="AA6" s="69"/>
      <c r="AB6" s="74"/>
    </row>
    <row r="7" spans="1:28">
      <c r="A7" s="40">
        <v>2</v>
      </c>
      <c r="B7" s="9">
        <v>4</v>
      </c>
      <c r="C7" s="11">
        <f t="shared" si="0"/>
        <v>26.379760813416457</v>
      </c>
      <c r="D7" s="11">
        <f t="shared" ref="D7:D57" si="1">C7*(PI()/180)</f>
        <v>0.46041368208269473</v>
      </c>
      <c r="E7" s="11">
        <f>C7+B7</f>
        <v>30.379760813416457</v>
      </c>
      <c r="F7" s="11">
        <f>C7-B7</f>
        <v>22.379760813416457</v>
      </c>
      <c r="G7" s="9">
        <v>2</v>
      </c>
      <c r="H7" s="7">
        <f t="shared" ref="H7:H57" si="2">(180/PI())*ASIN(1/G7)</f>
        <v>30.000000000000004</v>
      </c>
      <c r="I7" s="7">
        <f t="shared" ref="I7:I38" si="3">H7+B7</f>
        <v>34</v>
      </c>
      <c r="J7" s="7">
        <f t="shared" ref="J7:J38" si="4">B7-H7</f>
        <v>-26.000000000000004</v>
      </c>
      <c r="K7" s="14"/>
      <c r="L7" s="14"/>
      <c r="M7" s="18">
        <f>M9*COS(RADIANS(B7))</f>
        <v>9.5434680571690969</v>
      </c>
      <c r="N7" s="41">
        <f>M9*SIN(RADIANS(B7))</f>
        <v>0.66734429612256219</v>
      </c>
      <c r="O7" s="70"/>
      <c r="P7" s="92"/>
      <c r="Q7" s="75"/>
      <c r="R7" s="68"/>
      <c r="S7" s="68"/>
      <c r="T7" s="93"/>
      <c r="U7" s="73"/>
      <c r="V7" s="68"/>
      <c r="W7" s="68"/>
      <c r="X7" s="68"/>
      <c r="Y7" s="69"/>
      <c r="Z7" s="69"/>
      <c r="AA7" s="69"/>
      <c r="AB7" s="74"/>
    </row>
    <row r="8" spans="1:28">
      <c r="A8" s="40">
        <v>3</v>
      </c>
      <c r="B8" s="9">
        <v>2</v>
      </c>
      <c r="C8" s="11">
        <f t="shared" si="0"/>
        <v>26.379760813416457</v>
      </c>
      <c r="D8" s="11">
        <f t="shared" si="1"/>
        <v>0.46041368208269473</v>
      </c>
      <c r="E8" s="11">
        <f>C8+B8</f>
        <v>28.379760813416457</v>
      </c>
      <c r="F8" s="11">
        <f>C8-B8</f>
        <v>24.379760813416457</v>
      </c>
      <c r="G8" s="9">
        <v>2</v>
      </c>
      <c r="H8" s="7">
        <f t="shared" si="2"/>
        <v>30.000000000000004</v>
      </c>
      <c r="I8" s="7">
        <f t="shared" si="3"/>
        <v>32</v>
      </c>
      <c r="J8" s="7">
        <f t="shared" si="4"/>
        <v>-28.000000000000004</v>
      </c>
      <c r="K8" s="14"/>
      <c r="L8" s="14"/>
      <c r="M8" s="18">
        <f>M9*COS(RADIANS(B8))</f>
        <v>9.5609444143465101</v>
      </c>
      <c r="N8" s="41">
        <f>M9*SIN(RADIANS(B8))</f>
        <v>0.33387553601680742</v>
      </c>
      <c r="O8" s="70"/>
      <c r="P8" s="92"/>
      <c r="Q8" s="75"/>
      <c r="R8" s="68"/>
      <c r="S8" s="68"/>
      <c r="T8" s="93"/>
      <c r="U8" s="73"/>
      <c r="V8" s="68"/>
      <c r="W8" s="68"/>
      <c r="X8" s="68"/>
      <c r="Y8" s="69"/>
      <c r="Z8" s="69"/>
      <c r="AA8" s="69"/>
      <c r="AB8" s="74"/>
    </row>
    <row r="9" spans="1:28">
      <c r="A9" s="40">
        <v>4</v>
      </c>
      <c r="B9" s="9">
        <v>0</v>
      </c>
      <c r="C9" s="11">
        <f t="shared" si="0"/>
        <v>26.379760813416457</v>
      </c>
      <c r="D9" s="11">
        <f t="shared" si="1"/>
        <v>0.46041368208269473</v>
      </c>
      <c r="E9" s="11">
        <f>C9+B9</f>
        <v>26.379760813416457</v>
      </c>
      <c r="F9" s="11">
        <f>C9-B9</f>
        <v>26.379760813416457</v>
      </c>
      <c r="G9" s="9">
        <v>2</v>
      </c>
      <c r="H9" s="7">
        <f t="shared" si="2"/>
        <v>30.000000000000004</v>
      </c>
      <c r="I9" s="7">
        <f t="shared" si="3"/>
        <v>30.000000000000004</v>
      </c>
      <c r="J9" s="7">
        <f t="shared" si="4"/>
        <v>-30.000000000000004</v>
      </c>
      <c r="K9" s="14"/>
      <c r="L9" s="14"/>
      <c r="M9" s="18">
        <f>SQRT(M6^2+N6^2)</f>
        <v>9.5667722335056258</v>
      </c>
      <c r="N9" s="41">
        <f>M9*SIN(RADIANS(B9))</f>
        <v>0</v>
      </c>
      <c r="O9" s="70"/>
      <c r="P9" s="92"/>
      <c r="Q9" s="75"/>
      <c r="R9" s="68"/>
      <c r="S9" s="68"/>
      <c r="T9" s="93"/>
      <c r="U9" s="73"/>
      <c r="V9" s="68"/>
      <c r="W9" s="68"/>
      <c r="X9" s="68"/>
      <c r="Y9" s="69"/>
      <c r="Z9" s="69"/>
      <c r="AA9" s="69"/>
      <c r="AB9" s="74"/>
    </row>
    <row r="10" spans="1:28">
      <c r="A10" s="40">
        <v>5</v>
      </c>
      <c r="B10" s="8">
        <f>(E10-F10)/2</f>
        <v>5.0000000000000018</v>
      </c>
      <c r="C10" s="11">
        <f>(E10+F10)/2</f>
        <v>27.379800000000003</v>
      </c>
      <c r="D10" s="11">
        <f t="shared" si="1"/>
        <v>0.47786765853754348</v>
      </c>
      <c r="E10" s="12">
        <v>32.379800000000003</v>
      </c>
      <c r="F10" s="12">
        <v>22.379799999999999</v>
      </c>
      <c r="G10" s="13">
        <v>2.0373000000000001</v>
      </c>
      <c r="H10" s="11">
        <f t="shared" si="2"/>
        <v>29.39618393676232</v>
      </c>
      <c r="I10" s="11">
        <f t="shared" si="3"/>
        <v>34.39618393676232</v>
      </c>
      <c r="J10" s="11">
        <f t="shared" si="4"/>
        <v>-24.39618393676232</v>
      </c>
      <c r="K10" s="15">
        <f>TAN(RADIANS((J6+J10)/2))</f>
        <v>-0.44937779268196504</v>
      </c>
      <c r="L10" s="15">
        <f>TAN(RADIANS((I7+I10)/2))</f>
        <v>0.67955061745159662</v>
      </c>
      <c r="M10" s="19">
        <f>(N6-N7+L10*M7-K10*M6)/(L10-K10)</f>
        <v>9.82654817824465</v>
      </c>
      <c r="N10" s="42">
        <f>N6+K10*(M10-M6)</f>
        <v>0.85971156718772801</v>
      </c>
      <c r="O10" s="70"/>
      <c r="P10" s="92"/>
      <c r="Q10" s="75"/>
      <c r="R10" s="68"/>
      <c r="S10" s="68"/>
      <c r="T10" s="93"/>
      <c r="U10" s="73"/>
      <c r="V10" s="68"/>
      <c r="W10" s="68"/>
      <c r="X10" s="68"/>
      <c r="Y10" s="69"/>
      <c r="Z10" s="69"/>
      <c r="AA10" s="76"/>
      <c r="AB10" s="74"/>
    </row>
    <row r="11" spans="1:28">
      <c r="A11" s="40">
        <v>6</v>
      </c>
      <c r="B11" s="8">
        <f t="shared" ref="B11:B14" si="5">(E11-F11)/2</f>
        <v>3</v>
      </c>
      <c r="C11" s="11">
        <f>(E11+F11)/2</f>
        <v>27.379799999999999</v>
      </c>
      <c r="D11" s="11">
        <f t="shared" si="1"/>
        <v>0.47786765853754343</v>
      </c>
      <c r="E11" s="12">
        <v>30.379799999999999</v>
      </c>
      <c r="F11" s="12">
        <v>24.379799999999999</v>
      </c>
      <c r="G11" s="13">
        <v>2.0373000000000001</v>
      </c>
      <c r="H11" s="11">
        <f t="shared" si="2"/>
        <v>29.39618393676232</v>
      </c>
      <c r="I11" s="11">
        <f t="shared" si="3"/>
        <v>32.39618393676232</v>
      </c>
      <c r="J11" s="11">
        <f t="shared" si="4"/>
        <v>-26.39618393676232</v>
      </c>
      <c r="K11" s="15">
        <f t="shared" ref="K11:K19" si="6">TAN(RADIANS((J7+J11)/2))</f>
        <v>-0.49201963856417963</v>
      </c>
      <c r="L11" s="15">
        <f t="shared" ref="L11:L15" si="7">TAN(RADIANS((I8+I11)/2))</f>
        <v>0.62968710196872313</v>
      </c>
      <c r="M11" s="19">
        <f>(N7-N8+L11*M8-K11*M7)/(L11-K11)</f>
        <v>9.8505656116030824</v>
      </c>
      <c r="N11" s="42">
        <f>N7+K11*(M11-M7)</f>
        <v>0.51624626838600918</v>
      </c>
      <c r="O11" s="70"/>
      <c r="P11" s="92"/>
      <c r="Q11" s="75"/>
      <c r="R11" s="68"/>
      <c r="S11" s="93"/>
      <c r="T11" s="68"/>
      <c r="U11" s="73"/>
      <c r="V11" s="68"/>
      <c r="W11" s="68"/>
      <c r="X11" s="68"/>
      <c r="Y11" s="69"/>
      <c r="Z11" s="69"/>
      <c r="AA11" s="76"/>
      <c r="AB11" s="74"/>
    </row>
    <row r="12" spans="1:28">
      <c r="A12" s="40">
        <v>7</v>
      </c>
      <c r="B12" s="8">
        <f t="shared" si="5"/>
        <v>1</v>
      </c>
      <c r="C12" s="11">
        <f>(E12+F12)/2</f>
        <v>27.379799999999999</v>
      </c>
      <c r="D12" s="11">
        <f t="shared" si="1"/>
        <v>0.47786765853754343</v>
      </c>
      <c r="E12" s="12">
        <v>28.379799999999999</v>
      </c>
      <c r="F12" s="12">
        <v>26.379799999999999</v>
      </c>
      <c r="G12" s="13">
        <v>2.0373000000000001</v>
      </c>
      <c r="H12" s="11">
        <f t="shared" si="2"/>
        <v>29.39618393676232</v>
      </c>
      <c r="I12" s="11">
        <f t="shared" si="3"/>
        <v>30.39618393676232</v>
      </c>
      <c r="J12" s="11">
        <f t="shared" si="4"/>
        <v>-28.39618393676232</v>
      </c>
      <c r="K12" s="15">
        <f t="shared" si="6"/>
        <v>-0.53615242044868883</v>
      </c>
      <c r="L12" s="15">
        <f t="shared" si="7"/>
        <v>0.5819693171301038</v>
      </c>
      <c r="M12" s="19">
        <f>(N8-N9+L12*M9-K12*M8)/(L12-K12)</f>
        <v>9.8625816481270849</v>
      </c>
      <c r="N12" s="42">
        <f>N8+K12*(M12-M8)</f>
        <v>0.1721520030279052</v>
      </c>
      <c r="O12" s="70"/>
      <c r="P12" s="75"/>
      <c r="Q12" s="75"/>
      <c r="R12" s="68"/>
      <c r="S12" s="93"/>
      <c r="T12" s="93"/>
      <c r="U12" s="73"/>
      <c r="V12" s="68"/>
      <c r="W12" s="68"/>
      <c r="X12" s="68"/>
      <c r="Y12" s="69"/>
      <c r="Z12" s="69"/>
      <c r="AA12" s="76"/>
      <c r="AB12" s="74"/>
    </row>
    <row r="13" spans="1:28">
      <c r="A13" s="40">
        <v>8</v>
      </c>
      <c r="B13" s="9">
        <v>6</v>
      </c>
      <c r="C13" s="11">
        <f>F13+B13</f>
        <v>28.379799999999999</v>
      </c>
      <c r="D13" s="11">
        <f t="shared" si="1"/>
        <v>0.49532095105748675</v>
      </c>
      <c r="E13" s="11">
        <f>C13+B13</f>
        <v>34.379800000000003</v>
      </c>
      <c r="F13" s="12">
        <v>22.379799999999999</v>
      </c>
      <c r="G13" s="11">
        <v>2.0732306885756673</v>
      </c>
      <c r="H13" s="11">
        <f t="shared" si="2"/>
        <v>28.838277002697783</v>
      </c>
      <c r="I13" s="11">
        <f t="shared" si="3"/>
        <v>34.838277002697779</v>
      </c>
      <c r="J13" s="11">
        <f t="shared" si="4"/>
        <v>-22.838277002697783</v>
      </c>
      <c r="K13" s="16">
        <f>TAN(RADIANS(6))</f>
        <v>0.10510423526567647</v>
      </c>
      <c r="L13" s="16">
        <f t="shared" si="7"/>
        <v>0.69029772853653404</v>
      </c>
      <c r="M13" s="18">
        <f>(N6-N10+L13*M10-K13*M6)/(L13-K13)</f>
        <v>10.122348227935023</v>
      </c>
      <c r="N13" s="41">
        <f>N10+L13*(M13-M10)</f>
        <v>1.0639016695899861</v>
      </c>
      <c r="O13" s="70"/>
      <c r="P13" s="75"/>
      <c r="Q13" s="75"/>
      <c r="R13" s="68"/>
      <c r="S13" s="93"/>
      <c r="T13" s="93"/>
      <c r="U13" s="73"/>
      <c r="V13" s="68"/>
      <c r="W13" s="68"/>
      <c r="X13" s="68"/>
      <c r="Y13" s="69"/>
      <c r="Z13" s="69"/>
      <c r="AA13" s="69"/>
      <c r="AB13" s="74"/>
    </row>
    <row r="14" spans="1:28">
      <c r="A14" s="40">
        <v>9</v>
      </c>
      <c r="B14" s="8">
        <f t="shared" si="5"/>
        <v>4.0000000000000018</v>
      </c>
      <c r="C14" s="11">
        <f>(E14+F14)/2</f>
        <v>28.379800000000003</v>
      </c>
      <c r="D14" s="11">
        <f t="shared" si="1"/>
        <v>0.4953209510574868</v>
      </c>
      <c r="E14" s="12">
        <v>32.379800000000003</v>
      </c>
      <c r="F14" s="12">
        <v>24.379799999999999</v>
      </c>
      <c r="G14" s="11">
        <v>2.0732306885756673</v>
      </c>
      <c r="H14" s="11">
        <f t="shared" si="2"/>
        <v>28.838277002697783</v>
      </c>
      <c r="I14" s="11">
        <f t="shared" si="3"/>
        <v>32.838277002697787</v>
      </c>
      <c r="J14" s="11">
        <f t="shared" si="4"/>
        <v>-24.838277002697779</v>
      </c>
      <c r="K14" s="16">
        <f>TAN(RADIANS((J10+J14)/2))</f>
        <v>-0.45819956127379907</v>
      </c>
      <c r="L14" s="16">
        <f t="shared" si="7"/>
        <v>0.63995048676759547</v>
      </c>
      <c r="M14" s="18">
        <f>(N10-N11+L14*M11-K14*M10)/(L14-K14)</f>
        <v>10.153311599700903</v>
      </c>
      <c r="N14" s="41">
        <f t="shared" ref="N14:N15" si="8">N11+L14*(M14-M11)</f>
        <v>0.7099887108361459</v>
      </c>
      <c r="O14" s="70"/>
      <c r="P14" s="75"/>
      <c r="Q14" s="75"/>
      <c r="R14" s="68"/>
      <c r="S14" s="93"/>
      <c r="T14" s="93"/>
      <c r="U14" s="73"/>
      <c r="V14" s="68"/>
      <c r="W14" s="68"/>
      <c r="X14" s="68"/>
      <c r="Y14" s="69"/>
      <c r="Z14" s="69"/>
      <c r="AA14" s="69"/>
      <c r="AB14" s="74"/>
    </row>
    <row r="15" spans="1:28">
      <c r="A15" s="40">
        <v>10</v>
      </c>
      <c r="B15" s="8">
        <f t="shared" ref="B15" si="9">(E15-F15)/2</f>
        <v>2</v>
      </c>
      <c r="C15" s="11">
        <f>(E15+F15)/2</f>
        <v>28.379799999999999</v>
      </c>
      <c r="D15" s="11">
        <f t="shared" si="1"/>
        <v>0.49532095105748675</v>
      </c>
      <c r="E15" s="12">
        <v>30.379799999999999</v>
      </c>
      <c r="F15" s="12">
        <v>26.379799999999999</v>
      </c>
      <c r="G15" s="11">
        <v>2.0732306885756673</v>
      </c>
      <c r="H15" s="11">
        <f t="shared" si="2"/>
        <v>28.838277002697783</v>
      </c>
      <c r="I15" s="11">
        <f t="shared" si="3"/>
        <v>30.838277002697783</v>
      </c>
      <c r="J15" s="11">
        <f t="shared" si="4"/>
        <v>-26.838277002697783</v>
      </c>
      <c r="K15" s="16">
        <f t="shared" ref="K15:K16" si="10">TAN(RADIANS((J11+J15)/2))</f>
        <v>-0.50113889448339621</v>
      </c>
      <c r="L15" s="16">
        <f t="shared" si="7"/>
        <v>0.59180433241633623</v>
      </c>
      <c r="M15" s="18">
        <f t="shared" ref="M15" si="11">(N11-N12+L15*M12-K15*M11)/(L15-K15)</f>
        <v>10.171904725280303</v>
      </c>
      <c r="N15" s="41">
        <f t="shared" si="8"/>
        <v>0.35521074020353227</v>
      </c>
      <c r="O15" s="70"/>
      <c r="P15" s="92"/>
      <c r="Q15" s="75"/>
      <c r="R15" s="68"/>
      <c r="S15" s="93"/>
      <c r="T15" s="68"/>
      <c r="U15" s="73"/>
      <c r="V15" s="68"/>
      <c r="W15" s="68"/>
      <c r="X15" s="68"/>
      <c r="Y15" s="69"/>
      <c r="Z15" s="69"/>
      <c r="AA15" s="69"/>
      <c r="AB15" s="74"/>
    </row>
    <row r="16" spans="1:28">
      <c r="A16" s="40">
        <v>11</v>
      </c>
      <c r="B16" s="9">
        <v>0</v>
      </c>
      <c r="C16" s="11">
        <f>E16-B16</f>
        <v>28.379799999999999</v>
      </c>
      <c r="D16" s="11">
        <f t="shared" si="1"/>
        <v>0.49532095105748675</v>
      </c>
      <c r="E16" s="12">
        <v>28.379799999999999</v>
      </c>
      <c r="F16" s="11">
        <f>B16+C16</f>
        <v>28.379799999999999</v>
      </c>
      <c r="G16" s="11">
        <v>2.0732306885756673</v>
      </c>
      <c r="H16" s="11">
        <f t="shared" si="2"/>
        <v>28.838277002697783</v>
      </c>
      <c r="I16" s="11">
        <f t="shared" si="3"/>
        <v>28.838277002697783</v>
      </c>
      <c r="J16" s="11">
        <f t="shared" si="4"/>
        <v>-28.838277002697783</v>
      </c>
      <c r="K16" s="16">
        <f t="shared" si="10"/>
        <v>-0.54560788701318841</v>
      </c>
      <c r="L16" s="16">
        <v>0</v>
      </c>
      <c r="M16" s="18">
        <f>SQRT(M13^2+N13^2)</f>
        <v>10.178104951813754</v>
      </c>
      <c r="N16" s="41">
        <v>0</v>
      </c>
      <c r="O16" s="70"/>
      <c r="P16" s="75"/>
      <c r="Q16" s="75"/>
      <c r="R16" s="68"/>
      <c r="S16" s="93"/>
      <c r="T16" s="93"/>
      <c r="U16" s="73"/>
      <c r="V16" s="68"/>
      <c r="W16" s="68"/>
      <c r="X16" s="68"/>
      <c r="Y16" s="69"/>
      <c r="Z16" s="69"/>
      <c r="AA16" s="69"/>
      <c r="AB16" s="74"/>
    </row>
    <row r="17" spans="1:28">
      <c r="A17" s="40">
        <v>12</v>
      </c>
      <c r="B17" s="8">
        <f t="shared" ref="B17:B19" si="12">(E17-F17)/2</f>
        <v>5.0000000000000018</v>
      </c>
      <c r="C17" s="11">
        <f>(E17+F17)/2</f>
        <v>29.379800000000003</v>
      </c>
      <c r="D17" s="11">
        <f t="shared" si="1"/>
        <v>0.51277424357743007</v>
      </c>
      <c r="E17" s="12">
        <v>34.379800000000003</v>
      </c>
      <c r="F17" s="12">
        <v>24.379799999999999</v>
      </c>
      <c r="G17" s="11">
        <v>2.1104745712903075</v>
      </c>
      <c r="H17" s="11">
        <f t="shared" si="2"/>
        <v>28.283008655664652</v>
      </c>
      <c r="I17" s="11">
        <f t="shared" si="3"/>
        <v>33.283008655664652</v>
      </c>
      <c r="J17" s="11">
        <f t="shared" si="4"/>
        <v>-23.283008655664652</v>
      </c>
      <c r="K17" s="15">
        <f t="shared" si="6"/>
        <v>-0.42572449954542269</v>
      </c>
      <c r="L17" s="15">
        <f t="shared" ref="L17:L22" si="13">TAN(RADIANS((I14+I17)/2))</f>
        <v>0.6509134122646002</v>
      </c>
      <c r="M17" s="19">
        <f>(N13-N14+L17*M14-K17*M13)/(L17-K17)</f>
        <v>10.469788559193944</v>
      </c>
      <c r="N17" s="42">
        <f>N14+L17*(M17-M14)</f>
        <v>0.91598780844288696</v>
      </c>
      <c r="O17" s="70"/>
      <c r="P17" s="75"/>
      <c r="Q17" s="75"/>
      <c r="R17" s="68"/>
      <c r="S17" s="93"/>
      <c r="T17" s="93"/>
      <c r="U17" s="73"/>
      <c r="V17" s="68"/>
      <c r="W17" s="68"/>
      <c r="X17" s="68"/>
      <c r="Y17" s="69"/>
      <c r="Z17" s="69"/>
      <c r="AA17" s="76"/>
      <c r="AB17" s="74"/>
    </row>
    <row r="18" spans="1:28">
      <c r="A18" s="40">
        <v>13</v>
      </c>
      <c r="B18" s="8">
        <f t="shared" si="12"/>
        <v>3.0000000000000018</v>
      </c>
      <c r="C18" s="11">
        <f>(E18+F18)/2</f>
        <v>29.379800000000003</v>
      </c>
      <c r="D18" s="11">
        <f t="shared" si="1"/>
        <v>0.51277424357743007</v>
      </c>
      <c r="E18" s="12">
        <v>32.379800000000003</v>
      </c>
      <c r="F18" s="12">
        <v>26.379799999999999</v>
      </c>
      <c r="G18" s="11">
        <v>2.1104745712903075</v>
      </c>
      <c r="H18" s="11">
        <f t="shared" si="2"/>
        <v>28.283008655664652</v>
      </c>
      <c r="I18" s="11">
        <f t="shared" si="3"/>
        <v>31.283008655664652</v>
      </c>
      <c r="J18" s="11">
        <f t="shared" si="4"/>
        <v>-25.283008655664652</v>
      </c>
      <c r="K18" s="15">
        <f t="shared" si="6"/>
        <v>-0.46759685715289612</v>
      </c>
      <c r="L18" s="15">
        <f t="shared" si="13"/>
        <v>0.60230207730401342</v>
      </c>
      <c r="M18" s="19">
        <f t="shared" ref="M18:M19" si="14">(N14-N15+L18*M15-K18*M14)/(L18-K18)</f>
        <v>10.495378160388185</v>
      </c>
      <c r="N18" s="42">
        <f t="shared" ref="N18:N19" si="15">N15+L18*(M18-M15)</f>
        <v>0.55003946212167465</v>
      </c>
      <c r="O18" s="70"/>
      <c r="P18" s="92"/>
      <c r="Q18" s="75"/>
      <c r="R18" s="68"/>
      <c r="S18" s="93"/>
      <c r="T18" s="93"/>
      <c r="U18" s="67"/>
      <c r="V18" s="68"/>
      <c r="W18" s="68"/>
      <c r="X18" s="68"/>
      <c r="Y18" s="69"/>
      <c r="Z18" s="69"/>
      <c r="AA18" s="76"/>
      <c r="AB18" s="74"/>
    </row>
    <row r="19" spans="1:28">
      <c r="A19" s="40">
        <v>14</v>
      </c>
      <c r="B19" s="8">
        <f t="shared" si="12"/>
        <v>1</v>
      </c>
      <c r="C19" s="11">
        <f>(E19+F19)/2</f>
        <v>29.379799999999999</v>
      </c>
      <c r="D19" s="11">
        <f t="shared" si="1"/>
        <v>0.51277424357743007</v>
      </c>
      <c r="E19" s="12">
        <v>30.379799999999999</v>
      </c>
      <c r="F19" s="12">
        <v>28.379799999999999</v>
      </c>
      <c r="G19" s="11">
        <v>2.1104745712903075</v>
      </c>
      <c r="H19" s="11">
        <f t="shared" si="2"/>
        <v>28.283008655664652</v>
      </c>
      <c r="I19" s="11">
        <f t="shared" si="3"/>
        <v>29.283008655664652</v>
      </c>
      <c r="J19" s="11">
        <f t="shared" si="4"/>
        <v>-27.283008655664652</v>
      </c>
      <c r="K19" s="15">
        <f t="shared" si="6"/>
        <v>-0.51085936859113101</v>
      </c>
      <c r="L19" s="15">
        <f t="shared" si="13"/>
        <v>0.55569348889957959</v>
      </c>
      <c r="M19" s="19">
        <f t="shared" si="14"/>
        <v>10.508180759983063</v>
      </c>
      <c r="N19" s="42">
        <f t="shared" si="15"/>
        <v>0.18342097744295127</v>
      </c>
      <c r="O19" s="70"/>
      <c r="P19" s="75"/>
      <c r="Q19" s="75"/>
      <c r="R19" s="68"/>
      <c r="S19" s="93"/>
      <c r="T19" s="93"/>
      <c r="U19" s="67"/>
      <c r="V19" s="68"/>
      <c r="W19" s="68"/>
      <c r="X19" s="68"/>
      <c r="Y19" s="69"/>
      <c r="Z19" s="69"/>
      <c r="AA19" s="76"/>
      <c r="AB19" s="74"/>
    </row>
    <row r="20" spans="1:28">
      <c r="A20" s="31">
        <v>15</v>
      </c>
      <c r="B20" s="9">
        <v>6</v>
      </c>
      <c r="C20" s="11">
        <f>F20+B20</f>
        <v>30.379799999999999</v>
      </c>
      <c r="D20" s="11">
        <f t="shared" si="1"/>
        <v>0.53022753609737328</v>
      </c>
      <c r="E20" s="11">
        <f>C20+B20</f>
        <v>36.379800000000003</v>
      </c>
      <c r="F20" s="12">
        <v>24.379799999999999</v>
      </c>
      <c r="G20" s="11">
        <v>2.1481815442530854</v>
      </c>
      <c r="H20" s="11">
        <f t="shared" si="2"/>
        <v>27.743233647275421</v>
      </c>
      <c r="I20" s="11">
        <f t="shared" si="3"/>
        <v>33.743233647275417</v>
      </c>
      <c r="J20" s="11">
        <f t="shared" si="4"/>
        <v>-21.743233647275421</v>
      </c>
      <c r="K20" s="17">
        <f>TAN(RADIANS(6))</f>
        <v>0.10510423526567647</v>
      </c>
      <c r="L20" s="16">
        <f t="shared" si="13"/>
        <v>0.66221494480051935</v>
      </c>
      <c r="M20" s="18">
        <f>(N13-N17+L20*M17-K20*M13)/(L20-K20)</f>
        <v>10.800838220074654</v>
      </c>
      <c r="N20" s="41">
        <f>N17+L20*(M20-M17)</f>
        <v>1.1352138413492372</v>
      </c>
      <c r="P20" s="94"/>
      <c r="Q20" s="94"/>
      <c r="R20" s="94"/>
      <c r="S20" s="94"/>
      <c r="T20" s="94"/>
    </row>
    <row r="21" spans="1:28">
      <c r="A21" s="31">
        <v>16</v>
      </c>
      <c r="B21" s="8">
        <f t="shared" ref="B21:B22" si="16">(E21-F21)/2</f>
        <v>4.0000000000000018</v>
      </c>
      <c r="C21" s="11">
        <f>(E21+F21)/2</f>
        <v>30.379800000000003</v>
      </c>
      <c r="D21" s="11">
        <f t="shared" si="1"/>
        <v>0.53022753609737339</v>
      </c>
      <c r="E21" s="12">
        <v>34.379800000000003</v>
      </c>
      <c r="F21" s="12">
        <v>26.379799999999999</v>
      </c>
      <c r="G21" s="11">
        <v>2.1481815442530854</v>
      </c>
      <c r="H21" s="11">
        <f t="shared" si="2"/>
        <v>27.743233647275421</v>
      </c>
      <c r="I21" s="11">
        <f t="shared" si="3"/>
        <v>31.743233647275424</v>
      </c>
      <c r="J21" s="11">
        <f t="shared" si="4"/>
        <v>-23.743233647275417</v>
      </c>
      <c r="K21" s="16">
        <f t="shared" ref="K21:K23" si="17">TAN(RADIANS((J17+J21)/2))</f>
        <v>-0.43508470590960352</v>
      </c>
      <c r="L21" s="16">
        <f t="shared" si="13"/>
        <v>0.61311583757291643</v>
      </c>
      <c r="M21" s="18">
        <f>(N17-N18+L21*M18-K21*M17)/(L21-K21)</f>
        <v>10.833877032972666</v>
      </c>
      <c r="N21" s="41">
        <f t="shared" ref="N21:N22" si="18">N18+L21*(M21-M18)</f>
        <v>0.7575784819037964</v>
      </c>
    </row>
    <row r="22" spans="1:28">
      <c r="A22" s="31">
        <v>17</v>
      </c>
      <c r="B22" s="8">
        <f t="shared" si="16"/>
        <v>2.0000000000000018</v>
      </c>
      <c r="C22" s="11">
        <f>(E22+F22)/2</f>
        <v>30.379800000000003</v>
      </c>
      <c r="D22" s="11">
        <f t="shared" si="1"/>
        <v>0.53022753609737339</v>
      </c>
      <c r="E22" s="12">
        <v>32.379800000000003</v>
      </c>
      <c r="F22" s="12">
        <v>28.379799999999999</v>
      </c>
      <c r="G22" s="11">
        <v>2.1481815442530854</v>
      </c>
      <c r="H22" s="11">
        <f t="shared" si="2"/>
        <v>27.743233647275421</v>
      </c>
      <c r="I22" s="11">
        <f t="shared" si="3"/>
        <v>29.743233647275424</v>
      </c>
      <c r="J22" s="11">
        <f t="shared" si="4"/>
        <v>-25.743233647275417</v>
      </c>
      <c r="K22" s="16">
        <f t="shared" si="17"/>
        <v>-0.47725667116235371</v>
      </c>
      <c r="L22" s="16">
        <f t="shared" si="13"/>
        <v>0.56607512963098194</v>
      </c>
      <c r="M22" s="18">
        <f>(N18-N19+L22*M19-K22*M18)/(L22-K22)</f>
        <v>10.853716435536825</v>
      </c>
      <c r="N22" s="41">
        <f t="shared" si="18"/>
        <v>0.3790201297741761</v>
      </c>
    </row>
    <row r="23" spans="1:28" ht="15.75" thickBot="1">
      <c r="A23" s="32">
        <v>18</v>
      </c>
      <c r="B23" s="25">
        <v>0</v>
      </c>
      <c r="C23" s="26">
        <f>E23+B23</f>
        <v>30.379799999999999</v>
      </c>
      <c r="D23" s="26">
        <f t="shared" si="1"/>
        <v>0.53022753609737328</v>
      </c>
      <c r="E23" s="83">
        <v>30.379799999999999</v>
      </c>
      <c r="F23" s="26">
        <f>C23-B23</f>
        <v>30.379799999999999</v>
      </c>
      <c r="G23" s="26">
        <v>2.1481815442530854</v>
      </c>
      <c r="H23" s="26">
        <f t="shared" si="2"/>
        <v>27.743233647275421</v>
      </c>
      <c r="I23" s="26">
        <f t="shared" si="3"/>
        <v>27.743233647275421</v>
      </c>
      <c r="J23" s="26">
        <f t="shared" si="4"/>
        <v>-27.743233647275421</v>
      </c>
      <c r="K23" s="27">
        <f t="shared" si="17"/>
        <v>-0.52085815125403112</v>
      </c>
      <c r="L23" s="27">
        <v>0</v>
      </c>
      <c r="M23" s="84">
        <f>(N19-K23*M19)/(L23-K23)</f>
        <v>10.860332256511134</v>
      </c>
      <c r="N23" s="85">
        <v>0</v>
      </c>
    </row>
    <row r="24" spans="1:28" ht="33.75" thickBot="1">
      <c r="A24" s="52" t="s">
        <v>1</v>
      </c>
      <c r="B24" s="53" t="s">
        <v>15</v>
      </c>
      <c r="C24" s="53" t="s">
        <v>14</v>
      </c>
      <c r="D24" s="53" t="s">
        <v>13</v>
      </c>
      <c r="E24" s="53" t="s">
        <v>20</v>
      </c>
      <c r="F24" s="53" t="s">
        <v>21</v>
      </c>
      <c r="G24" s="53" t="s">
        <v>0</v>
      </c>
      <c r="H24" s="53" t="s">
        <v>17</v>
      </c>
      <c r="I24" s="53" t="s">
        <v>18</v>
      </c>
      <c r="J24" s="53" t="s">
        <v>19</v>
      </c>
      <c r="K24" s="54" t="s">
        <v>10</v>
      </c>
      <c r="L24" s="54" t="s">
        <v>11</v>
      </c>
      <c r="M24" s="54" t="s">
        <v>2</v>
      </c>
      <c r="N24" s="55" t="s">
        <v>3</v>
      </c>
    </row>
    <row r="25" spans="1:28">
      <c r="A25" s="30">
        <v>19</v>
      </c>
      <c r="B25" s="36">
        <v>5</v>
      </c>
      <c r="C25" s="44">
        <f>(E25+F25)/2</f>
        <v>31.379800000000003</v>
      </c>
      <c r="D25" s="11">
        <f t="shared" si="1"/>
        <v>0.54768082861731671</v>
      </c>
      <c r="E25" s="35">
        <f>C20+B20</f>
        <v>36.379800000000003</v>
      </c>
      <c r="F25" s="35">
        <f>C21-B21</f>
        <v>26.379800000000003</v>
      </c>
      <c r="G25" s="36">
        <v>2.1846000000000001</v>
      </c>
      <c r="H25" s="35">
        <f t="shared" si="2"/>
        <v>27.241994974566797</v>
      </c>
      <c r="I25" s="35">
        <f t="shared" si="3"/>
        <v>32.241994974566794</v>
      </c>
      <c r="J25" s="35">
        <f t="shared" si="4"/>
        <v>-22.241994974566797</v>
      </c>
      <c r="K25" s="43">
        <f>TAN(RADIANS(B20-H20))</f>
        <v>-0.39882266023794316</v>
      </c>
      <c r="L25" s="45">
        <f>TAN(RADIANS(B21+H21))</f>
        <v>0.61865547056086234</v>
      </c>
      <c r="M25" s="45">
        <f>(N20-N21+L25*M21-K25*M20)/(L25-K25)</f>
        <v>11.19207513194136</v>
      </c>
      <c r="N25" s="48">
        <f>N20+K25*(M25-M20)</f>
        <v>0.97917969537527982</v>
      </c>
    </row>
    <row r="26" spans="1:28">
      <c r="A26" s="31">
        <v>20</v>
      </c>
      <c r="B26" s="8">
        <v>3</v>
      </c>
      <c r="C26" s="8">
        <f>(E26+F26)/2</f>
        <v>31.379800000000003</v>
      </c>
      <c r="D26" s="11">
        <f t="shared" si="1"/>
        <v>0.54768082861731671</v>
      </c>
      <c r="E26" s="13">
        <f>C21+B21</f>
        <v>34.379800000000003</v>
      </c>
      <c r="F26" s="13">
        <f>C22-B22</f>
        <v>28.379800000000003</v>
      </c>
      <c r="G26" s="8">
        <v>2.1846000000000001</v>
      </c>
      <c r="H26" s="13">
        <f t="shared" si="2"/>
        <v>27.241994974566797</v>
      </c>
      <c r="I26" s="13">
        <f t="shared" si="3"/>
        <v>30.241994974566797</v>
      </c>
      <c r="J26" s="13">
        <f t="shared" si="4"/>
        <v>-24.241994974566797</v>
      </c>
      <c r="K26" s="16">
        <f>TAN(RADIANS(B21-H21))</f>
        <v>-0.43986957876984456</v>
      </c>
      <c r="L26" s="13">
        <f>TAN(RADIANS(B22+H22))</f>
        <v>0.57139042513184302</v>
      </c>
      <c r="M26" s="13">
        <f>(N21-N22+L26*M22-K26*M21)/(L26-K26)</f>
        <v>11.219430100720635</v>
      </c>
      <c r="N26" s="46">
        <f>N21+K26*(M26-M21)</f>
        <v>0.58798541640007596</v>
      </c>
      <c r="O26" t="s">
        <v>7</v>
      </c>
      <c r="P26" s="3" t="s">
        <v>8</v>
      </c>
      <c r="Q26" s="4">
        <v>0.6</v>
      </c>
      <c r="R26" s="3" t="s">
        <v>9</v>
      </c>
      <c r="S26" s="4">
        <v>1.2</v>
      </c>
    </row>
    <row r="27" spans="1:28" ht="18.75" thickBot="1">
      <c r="A27" s="31">
        <v>21</v>
      </c>
      <c r="B27" s="8">
        <v>1</v>
      </c>
      <c r="C27" s="8">
        <f>(E27+F27)/2</f>
        <v>31.379800000000003</v>
      </c>
      <c r="D27" s="11">
        <f t="shared" si="1"/>
        <v>0.54768082861731671</v>
      </c>
      <c r="E27" s="13">
        <f>C22+B22</f>
        <v>32.379800000000003</v>
      </c>
      <c r="F27" s="13">
        <f>C23-B23</f>
        <v>30.379799999999999</v>
      </c>
      <c r="G27" s="8">
        <v>2.1846000000000001</v>
      </c>
      <c r="H27" s="13">
        <f t="shared" si="2"/>
        <v>27.241994974566797</v>
      </c>
      <c r="I27" s="13">
        <f t="shared" si="3"/>
        <v>28.241994974566797</v>
      </c>
      <c r="J27" s="13">
        <f t="shared" si="4"/>
        <v>-26.241994974566797</v>
      </c>
      <c r="K27" s="16">
        <f>TAN(RADIANS(B22-H22))</f>
        <v>-0.48219717860853173</v>
      </c>
      <c r="L27" s="13">
        <f>TAN(RADIANS(B23+H23))</f>
        <v>0.52597467604945913</v>
      </c>
      <c r="M27" s="13">
        <f>(N22-N23+L27*M23-K27*M22)/(L27-K27)</f>
        <v>11.233115922142902</v>
      </c>
      <c r="N27" s="46">
        <f>N22+K27*(M27-M22)</f>
        <v>0.19607476776720012</v>
      </c>
      <c r="O27" s="2" t="s">
        <v>4</v>
      </c>
      <c r="P27" s="2" t="s">
        <v>6</v>
      </c>
      <c r="Q27" s="2" t="s">
        <v>5</v>
      </c>
      <c r="R27" s="10"/>
      <c r="S27" s="20"/>
    </row>
    <row r="28" spans="1:28">
      <c r="A28" s="31">
        <v>22</v>
      </c>
      <c r="B28" s="9">
        <v>6</v>
      </c>
      <c r="C28" s="8">
        <f>F28+B28</f>
        <v>32.379800000000003</v>
      </c>
      <c r="D28" s="11">
        <f t="shared" si="1"/>
        <v>0.56513412113726003</v>
      </c>
      <c r="E28" s="8">
        <f>C28+B28</f>
        <v>38.379800000000003</v>
      </c>
      <c r="F28" s="56">
        <f>C25-B25</f>
        <v>26.379800000000003</v>
      </c>
      <c r="G28" s="8">
        <v>2.2248999999999999</v>
      </c>
      <c r="H28" s="13">
        <f t="shared" si="2"/>
        <v>26.708940934247551</v>
      </c>
      <c r="I28" s="13">
        <f t="shared" si="3"/>
        <v>32.708940934247551</v>
      </c>
      <c r="J28" s="8">
        <f t="shared" si="4"/>
        <v>-20.708940934247551</v>
      </c>
      <c r="K28" s="17">
        <f>TAN(RADIANS(6))</f>
        <v>0.10510423526567647</v>
      </c>
      <c r="L28" s="13">
        <f t="shared" ref="L28:L30" si="19">TAN(RADIANS(B25+H25))</f>
        <v>0.63075769414893668</v>
      </c>
      <c r="M28" s="13">
        <f>(N20-N25+L28*M25-K28*M20)/(L28-K28)</f>
        <v>11.56714125025867</v>
      </c>
      <c r="N28" s="46">
        <f>N25+L28*(M28-M25)</f>
        <v>1.2157555353184986</v>
      </c>
      <c r="O28" s="1">
        <v>1</v>
      </c>
      <c r="P28" s="5">
        <v>2.3040026223977281</v>
      </c>
      <c r="Q28" s="1">
        <f>(SQRT((gam+1)/(gam-1))*ATAN(SQRT((gam-1)/(gam+1)*(P28^2-1)))-ATAN(SQRT(P28^2-1)))-Q26</f>
        <v>9.7880901864244585E-5</v>
      </c>
      <c r="R28" s="10"/>
      <c r="S28" s="20"/>
    </row>
    <row r="29" spans="1:28">
      <c r="A29" s="31">
        <v>23</v>
      </c>
      <c r="B29" s="8">
        <v>4</v>
      </c>
      <c r="C29" s="8">
        <v>32.379800000000003</v>
      </c>
      <c r="D29" s="11">
        <f t="shared" si="1"/>
        <v>0.56513412113726003</v>
      </c>
      <c r="E29" s="8">
        <f>C29+B29</f>
        <v>36.379800000000003</v>
      </c>
      <c r="F29" s="8">
        <f>C29-B29</f>
        <v>28.379800000000003</v>
      </c>
      <c r="G29" s="8">
        <v>2.2248999999999999</v>
      </c>
      <c r="H29" s="13">
        <f t="shared" si="2"/>
        <v>26.708940934247551</v>
      </c>
      <c r="I29" s="13">
        <f t="shared" si="3"/>
        <v>30.708940934247551</v>
      </c>
      <c r="J29" s="8">
        <f t="shared" si="4"/>
        <v>-22.708940934247551</v>
      </c>
      <c r="K29" s="16">
        <f t="shared" ref="K29:K34" si="20">TAN(RADIANS(B25-H25))</f>
        <v>-0.40894771252719281</v>
      </c>
      <c r="L29" s="13">
        <f t="shared" si="19"/>
        <v>0.58299554755243155</v>
      </c>
      <c r="M29" s="13">
        <f t="shared" ref="M29:M37" si="21">(N25-N26+L29*M26-K29*M25)/(L29-K29)</f>
        <v>11.602524116638604</v>
      </c>
      <c r="N29" s="46">
        <f t="shared" ref="N29:N37" si="22">N25+K29*(M29-M25)</f>
        <v>0.8113275219742333</v>
      </c>
    </row>
    <row r="30" spans="1:28">
      <c r="A30" s="31">
        <v>24</v>
      </c>
      <c r="B30" s="8">
        <v>2</v>
      </c>
      <c r="C30" s="8">
        <v>32.379800000000003</v>
      </c>
      <c r="D30" s="11">
        <f t="shared" si="1"/>
        <v>0.56513412113726003</v>
      </c>
      <c r="E30" s="8">
        <f>C30+B30</f>
        <v>34.379800000000003</v>
      </c>
      <c r="F30" s="8">
        <f>C30-B30</f>
        <v>30.379800000000003</v>
      </c>
      <c r="G30" s="8">
        <v>2.2248999999999999</v>
      </c>
      <c r="H30" s="13">
        <f t="shared" si="2"/>
        <v>26.708940934247551</v>
      </c>
      <c r="I30" s="13">
        <f t="shared" si="3"/>
        <v>28.708940934247551</v>
      </c>
      <c r="J30" s="8">
        <f t="shared" si="4"/>
        <v>-24.708940934247551</v>
      </c>
      <c r="K30" s="16">
        <f t="shared" si="20"/>
        <v>-0.45029909934909707</v>
      </c>
      <c r="L30" s="13">
        <f t="shared" si="19"/>
        <v>0.53713934446384248</v>
      </c>
      <c r="M30" s="13">
        <f t="shared" si="21"/>
        <v>11.623771094614243</v>
      </c>
      <c r="N30" s="46">
        <f t="shared" si="22"/>
        <v>0.40591103101986525</v>
      </c>
    </row>
    <row r="31" spans="1:28">
      <c r="A31" s="31">
        <v>25</v>
      </c>
      <c r="B31" s="9">
        <v>0</v>
      </c>
      <c r="C31" s="8">
        <f>E31-B31</f>
        <v>32.379800000000003</v>
      </c>
      <c r="D31" s="11">
        <f t="shared" si="1"/>
        <v>0.56513412113726003</v>
      </c>
      <c r="E31" s="56">
        <f>C27+B27</f>
        <v>32.379800000000003</v>
      </c>
      <c r="F31" s="8">
        <f>C31-B31</f>
        <v>32.379800000000003</v>
      </c>
      <c r="G31" s="8">
        <v>2.2248999999999999</v>
      </c>
      <c r="H31" s="13">
        <f t="shared" si="2"/>
        <v>26.708940934247551</v>
      </c>
      <c r="I31" s="13">
        <f t="shared" si="3"/>
        <v>26.708940934247551</v>
      </c>
      <c r="J31" s="8">
        <f t="shared" si="4"/>
        <v>-26.708940934247551</v>
      </c>
      <c r="K31" s="16">
        <f t="shared" si="20"/>
        <v>-0.49297174654923576</v>
      </c>
      <c r="L31" s="29">
        <v>0</v>
      </c>
      <c r="M31" s="18">
        <f>(N27-K31*M27)/(L31-K31)</f>
        <v>11.630856298015777</v>
      </c>
      <c r="N31" s="46">
        <v>0</v>
      </c>
    </row>
    <row r="32" spans="1:28">
      <c r="A32" s="31">
        <v>26</v>
      </c>
      <c r="B32" s="8">
        <v>5</v>
      </c>
      <c r="C32" s="8">
        <f t="shared" ref="C32:C34" si="23">E32-B32</f>
        <v>33.379800000000003</v>
      </c>
      <c r="D32" s="11">
        <f t="shared" si="1"/>
        <v>0.58258741365720323</v>
      </c>
      <c r="E32" s="8">
        <f>C28+B28</f>
        <v>38.379800000000003</v>
      </c>
      <c r="F32" s="8">
        <f>C29-B29</f>
        <v>28.379800000000003</v>
      </c>
      <c r="G32" s="8">
        <v>2.2641</v>
      </c>
      <c r="H32" s="8">
        <f t="shared" si="2"/>
        <v>26.210904110158545</v>
      </c>
      <c r="I32" s="8">
        <f t="shared" si="3"/>
        <v>31.210904110158545</v>
      </c>
      <c r="J32" s="8">
        <f t="shared" si="4"/>
        <v>-21.210904110158545</v>
      </c>
      <c r="K32" s="16">
        <f t="shared" si="20"/>
        <v>-0.37804685239305019</v>
      </c>
      <c r="L32" s="13">
        <f t="shared" ref="L32:L37" si="24">TAN(RADIANS(B29+H29))</f>
        <v>0.59396763234730676</v>
      </c>
      <c r="M32" s="13">
        <f t="shared" si="21"/>
        <v>12.004834615319233</v>
      </c>
      <c r="N32" s="46">
        <f t="shared" si="22"/>
        <v>1.0502869363440306</v>
      </c>
    </row>
    <row r="33" spans="1:16">
      <c r="A33" s="31">
        <v>27</v>
      </c>
      <c r="B33" s="8">
        <v>3</v>
      </c>
      <c r="C33" s="8">
        <f t="shared" si="23"/>
        <v>33.379800000000003</v>
      </c>
      <c r="D33" s="11">
        <f t="shared" si="1"/>
        <v>0.58258741365720323</v>
      </c>
      <c r="E33" s="8">
        <f t="shared" ref="E33:E37" si="25">C29+B29</f>
        <v>36.379800000000003</v>
      </c>
      <c r="F33" s="8">
        <f t="shared" ref="F33:F34" si="26">C30-B30</f>
        <v>30.379800000000003</v>
      </c>
      <c r="G33" s="8">
        <v>2.2641</v>
      </c>
      <c r="H33" s="8">
        <f t="shared" si="2"/>
        <v>26.210904110158545</v>
      </c>
      <c r="I33" s="8">
        <f t="shared" si="3"/>
        <v>29.210904110158545</v>
      </c>
      <c r="J33" s="8">
        <f t="shared" si="4"/>
        <v>-23.210904110158545</v>
      </c>
      <c r="K33" s="16">
        <f t="shared" si="20"/>
        <v>-0.41849242792574887</v>
      </c>
      <c r="L33" s="13">
        <f t="shared" si="24"/>
        <v>0.54768684807961476</v>
      </c>
      <c r="M33" s="13">
        <f t="shared" si="21"/>
        <v>12.034176079902975</v>
      </c>
      <c r="N33" s="46">
        <f t="shared" si="22"/>
        <v>0.63068444384881017</v>
      </c>
    </row>
    <row r="34" spans="1:16">
      <c r="A34" s="31">
        <v>28</v>
      </c>
      <c r="B34" s="8">
        <v>1</v>
      </c>
      <c r="C34" s="8">
        <f t="shared" si="23"/>
        <v>33.379800000000003</v>
      </c>
      <c r="D34" s="11">
        <f t="shared" si="1"/>
        <v>0.58258741365720323</v>
      </c>
      <c r="E34" s="8">
        <f t="shared" si="25"/>
        <v>34.379800000000003</v>
      </c>
      <c r="F34" s="8">
        <f t="shared" si="26"/>
        <v>32.379800000000003</v>
      </c>
      <c r="G34" s="8">
        <v>2.2641</v>
      </c>
      <c r="H34" s="8">
        <f t="shared" si="2"/>
        <v>26.210904110158545</v>
      </c>
      <c r="I34" s="8">
        <f t="shared" si="3"/>
        <v>27.210904110158545</v>
      </c>
      <c r="J34" s="8">
        <f t="shared" si="4"/>
        <v>-25.210904110158545</v>
      </c>
      <c r="K34" s="16">
        <f t="shared" si="20"/>
        <v>-0.46013768526101984</v>
      </c>
      <c r="L34" s="13">
        <f t="shared" si="24"/>
        <v>0.50314314089942003</v>
      </c>
      <c r="M34" s="13">
        <f t="shared" si="21"/>
        <v>12.048855754656074</v>
      </c>
      <c r="N34" s="46">
        <f t="shared" si="22"/>
        <v>0.21031355950824962</v>
      </c>
    </row>
    <row r="35" spans="1:16">
      <c r="A35" s="31">
        <v>29</v>
      </c>
      <c r="B35" s="9">
        <v>6</v>
      </c>
      <c r="C35" s="8">
        <f>F35+B35</f>
        <v>34.379800000000003</v>
      </c>
      <c r="D35" s="11">
        <f t="shared" si="1"/>
        <v>0.60004070617714655</v>
      </c>
      <c r="E35" s="8">
        <f t="shared" si="25"/>
        <v>32.379800000000003</v>
      </c>
      <c r="F35" s="56">
        <f>C32-B32</f>
        <v>28.379800000000003</v>
      </c>
      <c r="G35" s="13">
        <v>2.3039999999999998</v>
      </c>
      <c r="H35" s="13">
        <f>DEGREES(ASIN(1/G35))</f>
        <v>25.723445992028616</v>
      </c>
      <c r="I35" s="13">
        <f t="shared" si="3"/>
        <v>31.723445992028616</v>
      </c>
      <c r="J35" s="13">
        <f t="shared" si="4"/>
        <v>-19.723445992028616</v>
      </c>
      <c r="K35" s="17">
        <f>TAN(RADIANS(6))</f>
        <v>0.10510423526567647</v>
      </c>
      <c r="L35" s="13">
        <f t="shared" si="24"/>
        <v>0.60588167197942588</v>
      </c>
      <c r="M35" s="13">
        <f>(N28-N32+L35*M32-K35*M28)/(L35-K35)</f>
        <v>12.427122062568774</v>
      </c>
      <c r="N35" s="46">
        <f>N32+L35*(M35-M32)</f>
        <v>1.3061431609395062</v>
      </c>
    </row>
    <row r="36" spans="1:16">
      <c r="A36" s="31">
        <v>30</v>
      </c>
      <c r="B36" s="8">
        <v>4</v>
      </c>
      <c r="C36" s="8">
        <v>34.379800000000003</v>
      </c>
      <c r="D36" s="11">
        <f t="shared" si="1"/>
        <v>0.60004070617714655</v>
      </c>
      <c r="E36" s="8">
        <f t="shared" si="25"/>
        <v>38.379800000000003</v>
      </c>
      <c r="F36" s="8">
        <f t="shared" ref="F36:F37" si="27">C33-B33</f>
        <v>30.379800000000003</v>
      </c>
      <c r="G36" s="13">
        <v>2.3039999999999998</v>
      </c>
      <c r="H36" s="13">
        <f t="shared" ref="H36:H38" si="28">DEGREES(ASIN(1/G36))</f>
        <v>25.723445992028616</v>
      </c>
      <c r="I36" s="13">
        <f t="shared" si="3"/>
        <v>29.723445992028616</v>
      </c>
      <c r="J36" s="13">
        <f t="shared" si="4"/>
        <v>-21.723445992028616</v>
      </c>
      <c r="K36" s="16">
        <f t="shared" ref="K36:K38" si="29">TAN(RADIANS(B32-H32))</f>
        <v>-0.38809339829966111</v>
      </c>
      <c r="L36" s="13">
        <f t="shared" si="24"/>
        <v>0.55913089258013515</v>
      </c>
      <c r="M36" s="13">
        <f t="shared" si="21"/>
        <v>12.465135534516063</v>
      </c>
      <c r="N36" s="46">
        <f t="shared" si="22"/>
        <v>0.87164718837247479</v>
      </c>
    </row>
    <row r="37" spans="1:16">
      <c r="A37" s="31">
        <v>31</v>
      </c>
      <c r="B37" s="8">
        <v>2</v>
      </c>
      <c r="C37" s="8">
        <v>34.379800000000003</v>
      </c>
      <c r="D37" s="11">
        <f t="shared" si="1"/>
        <v>0.60004070617714655</v>
      </c>
      <c r="E37" s="8">
        <f t="shared" si="25"/>
        <v>36.379800000000003</v>
      </c>
      <c r="F37" s="8">
        <f t="shared" si="27"/>
        <v>32.379800000000003</v>
      </c>
      <c r="G37" s="13">
        <v>2.3039999999999998</v>
      </c>
      <c r="H37" s="13">
        <f t="shared" si="28"/>
        <v>25.723445992028616</v>
      </c>
      <c r="I37" s="13">
        <f t="shared" si="3"/>
        <v>27.723445992028616</v>
      </c>
      <c r="J37" s="13">
        <f t="shared" si="4"/>
        <v>-23.723445992028616</v>
      </c>
      <c r="K37" s="16">
        <f t="shared" si="29"/>
        <v>-0.42882583858970663</v>
      </c>
      <c r="L37" s="13">
        <f t="shared" si="24"/>
        <v>0.51417079384852904</v>
      </c>
      <c r="M37" s="13">
        <f t="shared" si="21"/>
        <v>12.487962158921478</v>
      </c>
      <c r="N37" s="46">
        <f t="shared" si="22"/>
        <v>0.43608924797336579</v>
      </c>
    </row>
    <row r="38" spans="1:16" ht="15.75" thickBot="1">
      <c r="A38" s="32">
        <v>32</v>
      </c>
      <c r="B38" s="25">
        <v>0</v>
      </c>
      <c r="C38" s="6">
        <v>34.379800000000003</v>
      </c>
      <c r="D38" s="28">
        <f t="shared" si="1"/>
        <v>0.60004070617714655</v>
      </c>
      <c r="E38" s="57">
        <f>C34+B34</f>
        <v>34.379800000000003</v>
      </c>
      <c r="F38" s="6">
        <f>C38-B38</f>
        <v>34.379800000000003</v>
      </c>
      <c r="G38" s="28">
        <v>2.3039999999999998</v>
      </c>
      <c r="H38" s="13">
        <f t="shared" si="28"/>
        <v>25.723445992028616</v>
      </c>
      <c r="I38" s="28">
        <f t="shared" si="3"/>
        <v>25.723445992028616</v>
      </c>
      <c r="J38" s="28">
        <f t="shared" si="4"/>
        <v>-25.723445992028616</v>
      </c>
      <c r="K38" s="27">
        <f t="shared" si="29"/>
        <v>-0.47079675572416912</v>
      </c>
      <c r="L38" s="27">
        <v>0</v>
      </c>
      <c r="M38" s="18">
        <f>(N34-K38*M34)/(L38-K38)</f>
        <v>12.495574125059351</v>
      </c>
      <c r="N38" s="47">
        <v>0</v>
      </c>
      <c r="P38" s="66"/>
    </row>
    <row r="39" spans="1:16" ht="33.75" thickBot="1">
      <c r="A39" s="52" t="s">
        <v>1</v>
      </c>
      <c r="B39" s="53" t="s">
        <v>15</v>
      </c>
      <c r="C39" s="53" t="s">
        <v>14</v>
      </c>
      <c r="D39" s="53" t="s">
        <v>13</v>
      </c>
      <c r="E39" s="53" t="s">
        <v>20</v>
      </c>
      <c r="F39" s="53" t="s">
        <v>21</v>
      </c>
      <c r="G39" s="53" t="s">
        <v>0</v>
      </c>
      <c r="H39" s="53" t="s">
        <v>17</v>
      </c>
      <c r="I39" s="53" t="s">
        <v>18</v>
      </c>
      <c r="J39" s="53" t="s">
        <v>19</v>
      </c>
      <c r="K39" s="54" t="s">
        <v>10</v>
      </c>
      <c r="L39" s="54" t="s">
        <v>11</v>
      </c>
      <c r="M39" s="54" t="s">
        <v>2</v>
      </c>
      <c r="N39" s="55" t="s">
        <v>3</v>
      </c>
    </row>
    <row r="40" spans="1:16">
      <c r="A40" s="30">
        <v>33</v>
      </c>
      <c r="B40" s="36">
        <v>5</v>
      </c>
      <c r="C40" s="44">
        <f>(E40+F40)/2</f>
        <v>35.379800000000003</v>
      </c>
      <c r="D40" s="35">
        <f t="shared" si="1"/>
        <v>0.61749399869708987</v>
      </c>
      <c r="E40" s="45">
        <f>C35+B35</f>
        <v>40.379800000000003</v>
      </c>
      <c r="F40" s="45">
        <f>C36-B36</f>
        <v>30.379800000000003</v>
      </c>
      <c r="G40" s="35">
        <v>2.3439999999999999</v>
      </c>
      <c r="H40" s="45">
        <f t="shared" si="2"/>
        <v>25.253320800308952</v>
      </c>
      <c r="I40" s="45">
        <f>B40+H40</f>
        <v>30.253320800308952</v>
      </c>
      <c r="J40" s="45">
        <f>B40-H40</f>
        <v>-20.253320800308952</v>
      </c>
      <c r="K40" s="45">
        <f>TAN(RADIANS(J35+J40)/2)</f>
        <v>-0.36374064431698638</v>
      </c>
      <c r="L40" s="45">
        <f>TAN(RADIANS(I36+I40)/2)</f>
        <v>0.57707997017986679</v>
      </c>
      <c r="M40" s="45">
        <f>(N35-N36+L40*M36-K40*M35)/(L40-K40)</f>
        <v>12.912265328768255</v>
      </c>
      <c r="N40" s="48">
        <f>N35+K40*(M40-M35)</f>
        <v>1.1296768367060597</v>
      </c>
    </row>
    <row r="41" spans="1:16">
      <c r="A41" s="31">
        <v>34</v>
      </c>
      <c r="B41" s="8">
        <v>3</v>
      </c>
      <c r="C41" s="8">
        <f t="shared" ref="C41:C42" si="30">(E41+F41)/2</f>
        <v>35.379800000000003</v>
      </c>
      <c r="D41" s="11">
        <f t="shared" si="1"/>
        <v>0.61749399869708987</v>
      </c>
      <c r="E41" s="13">
        <f>C36+B36</f>
        <v>38.379800000000003</v>
      </c>
      <c r="F41" s="13">
        <f t="shared" ref="F41:F42" si="31">C37-B37</f>
        <v>32.379800000000003</v>
      </c>
      <c r="G41" s="13">
        <v>2.3439999999999999</v>
      </c>
      <c r="H41" s="13">
        <f t="shared" si="2"/>
        <v>25.253320800308952</v>
      </c>
      <c r="I41" s="13">
        <f t="shared" ref="I41:I57" si="32">B41+H41</f>
        <v>28.253320800308952</v>
      </c>
      <c r="J41" s="13">
        <f t="shared" ref="J41:J57" si="33">B41-H41</f>
        <v>-22.253320800308952</v>
      </c>
      <c r="K41" s="13">
        <f t="shared" ref="K41:K42" si="34">TAN(RADIANS(J36+J41)/2)</f>
        <v>-0.40379040115332326</v>
      </c>
      <c r="L41" s="13">
        <f t="shared" ref="L41:L42" si="35">TAN(RADIANS(I37+I41)/2)</f>
        <v>0.53144939182600681</v>
      </c>
      <c r="M41" s="13">
        <f t="shared" ref="M41:M42" si="36">(N36-N37+L41*M37-K41*M36)/(L41-K41)</f>
        <v>12.943824678645219</v>
      </c>
      <c r="N41" s="46">
        <f t="shared" ref="N41:N42" si="37">N36+K41*(M41-M36)</f>
        <v>0.67835710683682193</v>
      </c>
    </row>
    <row r="42" spans="1:16">
      <c r="A42" s="50">
        <v>35</v>
      </c>
      <c r="B42" s="49">
        <v>1</v>
      </c>
      <c r="C42" s="8">
        <f t="shared" si="30"/>
        <v>35.379800000000003</v>
      </c>
      <c r="D42" s="11">
        <f t="shared" si="1"/>
        <v>0.61749399869708987</v>
      </c>
      <c r="E42" s="13">
        <f>C37+B37</f>
        <v>36.379800000000003</v>
      </c>
      <c r="F42" s="13">
        <f t="shared" si="31"/>
        <v>34.379800000000003</v>
      </c>
      <c r="G42" s="13">
        <v>2.3439999999999999</v>
      </c>
      <c r="H42" s="13">
        <f t="shared" si="2"/>
        <v>25.253320800308952</v>
      </c>
      <c r="I42" s="13">
        <f t="shared" si="32"/>
        <v>26.253320800308952</v>
      </c>
      <c r="J42" s="13">
        <f t="shared" si="33"/>
        <v>-24.253320800308952</v>
      </c>
      <c r="K42" s="13">
        <f t="shared" si="34"/>
        <v>-0.44498576880277019</v>
      </c>
      <c r="L42" s="13">
        <f t="shared" si="35"/>
        <v>0.48748163507899406</v>
      </c>
      <c r="M42" s="13">
        <f t="shared" si="36"/>
        <v>12.959613971994601</v>
      </c>
      <c r="N42" s="46">
        <f t="shared" si="37"/>
        <v>0.22621090332580165</v>
      </c>
    </row>
    <row r="43" spans="1:16">
      <c r="A43" s="50">
        <v>36</v>
      </c>
      <c r="B43" s="49">
        <f>B40</f>
        <v>5</v>
      </c>
      <c r="C43" s="21">
        <f>F43+B43</f>
        <v>35.379800000000003</v>
      </c>
      <c r="D43" s="11">
        <f t="shared" si="1"/>
        <v>0.61749399869708987</v>
      </c>
      <c r="E43" s="13">
        <f>C43+B43</f>
        <v>40.379800000000003</v>
      </c>
      <c r="F43" s="13">
        <f>C40-B40</f>
        <v>30.379800000000003</v>
      </c>
      <c r="G43" s="13">
        <v>2.3439999999999999</v>
      </c>
      <c r="H43" s="13">
        <f t="shared" si="2"/>
        <v>25.253320800308952</v>
      </c>
      <c r="I43" s="13">
        <f t="shared" si="32"/>
        <v>30.253320800308952</v>
      </c>
      <c r="J43" s="13">
        <f t="shared" si="33"/>
        <v>-20.253320800308952</v>
      </c>
      <c r="K43" s="58">
        <f>TAN(RADIANS(B43))</f>
        <v>8.7488663525924007E-2</v>
      </c>
      <c r="L43" s="58">
        <f>TAN(RADIANS(I40+I43)/2)</f>
        <v>0.58326043686706031</v>
      </c>
      <c r="M43" s="58">
        <f>(N35-N40+L43*M40-K43*M35)/(L43-K43)</f>
        <v>13.353821044489106</v>
      </c>
      <c r="N43" s="59">
        <f>N40+L43*(M43-M40)</f>
        <v>1.3872188163585506</v>
      </c>
    </row>
    <row r="44" spans="1:16">
      <c r="A44" s="50">
        <v>37</v>
      </c>
      <c r="B44" s="49">
        <f>(E44-F44)/2</f>
        <v>4</v>
      </c>
      <c r="C44" s="21">
        <f>(E44+F44)/2</f>
        <v>36.379800000000003</v>
      </c>
      <c r="D44" s="11">
        <f t="shared" si="1"/>
        <v>0.63494729121703319</v>
      </c>
      <c r="E44" s="13">
        <f>C40+B40</f>
        <v>40.379800000000003</v>
      </c>
      <c r="F44" s="13">
        <f>C41-B41</f>
        <v>32.379800000000003</v>
      </c>
      <c r="G44" s="13">
        <v>2.3847</v>
      </c>
      <c r="H44" s="13">
        <f t="shared" si="2"/>
        <v>24.792923351184243</v>
      </c>
      <c r="I44" s="13">
        <f t="shared" si="32"/>
        <v>28.792923351184243</v>
      </c>
      <c r="J44" s="13">
        <f t="shared" si="33"/>
        <v>-20.792923351184243</v>
      </c>
      <c r="K44" s="13">
        <f>TAN(RADIANS(J40+J44)/2)</f>
        <v>-0.37434471831668359</v>
      </c>
      <c r="L44" s="13">
        <f>TAN(RADIANS(I41+I44)/2)</f>
        <v>0.54347833930809686</v>
      </c>
      <c r="M44" s="13">
        <f>(N40-N41+L44*M41-K44*M40)/(L44-K44)</f>
        <v>13.422681306050807</v>
      </c>
      <c r="N44" s="46">
        <f>N40+K44*(M44-M40)</f>
        <v>0.9386053114658881</v>
      </c>
    </row>
    <row r="45" spans="1:16">
      <c r="A45" s="50">
        <v>38</v>
      </c>
      <c r="B45" s="49">
        <f>(E45-F45)/2</f>
        <v>2</v>
      </c>
      <c r="C45" s="21">
        <f>(E45+F45)/2</f>
        <v>36.379800000000003</v>
      </c>
      <c r="D45" s="11">
        <f t="shared" si="1"/>
        <v>0.63494729121703319</v>
      </c>
      <c r="E45" s="13">
        <f>C41+B41</f>
        <v>38.379800000000003</v>
      </c>
      <c r="F45" s="13">
        <f>C42-B42</f>
        <v>34.379800000000003</v>
      </c>
      <c r="G45" s="13">
        <v>2.3847</v>
      </c>
      <c r="H45" s="13">
        <f t="shared" si="2"/>
        <v>24.792923351184243</v>
      </c>
      <c r="I45" s="13">
        <f t="shared" si="32"/>
        <v>26.792923351184243</v>
      </c>
      <c r="J45" s="13">
        <f t="shared" si="33"/>
        <v>-22.792923351184243</v>
      </c>
      <c r="K45" s="13">
        <f t="shared" ref="K45:K46" si="38">TAN(RADIANS(J41+J45)/2)</f>
        <v>-0.41468643711906256</v>
      </c>
      <c r="L45" s="13">
        <f t="shared" ref="L45:L47" si="39">TAN(RADIANS(I42+I45)/2)</f>
        <v>0.49908558333392899</v>
      </c>
      <c r="M45" s="13">
        <f t="shared" ref="M45" si="40">(N41-N42+L45*M42-K45*M41)/(L45-K45)</f>
        <v>13.447261424240336</v>
      </c>
      <c r="N45" s="46">
        <f>N41+K45*(M45-M41)</f>
        <v>0.46958871649116696</v>
      </c>
    </row>
    <row r="46" spans="1:16">
      <c r="A46" s="50">
        <v>39</v>
      </c>
      <c r="B46" s="9">
        <v>0</v>
      </c>
      <c r="C46" s="8">
        <v>36.379800000000003</v>
      </c>
      <c r="D46" s="11">
        <f t="shared" si="1"/>
        <v>0.63494729121703319</v>
      </c>
      <c r="E46" s="13">
        <f>C42+B42</f>
        <v>36.379800000000003</v>
      </c>
      <c r="F46" s="13">
        <v>36.379800000000003</v>
      </c>
      <c r="G46" s="13">
        <v>2.3847</v>
      </c>
      <c r="H46" s="13">
        <f t="shared" si="2"/>
        <v>24.792923351184243</v>
      </c>
      <c r="I46" s="13">
        <f t="shared" si="32"/>
        <v>24.792923351184243</v>
      </c>
      <c r="J46" s="13">
        <f t="shared" si="33"/>
        <v>-24.792923351184243</v>
      </c>
      <c r="K46" s="13">
        <f t="shared" si="38"/>
        <v>-0.45621371473387945</v>
      </c>
      <c r="L46" s="13">
        <v>0</v>
      </c>
      <c r="M46" s="18">
        <f>(N42-K46*M42)/(L46-K46)</f>
        <v>13.455458125776248</v>
      </c>
      <c r="N46" s="46">
        <v>0</v>
      </c>
    </row>
    <row r="47" spans="1:16">
      <c r="A47" s="50">
        <v>40</v>
      </c>
      <c r="B47" s="8">
        <v>3</v>
      </c>
      <c r="C47" s="8">
        <f>(E47+F47)/2</f>
        <v>37.379800000000003</v>
      </c>
      <c r="D47" s="11">
        <f t="shared" si="1"/>
        <v>0.6524005837369764</v>
      </c>
      <c r="E47" s="13">
        <f>C44+B44</f>
        <v>40.379800000000003</v>
      </c>
      <c r="F47" s="13">
        <f>C45-B45</f>
        <v>34.379800000000003</v>
      </c>
      <c r="G47" s="13">
        <v>2.4262000000000001</v>
      </c>
      <c r="H47" s="13">
        <f t="shared" si="2"/>
        <v>24.341046240526151</v>
      </c>
      <c r="I47" s="13">
        <f t="shared" si="32"/>
        <v>27.341046240526151</v>
      </c>
      <c r="J47" s="13">
        <f t="shared" si="33"/>
        <v>-21.341046240526151</v>
      </c>
      <c r="K47" s="13">
        <f>TAN(RADIANS(J44+J47)/2)</f>
        <v>-0.38520601265668508</v>
      </c>
      <c r="L47" s="13">
        <f t="shared" si="39"/>
        <v>0.53320999386055024</v>
      </c>
      <c r="M47" s="13">
        <f>(N44-N45+L47*M45-K47*M44)/(L47-K47)</f>
        <v>13.94763182544771</v>
      </c>
      <c r="N47" s="46">
        <f>N44+K47*(M47-M44)</f>
        <v>0.73639121504695138</v>
      </c>
    </row>
    <row r="48" spans="1:16">
      <c r="A48" s="50">
        <v>41</v>
      </c>
      <c r="B48" s="8">
        <v>1</v>
      </c>
      <c r="C48" s="8">
        <f>(E48+F48)/2</f>
        <v>37.379800000000003</v>
      </c>
      <c r="D48" s="11">
        <f t="shared" si="1"/>
        <v>0.6524005837369764</v>
      </c>
      <c r="E48" s="13">
        <f>C45+B45</f>
        <v>38.379800000000003</v>
      </c>
      <c r="F48" s="13">
        <f>C46-B46</f>
        <v>36.379800000000003</v>
      </c>
      <c r="G48" s="13">
        <v>2.4262000000000001</v>
      </c>
      <c r="H48" s="13">
        <f t="shared" si="2"/>
        <v>24.341046240526151</v>
      </c>
      <c r="I48" s="13">
        <f t="shared" si="32"/>
        <v>25.341046240526151</v>
      </c>
      <c r="J48" s="13">
        <f t="shared" si="33"/>
        <v>-23.341046240526151</v>
      </c>
      <c r="K48" s="13">
        <f>TAN(RADIANS(J45+J48)/2)</f>
        <v>-0.42585525518568024</v>
      </c>
      <c r="L48" s="13">
        <f>TAN(RADIANS(I46+I48)/2)</f>
        <v>0.4677317539578007</v>
      </c>
      <c r="M48" s="13">
        <f>(N45-N46+L48*M46-K48*M45)/(L48-K48)</f>
        <v>13.977061621907723</v>
      </c>
      <c r="N48" s="46">
        <f>N45+K48*(M48-M45)</f>
        <v>0.24397051811609835</v>
      </c>
    </row>
    <row r="49" spans="1:14">
      <c r="A49" s="50">
        <v>42</v>
      </c>
      <c r="B49" s="49">
        <f>B44</f>
        <v>4</v>
      </c>
      <c r="C49" s="13">
        <f>F49+B49</f>
        <v>36.379800000000003</v>
      </c>
      <c r="D49" s="11">
        <f t="shared" si="1"/>
        <v>0.63494729121703319</v>
      </c>
      <c r="E49" s="13">
        <f>C49+B49</f>
        <v>40.379800000000003</v>
      </c>
      <c r="F49" s="13">
        <f>C44-B44</f>
        <v>32.379800000000003</v>
      </c>
      <c r="G49" s="13">
        <v>2.3849</v>
      </c>
      <c r="H49" s="13">
        <f t="shared" si="2"/>
        <v>24.790703925373084</v>
      </c>
      <c r="I49" s="13">
        <f t="shared" si="32"/>
        <v>28.790703925373084</v>
      </c>
      <c r="J49" s="13">
        <f t="shared" si="33"/>
        <v>-20.790703925373084</v>
      </c>
      <c r="K49" s="58">
        <f>TAN(RADIANS(B49))</f>
        <v>6.9926811943510414E-2</v>
      </c>
      <c r="L49" s="58">
        <f>TAN(RADIANS(I44+I49)/2)</f>
        <v>0.54956860550416353</v>
      </c>
      <c r="M49" s="58">
        <f>(N43-N44+L49*M44-K49*M43)/(L49-K49)</f>
        <v>14.368029875630638</v>
      </c>
      <c r="N49" s="59">
        <f>N44+L49*(M49-M44)</f>
        <v>1.4581392065652317</v>
      </c>
    </row>
    <row r="50" spans="1:14">
      <c r="A50" s="50">
        <v>43</v>
      </c>
      <c r="B50" s="8">
        <v>2</v>
      </c>
      <c r="C50" s="8">
        <f>(E50+F50)/2</f>
        <v>38.379800000000003</v>
      </c>
      <c r="D50" s="11">
        <f t="shared" si="1"/>
        <v>0.66985387625691972</v>
      </c>
      <c r="E50" s="13">
        <f>C47+B47</f>
        <v>40.379800000000003</v>
      </c>
      <c r="F50" s="13">
        <f>C48-B48</f>
        <v>36.379800000000003</v>
      </c>
      <c r="G50" s="13">
        <v>2.4683000000000002</v>
      </c>
      <c r="H50" s="13">
        <f t="shared" si="2"/>
        <v>23.899721255528121</v>
      </c>
      <c r="I50" s="13">
        <f t="shared" si="32"/>
        <v>25.899721255528121</v>
      </c>
      <c r="J50" s="13">
        <f t="shared" si="33"/>
        <v>-21.899721255528121</v>
      </c>
      <c r="K50" s="13">
        <f>TAN(RADIANS(J47+J50)/2)</f>
        <v>-0.39633959943631347</v>
      </c>
      <c r="L50" s="13">
        <f>TAN(RADIANS(I48+I50)/2)</f>
        <v>0.47955722705698489</v>
      </c>
      <c r="M50" s="63">
        <f>(N47-N48+L50*M48-K50*M47)/(L50-K50)</f>
        <v>14.525935060706599</v>
      </c>
      <c r="N50" s="62">
        <f>N47+K50*(M50-M47)</f>
        <v>0.50718674243171891</v>
      </c>
    </row>
    <row r="51" spans="1:14">
      <c r="A51" s="50">
        <v>44</v>
      </c>
      <c r="B51" s="9">
        <v>0</v>
      </c>
      <c r="C51" s="8">
        <f>C50</f>
        <v>38.379800000000003</v>
      </c>
      <c r="D51" s="11">
        <f t="shared" si="1"/>
        <v>0.66985387625691972</v>
      </c>
      <c r="E51" s="13">
        <f>C48+B48</f>
        <v>38.379800000000003</v>
      </c>
      <c r="F51" s="13">
        <f>C51-B51</f>
        <v>38.379800000000003</v>
      </c>
      <c r="G51" s="13">
        <v>2.4683000000000002</v>
      </c>
      <c r="H51" s="13">
        <f t="shared" si="2"/>
        <v>23.899721255528121</v>
      </c>
      <c r="I51" s="13">
        <f t="shared" si="32"/>
        <v>23.899721255528121</v>
      </c>
      <c r="J51" s="13">
        <f t="shared" si="33"/>
        <v>-23.899721255528121</v>
      </c>
      <c r="K51" s="13">
        <f>TAN(RADIANS(J48+J51)/2)</f>
        <v>-0.43731299231032383</v>
      </c>
      <c r="L51" s="13">
        <v>0</v>
      </c>
      <c r="M51" s="18">
        <f>(N48-K51*M48)/(L51-K51)</f>
        <v>14.534946986408793</v>
      </c>
      <c r="N51" s="46">
        <v>0</v>
      </c>
    </row>
    <row r="52" spans="1:14">
      <c r="A52" s="50">
        <v>45</v>
      </c>
      <c r="B52" s="8">
        <v>1</v>
      </c>
      <c r="C52" s="8">
        <f>(E52+F52)/2</f>
        <v>39.379800000000003</v>
      </c>
      <c r="D52" s="11">
        <f t="shared" si="1"/>
        <v>0.68730716877686304</v>
      </c>
      <c r="E52" s="13">
        <f>C50+B50</f>
        <v>40.379800000000003</v>
      </c>
      <c r="F52" s="13">
        <f>C51-B51</f>
        <v>38.379800000000003</v>
      </c>
      <c r="G52" s="13">
        <v>2.5108000000000001</v>
      </c>
      <c r="H52" s="13">
        <f t="shared" si="2"/>
        <v>23.470661495620053</v>
      </c>
      <c r="I52" s="13">
        <f t="shared" si="32"/>
        <v>24.470661495620053</v>
      </c>
      <c r="J52" s="13">
        <f t="shared" si="33"/>
        <v>-22.470661495620053</v>
      </c>
      <c r="K52" s="13">
        <f>TAN(RADIANS(J50+J52)/2)</f>
        <v>-0.40779096967594614</v>
      </c>
      <c r="L52" s="13">
        <f>TAN(RADIANS(I51+I52)/2)</f>
        <v>0.44910719377654956</v>
      </c>
      <c r="M52" s="13">
        <f>(N50-N51+L52*M51-K52*M50)/(L52-K52)</f>
        <v>15.122545118819641</v>
      </c>
      <c r="N52" s="62">
        <f>N50+K52*(M52-M50)</f>
        <v>0.26389454831537912</v>
      </c>
    </row>
    <row r="53" spans="1:14">
      <c r="A53" s="50">
        <v>46</v>
      </c>
      <c r="B53" s="49">
        <f>B47</f>
        <v>3</v>
      </c>
      <c r="C53" s="13">
        <f>F53+B53</f>
        <v>37.379800000000003</v>
      </c>
      <c r="D53" s="11">
        <f t="shared" si="1"/>
        <v>0.6524005837369764</v>
      </c>
      <c r="E53" s="13">
        <f>C53+B53</f>
        <v>40.379800000000003</v>
      </c>
      <c r="F53" s="13">
        <f>C47-B47</f>
        <v>34.379800000000003</v>
      </c>
      <c r="G53" s="13">
        <v>2.4262000000000001</v>
      </c>
      <c r="H53" s="13">
        <f t="shared" si="2"/>
        <v>24.341046240526151</v>
      </c>
      <c r="I53" s="13">
        <f t="shared" si="32"/>
        <v>27.341046240526151</v>
      </c>
      <c r="J53" s="13">
        <f t="shared" si="33"/>
        <v>-21.341046240526151</v>
      </c>
      <c r="K53" s="58">
        <f>TAN(RADIANS(B53))</f>
        <v>5.240777928304121E-2</v>
      </c>
      <c r="L53" s="58">
        <f>TAN(RADIANS(I47+I53)/2)</f>
        <v>0.5170460614221718</v>
      </c>
      <c r="M53" s="58">
        <f>(N49-N47+L53*M47-K53*M49)/(L53-K53)</f>
        <v>15.453568572785612</v>
      </c>
      <c r="N53" s="59">
        <f>N47+L53*(M53-M47)</f>
        <v>1.5150298790089298</v>
      </c>
    </row>
    <row r="54" spans="1:14">
      <c r="A54" s="50">
        <v>47</v>
      </c>
      <c r="B54" s="9">
        <v>0</v>
      </c>
      <c r="C54" s="8">
        <f>(E54+F54)/2</f>
        <v>40.379800000000003</v>
      </c>
      <c r="D54" s="11">
        <f t="shared" si="1"/>
        <v>0.70476046129680636</v>
      </c>
      <c r="E54" s="13">
        <f>C52+B52</f>
        <v>40.379800000000003</v>
      </c>
      <c r="F54" s="13">
        <v>40.379800000000003</v>
      </c>
      <c r="G54" s="13">
        <v>2.5543</v>
      </c>
      <c r="H54" s="13">
        <f t="shared" si="2"/>
        <v>23.047660041999094</v>
      </c>
      <c r="I54" s="13">
        <f t="shared" si="32"/>
        <v>23.047660041999094</v>
      </c>
      <c r="J54" s="13">
        <f t="shared" si="33"/>
        <v>-23.047660041999094</v>
      </c>
      <c r="K54" s="13">
        <f>TAN(RADIANS(J52+J54)/2)</f>
        <v>-0.41952281449110673</v>
      </c>
      <c r="L54" s="13">
        <v>0</v>
      </c>
      <c r="M54" s="18">
        <f>(N52-K54*M52)/(L54-K54)</f>
        <v>15.751580153864138</v>
      </c>
      <c r="N54" s="46">
        <v>0</v>
      </c>
    </row>
    <row r="55" spans="1:14">
      <c r="A55" s="50">
        <v>48</v>
      </c>
      <c r="B55" s="8">
        <f>B50</f>
        <v>2</v>
      </c>
      <c r="C55" s="13">
        <f>F55+B55</f>
        <v>38.379800000000003</v>
      </c>
      <c r="D55" s="11">
        <f t="shared" si="1"/>
        <v>0.66985387625691972</v>
      </c>
      <c r="E55" s="13">
        <f>C55+B55</f>
        <v>40.379800000000003</v>
      </c>
      <c r="F55" s="13">
        <f>C50-B50</f>
        <v>36.379800000000003</v>
      </c>
      <c r="G55" s="13">
        <v>2.4683000000000002</v>
      </c>
      <c r="H55" s="13">
        <f t="shared" si="2"/>
        <v>23.899721255528121</v>
      </c>
      <c r="I55" s="13">
        <f t="shared" si="32"/>
        <v>25.899721255528121</v>
      </c>
      <c r="J55" s="13">
        <f t="shared" si="33"/>
        <v>-21.899721255528121</v>
      </c>
      <c r="K55" s="58">
        <f t="shared" ref="K55:K57" si="41">TAN(RADIANS(B55))</f>
        <v>3.492076949174773E-2</v>
      </c>
      <c r="L55" s="58">
        <f>TAN(RADIANS(I50+I55)/2)</f>
        <v>0.48556789833455993</v>
      </c>
      <c r="M55" s="58">
        <f>(N53-N50+L55*M50-K55*M53)/(L55-K55)</f>
        <v>16.690487763025757</v>
      </c>
      <c r="N55" s="59">
        <f>N50+L55*(M55-M50)</f>
        <v>1.5582240489312247</v>
      </c>
    </row>
    <row r="56" spans="1:14">
      <c r="A56" s="50">
        <v>49</v>
      </c>
      <c r="B56" s="8">
        <f>B52</f>
        <v>1</v>
      </c>
      <c r="C56" s="13">
        <f>F56+B56</f>
        <v>39.379800000000003</v>
      </c>
      <c r="D56" s="11">
        <f t="shared" si="1"/>
        <v>0.68730716877686304</v>
      </c>
      <c r="E56" s="13">
        <f>C56+B56</f>
        <v>40.379800000000003</v>
      </c>
      <c r="F56" s="13">
        <f>C52-B52</f>
        <v>38.379800000000003</v>
      </c>
      <c r="G56" s="13">
        <v>2.5101</v>
      </c>
      <c r="H56" s="13">
        <f t="shared" si="2"/>
        <v>23.477599499433452</v>
      </c>
      <c r="I56" s="13">
        <f t="shared" si="32"/>
        <v>24.477599499433452</v>
      </c>
      <c r="J56" s="13">
        <f t="shared" si="33"/>
        <v>-22.477599499433452</v>
      </c>
      <c r="K56" s="58">
        <f t="shared" si="41"/>
        <v>1.7455064928217585E-2</v>
      </c>
      <c r="L56" s="58">
        <f>TAN(RADIANS(I52+I56)/2)</f>
        <v>0.45518108759861914</v>
      </c>
      <c r="M56" s="58">
        <f>(N55-N52+L56*M52-K56*M55)/(L56-K56)</f>
        <v>18.016960562133374</v>
      </c>
      <c r="N56" s="59">
        <f>N52+L56*(M56-M52)</f>
        <v>1.5813777177651633</v>
      </c>
    </row>
    <row r="57" spans="1:14" ht="15.75" thickBot="1">
      <c r="A57" s="51">
        <v>50</v>
      </c>
      <c r="B57" s="25">
        <v>0</v>
      </c>
      <c r="C57" s="28">
        <f>F57+B57</f>
        <v>40.379800000000003</v>
      </c>
      <c r="D57" s="28">
        <f t="shared" si="1"/>
        <v>0.70476046129680636</v>
      </c>
      <c r="E57" s="28">
        <f>C57+B57</f>
        <v>40.379800000000003</v>
      </c>
      <c r="F57" s="28">
        <f>C54-B54</f>
        <v>40.379800000000003</v>
      </c>
      <c r="G57" s="28">
        <v>2.5543</v>
      </c>
      <c r="H57" s="26">
        <f t="shared" si="2"/>
        <v>23.047660041999094</v>
      </c>
      <c r="I57" s="28">
        <f t="shared" si="32"/>
        <v>23.047660041999094</v>
      </c>
      <c r="J57" s="28">
        <f t="shared" si="33"/>
        <v>-23.047660041999094</v>
      </c>
      <c r="K57" s="60">
        <f t="shared" si="41"/>
        <v>0</v>
      </c>
      <c r="L57" s="60">
        <f>TAN(RADIANS(I54+I57)/2)</f>
        <v>0.42545686506685881</v>
      </c>
      <c r="M57" s="60">
        <f>(N56-N54+L57*M54-K57*M56)/(L57-K57)</f>
        <v>19.468473328255993</v>
      </c>
      <c r="N57" s="61">
        <f>N54+L57*(M57-M54)</f>
        <v>1.5813777177651638</v>
      </c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0"/>
  <sheetViews>
    <sheetView topLeftCell="C1" zoomScale="80" zoomScaleNormal="80" workbookViewId="0">
      <selection activeCell="O42" sqref="O42"/>
    </sheetView>
  </sheetViews>
  <sheetFormatPr defaultRowHeight="15"/>
  <sheetData>
    <row r="1" spans="1:2">
      <c r="A1">
        <v>9.5143644542225836</v>
      </c>
      <c r="B1">
        <v>1</v>
      </c>
    </row>
    <row r="2" spans="1:2">
      <c r="A2">
        <v>9.5434680571690969</v>
      </c>
      <c r="B2">
        <v>0.66734429612256219</v>
      </c>
    </row>
    <row r="3" spans="1:2">
      <c r="A3">
        <v>9.5609444143465101</v>
      </c>
      <c r="B3">
        <v>0.33387553601680742</v>
      </c>
    </row>
    <row r="4" spans="1:2">
      <c r="A4">
        <v>9.5667722335056258</v>
      </c>
      <c r="B4">
        <v>0</v>
      </c>
    </row>
    <row r="5" spans="1:2">
      <c r="A5">
        <v>9.82654817824465</v>
      </c>
      <c r="B5">
        <v>0.85971156718772801</v>
      </c>
    </row>
    <row r="6" spans="1:2">
      <c r="A6">
        <v>9.8505656116030824</v>
      </c>
      <c r="B6">
        <v>0.51624626838600918</v>
      </c>
    </row>
    <row r="7" spans="1:2">
      <c r="A7">
        <v>9.8625816481270849</v>
      </c>
      <c r="B7">
        <v>0.1721520030279052</v>
      </c>
    </row>
    <row r="8" spans="1:2">
      <c r="A8">
        <v>10.122348227935023</v>
      </c>
      <c r="B8">
        <v>1.0639016695899861</v>
      </c>
    </row>
    <row r="9" spans="1:2">
      <c r="A9">
        <v>10.153311599700903</v>
      </c>
      <c r="B9">
        <v>0.7099887108361459</v>
      </c>
    </row>
    <row r="10" spans="1:2">
      <c r="A10">
        <v>10.171904725280303</v>
      </c>
      <c r="B10">
        <v>0.35521074020353227</v>
      </c>
    </row>
    <row r="11" spans="1:2">
      <c r="A11">
        <v>10.178104951813754</v>
      </c>
      <c r="B11">
        <v>0</v>
      </c>
    </row>
    <row r="12" spans="1:2">
      <c r="A12">
        <v>10.469788559193944</v>
      </c>
      <c r="B12">
        <v>0.91598780844288696</v>
      </c>
    </row>
    <row r="13" spans="1:2">
      <c r="A13">
        <v>10.495378160388185</v>
      </c>
      <c r="B13">
        <v>0.55003946212167465</v>
      </c>
    </row>
    <row r="14" spans="1:2">
      <c r="A14">
        <v>10.508180759983063</v>
      </c>
      <c r="B14">
        <v>0.18342097744295127</v>
      </c>
    </row>
    <row r="15" spans="1:2">
      <c r="A15">
        <v>10.800838220074654</v>
      </c>
      <c r="B15">
        <v>1.1352138413492372</v>
      </c>
    </row>
    <row r="16" spans="1:2">
      <c r="A16">
        <v>10.833877032972666</v>
      </c>
      <c r="B16">
        <v>0.7575784819037964</v>
      </c>
    </row>
    <row r="17" spans="1:2">
      <c r="A17">
        <v>10.853716435536825</v>
      </c>
      <c r="B17">
        <v>0.3790201297741761</v>
      </c>
    </row>
    <row r="18" spans="1:2">
      <c r="A18">
        <v>10.860332256511134</v>
      </c>
      <c r="B18">
        <v>0</v>
      </c>
    </row>
    <row r="19" spans="1:2">
      <c r="A19">
        <v>11.19207513194136</v>
      </c>
      <c r="B19">
        <v>0.97917969537527982</v>
      </c>
    </row>
    <row r="20" spans="1:2">
      <c r="A20">
        <v>11.219430100720635</v>
      </c>
      <c r="B20">
        <v>0.58798541640007596</v>
      </c>
    </row>
    <row r="21" spans="1:2">
      <c r="A21">
        <v>11.233115922142902</v>
      </c>
      <c r="B21">
        <v>0.19607476776720012</v>
      </c>
    </row>
    <row r="22" spans="1:2">
      <c r="A22">
        <v>11.56714125025867</v>
      </c>
      <c r="B22">
        <v>1.2157555353184986</v>
      </c>
    </row>
    <row r="23" spans="1:2">
      <c r="A23">
        <v>11.602524116638604</v>
      </c>
      <c r="B23">
        <v>0.8113275219742333</v>
      </c>
    </row>
    <row r="24" spans="1:2">
      <c r="A24">
        <v>11.623771094614243</v>
      </c>
      <c r="B24">
        <v>0.40591103101986525</v>
      </c>
    </row>
    <row r="25" spans="1:2">
      <c r="A25">
        <v>11.630856298015777</v>
      </c>
      <c r="B25">
        <v>0</v>
      </c>
    </row>
    <row r="26" spans="1:2">
      <c r="A26">
        <v>12.004834615319233</v>
      </c>
      <c r="B26">
        <v>1.0502869363440306</v>
      </c>
    </row>
    <row r="27" spans="1:2">
      <c r="A27">
        <v>12.034176079902975</v>
      </c>
      <c r="B27">
        <v>0.63068444384881017</v>
      </c>
    </row>
    <row r="28" spans="1:2">
      <c r="A28">
        <v>12.048855754656074</v>
      </c>
      <c r="B28">
        <v>0.21031355950824962</v>
      </c>
    </row>
    <row r="29" spans="1:2">
      <c r="A29">
        <v>12.427122062568774</v>
      </c>
      <c r="B29">
        <v>1.3061431609395062</v>
      </c>
    </row>
    <row r="30" spans="1:2">
      <c r="A30">
        <v>12.465135534516063</v>
      </c>
      <c r="B30">
        <v>0.87164718837247479</v>
      </c>
    </row>
    <row r="31" spans="1:2">
      <c r="A31">
        <v>12.487962158921478</v>
      </c>
      <c r="B31">
        <v>0.43608924797336579</v>
      </c>
    </row>
    <row r="32" spans="1:2">
      <c r="A32">
        <v>12.495574125059351</v>
      </c>
      <c r="B32">
        <v>0</v>
      </c>
    </row>
    <row r="33" spans="1:2">
      <c r="A33">
        <v>12.912227141301157</v>
      </c>
      <c r="B33">
        <v>1.1296734957355998</v>
      </c>
    </row>
    <row r="34" spans="1:2">
      <c r="A34">
        <v>12.943786397842711</v>
      </c>
      <c r="B34">
        <v>0.67835510062497151</v>
      </c>
    </row>
    <row r="35" spans="1:2">
      <c r="A35">
        <v>12.959575644495937</v>
      </c>
      <c r="B35">
        <v>0.22621023431682347</v>
      </c>
    </row>
    <row r="36" spans="1:2">
      <c r="A36">
        <v>13.353782857022008</v>
      </c>
      <c r="B36">
        <v>1.3872154753880908</v>
      </c>
    </row>
    <row r="37" spans="1:2">
      <c r="A37">
        <v>13.422641609050505</v>
      </c>
      <c r="B37">
        <v>0.93860253558121032</v>
      </c>
    </row>
    <row r="38" spans="1:2">
      <c r="A38">
        <v>13.447221654545388</v>
      </c>
      <c r="B38">
        <v>0.46958732770281791</v>
      </c>
    </row>
    <row r="39" spans="1:2">
      <c r="A39">
        <v>13.45541833183991</v>
      </c>
      <c r="B39">
        <v>0</v>
      </c>
    </row>
    <row r="40" spans="1:2">
      <c r="A40" s="68">
        <v>13.94763182544771</v>
      </c>
      <c r="B40" s="68">
        <v>0.73639121504695138</v>
      </c>
    </row>
    <row r="41" spans="1:2">
      <c r="A41" s="68">
        <v>13.977061621907723</v>
      </c>
      <c r="B41" s="68">
        <v>0.24397051811609835</v>
      </c>
    </row>
    <row r="42" spans="1:2">
      <c r="A42" s="68">
        <v>14.368029875630638</v>
      </c>
      <c r="B42" s="68">
        <v>1.4581392065652317</v>
      </c>
    </row>
    <row r="43" spans="1:2">
      <c r="A43" s="68">
        <v>14.525935060706599</v>
      </c>
      <c r="B43" s="68">
        <v>0.50718674243171891</v>
      </c>
    </row>
    <row r="44" spans="1:2">
      <c r="A44" s="69">
        <v>14.534946986408793</v>
      </c>
      <c r="B44" s="68">
        <v>0</v>
      </c>
    </row>
    <row r="45" spans="1:2">
      <c r="A45" s="68">
        <v>15.122545118819641</v>
      </c>
      <c r="B45" s="68">
        <v>0.26389454831537912</v>
      </c>
    </row>
    <row r="46" spans="1:2">
      <c r="A46" s="68">
        <v>15.453568572785612</v>
      </c>
      <c r="B46" s="68">
        <v>1.5150298790089298</v>
      </c>
    </row>
    <row r="47" spans="1:2">
      <c r="A47" s="69">
        <v>15.751580153864138</v>
      </c>
      <c r="B47" s="68">
        <v>0</v>
      </c>
    </row>
    <row r="48" spans="1:2">
      <c r="A48" s="68">
        <v>16.690487763025757</v>
      </c>
      <c r="B48" s="68">
        <v>1.5582240489312247</v>
      </c>
    </row>
    <row r="49" spans="1:2">
      <c r="A49" s="68">
        <v>18.016960562133374</v>
      </c>
      <c r="B49" s="68">
        <v>1.5813777177651633</v>
      </c>
    </row>
    <row r="50" spans="1:2">
      <c r="A50" s="68">
        <v>19.468473328255993</v>
      </c>
      <c r="B50" s="68">
        <v>1.5813777177651638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4"/>
  <sheetViews>
    <sheetView tabSelected="1" topLeftCell="A30" zoomScale="80" zoomScaleNormal="80" workbookViewId="0">
      <selection activeCell="P44" sqref="P44"/>
    </sheetView>
  </sheetViews>
  <sheetFormatPr defaultRowHeight="15"/>
  <cols>
    <col min="2" max="2" width="12.7109375" customWidth="1"/>
    <col min="3" max="3" width="13.140625" customWidth="1"/>
    <col min="8" max="9" width="9.5703125" bestFit="1" customWidth="1"/>
    <col min="10" max="10" width="10.28515625" bestFit="1" customWidth="1"/>
  </cols>
  <sheetData>
    <row r="1" spans="1:19" ht="15.75" thickBot="1">
      <c r="A1" s="65"/>
      <c r="B1" s="23" t="s">
        <v>8</v>
      </c>
      <c r="C1" s="24">
        <v>0.46039999999999998</v>
      </c>
      <c r="D1" s="23" t="s">
        <v>9</v>
      </c>
      <c r="E1" s="24">
        <v>1.4</v>
      </c>
      <c r="F1" s="65"/>
      <c r="G1" s="65"/>
      <c r="H1" s="65"/>
      <c r="I1" s="65"/>
      <c r="J1" s="65"/>
      <c r="K1" s="65"/>
      <c r="L1" s="65"/>
      <c r="M1" s="65"/>
      <c r="N1" s="65"/>
    </row>
    <row r="2" spans="1:19" ht="15.75" thickBot="1">
      <c r="A2" s="99"/>
      <c r="B2" s="100" t="s">
        <v>12</v>
      </c>
      <c r="C2" s="101">
        <v>1.1000000000000001</v>
      </c>
      <c r="D2" s="101"/>
      <c r="E2" s="102"/>
      <c r="F2" s="103" t="s">
        <v>16</v>
      </c>
      <c r="G2" s="102"/>
      <c r="H2" s="102"/>
      <c r="I2" s="102"/>
      <c r="J2" s="102"/>
      <c r="K2" s="54" t="s">
        <v>22</v>
      </c>
      <c r="L2" s="54"/>
      <c r="M2" s="54"/>
      <c r="N2" s="55"/>
      <c r="O2" s="65"/>
      <c r="P2" s="86"/>
      <c r="Q2" s="87"/>
      <c r="R2" s="88"/>
      <c r="S2" s="89"/>
    </row>
    <row r="3" spans="1:19" ht="36.75" customHeight="1" thickBot="1">
      <c r="A3" s="52" t="s">
        <v>1</v>
      </c>
      <c r="B3" s="53" t="s">
        <v>15</v>
      </c>
      <c r="C3" s="53" t="s">
        <v>14</v>
      </c>
      <c r="D3" s="53" t="s">
        <v>13</v>
      </c>
      <c r="E3" s="53" t="s">
        <v>20</v>
      </c>
      <c r="F3" s="53" t="s">
        <v>21</v>
      </c>
      <c r="G3" s="53" t="s">
        <v>0</v>
      </c>
      <c r="H3" s="53" t="s">
        <v>17</v>
      </c>
      <c r="I3" s="53" t="s">
        <v>18</v>
      </c>
      <c r="J3" s="53" t="s">
        <v>19</v>
      </c>
      <c r="K3" s="54" t="s">
        <v>10</v>
      </c>
      <c r="L3" s="54" t="s">
        <v>11</v>
      </c>
      <c r="M3" s="54" t="s">
        <v>2</v>
      </c>
      <c r="N3" s="98" t="s">
        <v>3</v>
      </c>
      <c r="O3" s="71"/>
      <c r="P3" s="91"/>
      <c r="Q3" s="91"/>
      <c r="R3" s="91"/>
      <c r="S3" s="91"/>
    </row>
    <row r="4" spans="1:19">
      <c r="A4" s="33">
        <v>1</v>
      </c>
      <c r="B4" s="34">
        <v>24</v>
      </c>
      <c r="C4" s="35">
        <v>1.335</v>
      </c>
      <c r="D4" s="35">
        <f>C4*(PI()/180)</f>
        <v>2.33001455141243E-2</v>
      </c>
      <c r="E4" s="35">
        <f>C4+B4</f>
        <v>25.335000000000001</v>
      </c>
      <c r="F4" s="35">
        <f>C4-B4</f>
        <v>-22.664999999999999</v>
      </c>
      <c r="G4" s="34">
        <v>1.1000000000000001</v>
      </c>
      <c r="H4" s="35">
        <f>DEGREES(ASIN(1/G4))</f>
        <v>65.3800226713429</v>
      </c>
      <c r="I4" s="35">
        <f>H4+B4</f>
        <v>89.3800226713429</v>
      </c>
      <c r="J4" s="35">
        <f>B4-H4</f>
        <v>-41.3800226713429</v>
      </c>
      <c r="K4" s="37"/>
      <c r="L4" s="37"/>
      <c r="M4" s="123">
        <v>0.28000000000000003</v>
      </c>
      <c r="N4" s="124">
        <v>0.125</v>
      </c>
      <c r="O4" s="70"/>
      <c r="P4" s="92"/>
      <c r="Q4" s="92"/>
      <c r="R4" s="68"/>
      <c r="S4" s="68"/>
    </row>
    <row r="5" spans="1:19">
      <c r="A5" s="40">
        <v>2</v>
      </c>
      <c r="B5" s="9">
        <v>16</v>
      </c>
      <c r="C5" s="11">
        <v>1.335</v>
      </c>
      <c r="D5" s="11">
        <f t="shared" ref="D5:D55" si="0">C5*(PI()/180)</f>
        <v>2.33001455141243E-2</v>
      </c>
      <c r="E5" s="11">
        <f>C5+B5</f>
        <v>17.335000000000001</v>
      </c>
      <c r="F5" s="11">
        <f>C5-B5</f>
        <v>-14.664999999999999</v>
      </c>
      <c r="G5" s="9">
        <v>1.1000000000000001</v>
      </c>
      <c r="H5" s="11">
        <f>DEGREES(ASIN(1/G5))</f>
        <v>65.3800226713429</v>
      </c>
      <c r="I5" s="11">
        <f t="shared" ref="I5:I36" si="1">H5+B5</f>
        <v>81.3800226713429</v>
      </c>
      <c r="J5" s="11">
        <f t="shared" ref="J5:J36" si="2">B5-H5</f>
        <v>-49.3800226713429</v>
      </c>
      <c r="K5" s="14"/>
      <c r="L5" s="14"/>
      <c r="M5" s="18">
        <f>M7*COS(RADIANS(B5))</f>
        <v>0.29475644373033477</v>
      </c>
      <c r="N5" s="41">
        <f>M7*SIN(RADIANS(B5))</f>
        <v>8.4520050162349189E-2</v>
      </c>
      <c r="O5" s="70"/>
      <c r="P5" s="92"/>
      <c r="Q5" s="75"/>
      <c r="R5" s="68"/>
      <c r="S5" s="68"/>
    </row>
    <row r="6" spans="1:19">
      <c r="A6" s="40">
        <v>3</v>
      </c>
      <c r="B6" s="9">
        <v>8</v>
      </c>
      <c r="C6" s="11">
        <v>1.335</v>
      </c>
      <c r="D6" s="11">
        <f t="shared" si="0"/>
        <v>2.33001455141243E-2</v>
      </c>
      <c r="E6" s="11">
        <f>C6+B6</f>
        <v>9.3350000000000009</v>
      </c>
      <c r="F6" s="11">
        <f>C6-B6</f>
        <v>-6.665</v>
      </c>
      <c r="G6" s="9">
        <v>1.1000000000000001</v>
      </c>
      <c r="H6" s="11">
        <f t="shared" ref="H6:H21" si="3">DEGREES(ASIN(1/G6))</f>
        <v>65.3800226713429</v>
      </c>
      <c r="I6" s="11">
        <f t="shared" si="1"/>
        <v>73.3800226713429</v>
      </c>
      <c r="J6" s="11">
        <f t="shared" si="2"/>
        <v>-57.3800226713429</v>
      </c>
      <c r="K6" s="14"/>
      <c r="L6" s="14"/>
      <c r="M6" s="18">
        <f>M7*COS(RADIANS(B6))</f>
        <v>0.30365081175636638</v>
      </c>
      <c r="N6" s="41">
        <f>M7*SIN(RADIANS(B6))</f>
        <v>4.2675338542298463E-2</v>
      </c>
      <c r="O6" s="70"/>
      <c r="P6" s="92"/>
      <c r="Q6" s="75"/>
      <c r="R6" s="68"/>
      <c r="S6" s="68"/>
    </row>
    <row r="7" spans="1:19">
      <c r="A7" s="40">
        <v>4</v>
      </c>
      <c r="B7" s="9">
        <v>0</v>
      </c>
      <c r="C7" s="11">
        <v>1.335</v>
      </c>
      <c r="D7" s="11">
        <f t="shared" si="0"/>
        <v>2.33001455141243E-2</v>
      </c>
      <c r="E7" s="11">
        <f>C7+B7</f>
        <v>1.335</v>
      </c>
      <c r="F7" s="11">
        <f>C7-B7</f>
        <v>1.335</v>
      </c>
      <c r="G7" s="9">
        <v>1.1000000000000001</v>
      </c>
      <c r="H7" s="11">
        <f t="shared" si="3"/>
        <v>65.3800226713429</v>
      </c>
      <c r="I7" s="11">
        <f t="shared" si="1"/>
        <v>65.3800226713429</v>
      </c>
      <c r="J7" s="11">
        <f t="shared" si="2"/>
        <v>-65.3800226713429</v>
      </c>
      <c r="K7" s="14"/>
      <c r="L7" s="14"/>
      <c r="M7" s="18">
        <f>SQRT(M4^2+N4^2)</f>
        <v>0.3066349621292393</v>
      </c>
      <c r="N7" s="41">
        <f>M7*SIN(RADIANS(B7))</f>
        <v>0</v>
      </c>
      <c r="O7" s="70"/>
      <c r="P7" s="92"/>
      <c r="Q7" s="75"/>
      <c r="R7" s="68"/>
      <c r="S7" s="68"/>
    </row>
    <row r="8" spans="1:19">
      <c r="A8" s="40">
        <v>5</v>
      </c>
      <c r="B8" s="8">
        <f>(E8-F8)/2</f>
        <v>20</v>
      </c>
      <c r="C8" s="11">
        <f>(E8+F8)/2</f>
        <v>5.3350000000000009</v>
      </c>
      <c r="D8" s="11">
        <f t="shared" si="0"/>
        <v>9.3113315593897503E-2</v>
      </c>
      <c r="E8" s="12">
        <f>B4+C4</f>
        <v>25.335000000000001</v>
      </c>
      <c r="F8" s="12">
        <f>C5-B5</f>
        <v>-14.664999999999999</v>
      </c>
      <c r="G8" s="13">
        <v>1.2689999999999999</v>
      </c>
      <c r="H8" s="11">
        <f t="shared" si="3"/>
        <v>52.00105265774021</v>
      </c>
      <c r="I8" s="11">
        <f t="shared" si="1"/>
        <v>72.001052657740217</v>
      </c>
      <c r="J8" s="11">
        <f t="shared" si="2"/>
        <v>-32.00105265774021</v>
      </c>
      <c r="K8" s="15">
        <f>TAN(RADIANS((J4+J8)/2))</f>
        <v>-0.74512015631940776</v>
      </c>
      <c r="L8" s="15">
        <f>TAN(RADIANS((I5+I8)/2))</f>
        <v>4.2271793149995514</v>
      </c>
      <c r="M8" s="19">
        <f>(N4-N5+L8*M5-K8*M4)/(L8-K8)</f>
        <v>0.30068622055666183</v>
      </c>
      <c r="N8" s="42">
        <f>N4+K8*(M8-M4)</f>
        <v>0.10958628010516241</v>
      </c>
      <c r="O8" s="70"/>
      <c r="P8" s="92"/>
      <c r="Q8" s="75"/>
      <c r="R8" s="68"/>
      <c r="S8" s="68"/>
    </row>
    <row r="9" spans="1:19">
      <c r="A9" s="40">
        <v>6</v>
      </c>
      <c r="B9" s="8">
        <v>12</v>
      </c>
      <c r="C9" s="11">
        <f t="shared" ref="C9:C10" si="4">(E9+F9)/2</f>
        <v>5.3350000000000009</v>
      </c>
      <c r="D9" s="11">
        <f t="shared" si="0"/>
        <v>9.3113315593897503E-2</v>
      </c>
      <c r="E9" s="12">
        <f>B5+C5</f>
        <v>17.335000000000001</v>
      </c>
      <c r="F9" s="12">
        <f>C6-B6</f>
        <v>-6.665</v>
      </c>
      <c r="G9" s="13">
        <v>1.2689999999999999</v>
      </c>
      <c r="H9" s="11">
        <f t="shared" si="3"/>
        <v>52.00105265774021</v>
      </c>
      <c r="I9" s="11">
        <f t="shared" si="1"/>
        <v>64.001052657740217</v>
      </c>
      <c r="J9" s="11">
        <f t="shared" si="2"/>
        <v>-40.00105265774021</v>
      </c>
      <c r="K9" s="15">
        <f t="shared" ref="K9:K17" si="5">TAN(RADIANS((J5+J9)/2))</f>
        <v>-0.98925565387326264</v>
      </c>
      <c r="L9" s="15">
        <f t="shared" ref="L9:L13" si="6">TAN(RADIANS((I6+I9)/2))</f>
        <v>2.5636163099845559</v>
      </c>
      <c r="M9" s="19">
        <f>(N5-N6+L9*M6-K9*M5)/(L9-K9)</f>
        <v>0.31295199347606656</v>
      </c>
      <c r="N9" s="42">
        <f>N5+K9*(M9-M5)</f>
        <v>6.651999970105181E-2</v>
      </c>
      <c r="O9" s="70"/>
      <c r="P9" s="92"/>
      <c r="Q9" s="75"/>
      <c r="R9" s="68"/>
      <c r="S9" s="93"/>
    </row>
    <row r="10" spans="1:19">
      <c r="A10" s="40">
        <v>7</v>
      </c>
      <c r="B10" s="8">
        <v>4</v>
      </c>
      <c r="C10" s="11">
        <f t="shared" si="4"/>
        <v>5.3350000000000009</v>
      </c>
      <c r="D10" s="11">
        <f t="shared" si="0"/>
        <v>9.3113315593897503E-2</v>
      </c>
      <c r="E10" s="12">
        <f>C6+B6</f>
        <v>9.3350000000000009</v>
      </c>
      <c r="F10" s="12">
        <f>C7-B7</f>
        <v>1.335</v>
      </c>
      <c r="G10" s="13">
        <v>1.2689999999999999</v>
      </c>
      <c r="H10" s="11">
        <f t="shared" si="3"/>
        <v>52.00105265774021</v>
      </c>
      <c r="I10" s="11">
        <f t="shared" si="1"/>
        <v>56.00105265774021</v>
      </c>
      <c r="J10" s="11">
        <f t="shared" si="2"/>
        <v>-48.00105265774021</v>
      </c>
      <c r="K10" s="15">
        <f t="shared" si="5"/>
        <v>-1.3122380088526822</v>
      </c>
      <c r="L10" s="15">
        <f t="shared" si="6"/>
        <v>1.7812896737546975</v>
      </c>
      <c r="M10" s="19">
        <f>(N6-N7+L10*M7-K10*M6)/(L10-K10)</f>
        <v>0.31916416082262694</v>
      </c>
      <c r="N10" s="42">
        <f>N6+K10*(M10-M6)</f>
        <v>2.2318132252952087E-2</v>
      </c>
      <c r="O10" s="70"/>
      <c r="P10" s="75"/>
      <c r="Q10" s="75"/>
      <c r="R10" s="68"/>
      <c r="S10" s="93"/>
    </row>
    <row r="11" spans="1:19">
      <c r="A11" s="40">
        <v>8</v>
      </c>
      <c r="B11" s="9">
        <v>24</v>
      </c>
      <c r="C11" s="11">
        <v>9.3350000000000009</v>
      </c>
      <c r="D11" s="11">
        <f t="shared" si="0"/>
        <v>0.16292648567367068</v>
      </c>
      <c r="E11" s="11">
        <f>C11+B11</f>
        <v>33.335000000000001</v>
      </c>
      <c r="F11" s="12">
        <f>C8-B8</f>
        <v>-14.664999999999999</v>
      </c>
      <c r="G11" s="11">
        <v>1.4120999999999999</v>
      </c>
      <c r="H11" s="11">
        <f t="shared" si="3"/>
        <v>45.085821834094922</v>
      </c>
      <c r="I11" s="11">
        <f t="shared" si="1"/>
        <v>69.085821834094929</v>
      </c>
      <c r="J11" s="11">
        <f t="shared" si="2"/>
        <v>-21.085821834094922</v>
      </c>
      <c r="K11" s="16">
        <f>TAN(RADIANS(24))</f>
        <v>0.44522868530853621</v>
      </c>
      <c r="L11" s="16">
        <f t="shared" si="6"/>
        <v>2.830731246510072</v>
      </c>
      <c r="M11" s="105">
        <f>(N4-N8+L11*M8-K11*M4)/(L11-K11)</f>
        <v>0.31100849774796363</v>
      </c>
      <c r="N11" s="125">
        <f>N8+L11*(M11-M8)</f>
        <v>0.13880587268571865</v>
      </c>
      <c r="O11" s="70"/>
      <c r="P11" s="75"/>
      <c r="Q11" s="75"/>
      <c r="R11" s="68"/>
      <c r="S11" s="93"/>
    </row>
    <row r="12" spans="1:19">
      <c r="A12" s="40">
        <v>9</v>
      </c>
      <c r="B12" s="8">
        <v>16</v>
      </c>
      <c r="C12" s="11">
        <v>9.3350000000000009</v>
      </c>
      <c r="D12" s="11">
        <f t="shared" si="0"/>
        <v>0.16292648567367068</v>
      </c>
      <c r="E12" s="12">
        <f>C12+B12</f>
        <v>25.335000000000001</v>
      </c>
      <c r="F12" s="12">
        <f>C12-B12</f>
        <v>-6.6649999999999991</v>
      </c>
      <c r="G12" s="11">
        <v>1.4120999999999999</v>
      </c>
      <c r="H12" s="11">
        <f t="shared" si="3"/>
        <v>45.085821834094922</v>
      </c>
      <c r="I12" s="11">
        <f t="shared" si="1"/>
        <v>61.085821834094922</v>
      </c>
      <c r="J12" s="11">
        <f t="shared" si="2"/>
        <v>-29.085821834094922</v>
      </c>
      <c r="K12" s="16">
        <f>TAN(RADIANS((J8+J12)/2))</f>
        <v>-0.5900666447820837</v>
      </c>
      <c r="L12" s="16">
        <f t="shared" si="6"/>
        <v>1.9245430408849633</v>
      </c>
      <c r="M12" s="18">
        <f>(N8-N9+L12*M9-K12*M8)/(L12-K12)</f>
        <v>0.32720019157063263</v>
      </c>
      <c r="N12" s="41">
        <f t="shared" ref="N12:N13" si="7">N9+L12*(M12-M9)</f>
        <v>9.3941270189099327E-2</v>
      </c>
      <c r="O12" s="70"/>
      <c r="P12" s="75"/>
      <c r="Q12" s="75"/>
      <c r="R12" s="68"/>
      <c r="S12" s="93"/>
    </row>
    <row r="13" spans="1:19">
      <c r="A13" s="40">
        <v>10</v>
      </c>
      <c r="B13" s="8">
        <v>8</v>
      </c>
      <c r="C13" s="11">
        <v>9.3350000000000009</v>
      </c>
      <c r="D13" s="11">
        <f t="shared" si="0"/>
        <v>0.16292648567367068</v>
      </c>
      <c r="E13" s="12">
        <f>C13+B13</f>
        <v>17.335000000000001</v>
      </c>
      <c r="F13" s="12">
        <f>C13-B13</f>
        <v>1.3350000000000009</v>
      </c>
      <c r="G13" s="11">
        <v>1.4120999999999999</v>
      </c>
      <c r="H13" s="11">
        <f t="shared" si="3"/>
        <v>45.085821834094922</v>
      </c>
      <c r="I13" s="11">
        <f t="shared" si="1"/>
        <v>53.085821834094922</v>
      </c>
      <c r="J13" s="11">
        <f t="shared" si="2"/>
        <v>-37.085821834094922</v>
      </c>
      <c r="K13" s="16">
        <f t="shared" ref="K13:K14" si="8">TAN(RADIANS((J9+J13)/2))</f>
        <v>-0.79667446502448158</v>
      </c>
      <c r="L13" s="16">
        <f t="shared" si="6"/>
        <v>1.4041988694974452</v>
      </c>
      <c r="M13" s="18">
        <f t="shared" ref="M13" si="9">(N9-N10+L13*M10-K13*M9)/(L13-K13)</f>
        <v>0.3369992591606068</v>
      </c>
      <c r="N13" s="41">
        <f t="shared" si="7"/>
        <v>4.7362157176519169E-2</v>
      </c>
      <c r="O13" s="70"/>
      <c r="P13" s="92"/>
      <c r="Q13" s="75"/>
      <c r="R13" s="68"/>
      <c r="S13" s="93"/>
    </row>
    <row r="14" spans="1:19">
      <c r="A14" s="40">
        <v>11</v>
      </c>
      <c r="B14" s="9">
        <v>0</v>
      </c>
      <c r="C14" s="11">
        <v>9.3350000000000009</v>
      </c>
      <c r="D14" s="11">
        <f t="shared" si="0"/>
        <v>0.16292648567367068</v>
      </c>
      <c r="E14" s="12">
        <f>C14+B14</f>
        <v>9.3350000000000009</v>
      </c>
      <c r="F14" s="12">
        <f>C14-B14</f>
        <v>9.3350000000000009</v>
      </c>
      <c r="G14" s="11">
        <v>1.4120999999999999</v>
      </c>
      <c r="H14" s="11">
        <f t="shared" si="3"/>
        <v>45.085821834094922</v>
      </c>
      <c r="I14" s="11">
        <f t="shared" si="1"/>
        <v>45.085821834094922</v>
      </c>
      <c r="J14" s="11">
        <f t="shared" si="2"/>
        <v>-45.085821834094922</v>
      </c>
      <c r="K14" s="16">
        <f t="shared" si="8"/>
        <v>-1.0553813873622906</v>
      </c>
      <c r="L14" s="16">
        <v>0</v>
      </c>
      <c r="M14" s="18">
        <f>(N10-K14*M10)/(L14-K14)</f>
        <v>0.34031114381872818</v>
      </c>
      <c r="N14" s="41">
        <v>0</v>
      </c>
      <c r="O14" s="70"/>
      <c r="P14" s="75"/>
      <c r="Q14" s="75"/>
      <c r="R14" s="68"/>
      <c r="S14" s="93"/>
    </row>
    <row r="15" spans="1:19">
      <c r="A15" s="40">
        <v>12</v>
      </c>
      <c r="B15" s="8">
        <v>20</v>
      </c>
      <c r="C15" s="11">
        <f>(E15+F15)/2</f>
        <v>13.335000000000001</v>
      </c>
      <c r="D15" s="11">
        <f t="shared" si="0"/>
        <v>0.23273965575344385</v>
      </c>
      <c r="E15" s="12">
        <f>C11+B11</f>
        <v>33.335000000000001</v>
      </c>
      <c r="F15" s="12">
        <f>C12-B12</f>
        <v>-6.6649999999999991</v>
      </c>
      <c r="G15" s="11">
        <v>1.55</v>
      </c>
      <c r="H15" s="11">
        <f t="shared" si="3"/>
        <v>40.177769540147885</v>
      </c>
      <c r="I15" s="11">
        <f t="shared" si="1"/>
        <v>60.177769540147885</v>
      </c>
      <c r="J15" s="11">
        <f t="shared" si="2"/>
        <v>-20.177769540147885</v>
      </c>
      <c r="K15" s="15">
        <f t="shared" si="5"/>
        <v>-0.37650876358987656</v>
      </c>
      <c r="L15" s="15">
        <f t="shared" ref="L15:L20" si="10">TAN(RADIANS((I12+I15)/2))</f>
        <v>1.7770191482487021</v>
      </c>
      <c r="M15" s="19">
        <f>(N11-N12+L15*M12-K15*M11)/(L15-K15)</f>
        <v>0.34520241372057531</v>
      </c>
      <c r="N15" s="42">
        <f>N12+L15*(M15-M12)</f>
        <v>0.1259315636605744</v>
      </c>
      <c r="O15" s="70"/>
      <c r="P15" s="75"/>
      <c r="Q15" s="75"/>
      <c r="R15" s="68"/>
      <c r="S15" s="93"/>
    </row>
    <row r="16" spans="1:19">
      <c r="A16" s="40">
        <v>13</v>
      </c>
      <c r="B16" s="8">
        <v>12</v>
      </c>
      <c r="C16" s="11">
        <f t="shared" ref="C16:C20" si="11">(E16+F16)/2</f>
        <v>13.335000000000001</v>
      </c>
      <c r="D16" s="11">
        <f t="shared" si="0"/>
        <v>0.23273965575344385</v>
      </c>
      <c r="E16" s="12">
        <f>C12+B12</f>
        <v>25.335000000000001</v>
      </c>
      <c r="F16" s="12">
        <f>C13-B13</f>
        <v>1.3350000000000009</v>
      </c>
      <c r="G16" s="11">
        <v>1.55</v>
      </c>
      <c r="H16" s="11">
        <f t="shared" si="3"/>
        <v>40.177769540147885</v>
      </c>
      <c r="I16" s="11">
        <f t="shared" si="1"/>
        <v>52.177769540147885</v>
      </c>
      <c r="J16" s="11">
        <f t="shared" si="2"/>
        <v>-28.177769540147885</v>
      </c>
      <c r="K16" s="15">
        <f t="shared" si="5"/>
        <v>-0.54593781933704444</v>
      </c>
      <c r="L16" s="15">
        <f t="shared" si="10"/>
        <v>1.3094510837240325</v>
      </c>
      <c r="M16" s="19">
        <f t="shared" ref="M16:M17" si="12">(N12-N13+L16*M13-K16*M12)/(L16-K16)</f>
        <v>0.3592207089887004</v>
      </c>
      <c r="N16" s="42">
        <f t="shared" ref="N16:N17" si="13">N13+L16*(M16-M13)</f>
        <v>7.6460058735835543E-2</v>
      </c>
      <c r="O16" s="70"/>
      <c r="P16" s="92"/>
      <c r="Q16" s="75"/>
      <c r="R16" s="68"/>
      <c r="S16" s="93"/>
    </row>
    <row r="17" spans="1:19">
      <c r="A17" s="40">
        <v>14</v>
      </c>
      <c r="B17" s="8">
        <v>4</v>
      </c>
      <c r="C17" s="11">
        <f t="shared" si="11"/>
        <v>13.335000000000001</v>
      </c>
      <c r="D17" s="11">
        <f t="shared" si="0"/>
        <v>0.23273965575344385</v>
      </c>
      <c r="E17" s="12">
        <f>C13+B13</f>
        <v>17.335000000000001</v>
      </c>
      <c r="F17" s="12">
        <f>C14-B14</f>
        <v>9.3350000000000009</v>
      </c>
      <c r="G17" s="11">
        <v>1.55</v>
      </c>
      <c r="H17" s="11">
        <f t="shared" si="3"/>
        <v>40.177769540147885</v>
      </c>
      <c r="I17" s="11">
        <f t="shared" si="1"/>
        <v>44.177769540147885</v>
      </c>
      <c r="J17" s="11">
        <f t="shared" si="2"/>
        <v>-36.177769540147885</v>
      </c>
      <c r="K17" s="15">
        <f t="shared" si="5"/>
        <v>-0.74352691406232818</v>
      </c>
      <c r="L17" s="15">
        <f t="shared" si="10"/>
        <v>0.98722913940708834</v>
      </c>
      <c r="M17" s="19">
        <f t="shared" si="12"/>
        <v>0.36625337970282718</v>
      </c>
      <c r="N17" s="42">
        <f t="shared" si="13"/>
        <v>2.5610931206154739E-2</v>
      </c>
      <c r="O17" s="70"/>
      <c r="P17" s="75"/>
      <c r="Q17" s="75"/>
      <c r="R17" s="68"/>
      <c r="S17" s="93"/>
    </row>
    <row r="18" spans="1:19">
      <c r="A18" s="31">
        <v>15</v>
      </c>
      <c r="B18" s="9">
        <v>24</v>
      </c>
      <c r="C18" s="11">
        <f t="shared" si="11"/>
        <v>17.335000000000001</v>
      </c>
      <c r="D18" s="11">
        <f t="shared" si="0"/>
        <v>0.30255282583321702</v>
      </c>
      <c r="E18" s="11">
        <v>41.335000000000001</v>
      </c>
      <c r="F18" s="12">
        <f>F15</f>
        <v>-6.6649999999999991</v>
      </c>
      <c r="G18" s="11">
        <v>1.6838</v>
      </c>
      <c r="H18" s="11">
        <f t="shared" si="3"/>
        <v>36.433882221197379</v>
      </c>
      <c r="I18" s="11">
        <f t="shared" si="1"/>
        <v>60.433882221197379</v>
      </c>
      <c r="J18" s="11">
        <f t="shared" si="2"/>
        <v>-12.433882221197379</v>
      </c>
      <c r="K18" s="17">
        <f>TAN(RADIANS(24))</f>
        <v>0.44522868530853621</v>
      </c>
      <c r="L18" s="16">
        <f t="shared" si="10"/>
        <v>1.7536009196751947</v>
      </c>
      <c r="M18" s="105">
        <f>(N11-N15+L18*M15-K18*M11)/(L18-K18)</f>
        <v>0.36667827551366988</v>
      </c>
      <c r="N18" s="125">
        <f>N15+L18*(M18-M15)</f>
        <v>0.16359165465176242</v>
      </c>
      <c r="P18" s="94"/>
      <c r="Q18" s="94"/>
      <c r="R18" s="94"/>
      <c r="S18" s="94"/>
    </row>
    <row r="19" spans="1:19">
      <c r="A19" s="31">
        <v>16</v>
      </c>
      <c r="B19" s="8">
        <v>16</v>
      </c>
      <c r="C19" s="11">
        <f t="shared" si="11"/>
        <v>17.335000000000001</v>
      </c>
      <c r="D19" s="11">
        <f t="shared" si="0"/>
        <v>0.30255282583321702</v>
      </c>
      <c r="E19" s="12">
        <f>C15+B15</f>
        <v>33.335000000000001</v>
      </c>
      <c r="F19" s="12">
        <f>C16-B16</f>
        <v>1.3350000000000009</v>
      </c>
      <c r="G19" s="11">
        <v>1.6838</v>
      </c>
      <c r="H19" s="11">
        <f t="shared" si="3"/>
        <v>36.433882221197379</v>
      </c>
      <c r="I19" s="11">
        <f t="shared" si="1"/>
        <v>52.433882221197379</v>
      </c>
      <c r="J19" s="11">
        <f t="shared" si="2"/>
        <v>-20.433882221197379</v>
      </c>
      <c r="K19" s="16">
        <f t="shared" ref="K19:K21" si="14">TAN(RADIANS((J15+J19)/2))</f>
        <v>-0.37002683088212812</v>
      </c>
      <c r="L19" s="16">
        <f t="shared" si="10"/>
        <v>1.2941207443592198</v>
      </c>
      <c r="M19" s="18">
        <f>(N15-N16+L19*M16-K19*M15)/(L19-K19)</f>
        <v>0.38583154579858009</v>
      </c>
      <c r="N19" s="41">
        <f t="shared" ref="N19:N20" si="15">N16+L19*(M19-M16)</f>
        <v>0.11089769467625876</v>
      </c>
    </row>
    <row r="20" spans="1:19">
      <c r="A20" s="31">
        <v>17</v>
      </c>
      <c r="B20" s="8">
        <v>8</v>
      </c>
      <c r="C20" s="11">
        <f t="shared" si="11"/>
        <v>17.335000000000001</v>
      </c>
      <c r="D20" s="11">
        <f t="shared" si="0"/>
        <v>0.30255282583321702</v>
      </c>
      <c r="E20" s="12">
        <f>C16+B16</f>
        <v>25.335000000000001</v>
      </c>
      <c r="F20" s="12">
        <f>C17-B17</f>
        <v>9.3350000000000009</v>
      </c>
      <c r="G20" s="11">
        <v>1.6838</v>
      </c>
      <c r="H20" s="11">
        <f t="shared" si="3"/>
        <v>36.433882221197379</v>
      </c>
      <c r="I20" s="11">
        <f t="shared" si="1"/>
        <v>44.433882221197379</v>
      </c>
      <c r="J20" s="11">
        <f t="shared" si="2"/>
        <v>-28.433882221197379</v>
      </c>
      <c r="K20" s="16">
        <f t="shared" si="14"/>
        <v>-0.5385756910156857</v>
      </c>
      <c r="L20" s="16">
        <f t="shared" si="10"/>
        <v>0.97605765699874902</v>
      </c>
      <c r="M20" s="18">
        <f>(N16-N17+L20*M17-K20*M16)/(L20-K20)</f>
        <v>0.39732459710460177</v>
      </c>
      <c r="N20" s="41">
        <f t="shared" si="15"/>
        <v>5.5938230863429611E-2</v>
      </c>
    </row>
    <row r="21" spans="1:19" ht="15.75" thickBot="1">
      <c r="A21" s="32">
        <v>18</v>
      </c>
      <c r="B21" s="25">
        <v>0</v>
      </c>
      <c r="C21" s="11">
        <v>17.335000000000001</v>
      </c>
      <c r="D21" s="26">
        <f t="shared" si="0"/>
        <v>0.30255282583321702</v>
      </c>
      <c r="E21" s="83">
        <f>C21+B21</f>
        <v>17.335000000000001</v>
      </c>
      <c r="F21" s="26">
        <f>C21-B21</f>
        <v>17.335000000000001</v>
      </c>
      <c r="G21" s="11">
        <v>1.6838</v>
      </c>
      <c r="H21" s="11">
        <f t="shared" si="3"/>
        <v>36.433882221197379</v>
      </c>
      <c r="I21" s="26">
        <f t="shared" si="1"/>
        <v>36.433882221197379</v>
      </c>
      <c r="J21" s="26">
        <f t="shared" si="2"/>
        <v>-36.433882221197379</v>
      </c>
      <c r="K21" s="27">
        <f t="shared" si="14"/>
        <v>-0.73472958739741279</v>
      </c>
      <c r="L21" s="27">
        <v>0</v>
      </c>
      <c r="M21" s="84">
        <f>(N17-K21*M17)/(L21-K21)</f>
        <v>0.40111100847598546</v>
      </c>
      <c r="N21" s="85">
        <v>0</v>
      </c>
    </row>
    <row r="22" spans="1:19" ht="33.75" thickBot="1">
      <c r="A22" s="52" t="s">
        <v>1</v>
      </c>
      <c r="B22" s="53" t="s">
        <v>15</v>
      </c>
      <c r="C22" s="53" t="s">
        <v>14</v>
      </c>
      <c r="D22" s="53" t="s">
        <v>13</v>
      </c>
      <c r="E22" s="53" t="s">
        <v>20</v>
      </c>
      <c r="F22" s="53" t="s">
        <v>21</v>
      </c>
      <c r="G22" s="53" t="s">
        <v>0</v>
      </c>
      <c r="H22" s="53" t="s">
        <v>17</v>
      </c>
      <c r="I22" s="53" t="s">
        <v>18</v>
      </c>
      <c r="J22" s="53" t="s">
        <v>19</v>
      </c>
      <c r="K22" s="54" t="s">
        <v>10</v>
      </c>
      <c r="L22" s="54" t="s">
        <v>11</v>
      </c>
      <c r="M22" s="54" t="s">
        <v>2</v>
      </c>
      <c r="N22" s="55" t="s">
        <v>3</v>
      </c>
    </row>
    <row r="23" spans="1:19">
      <c r="A23" s="30">
        <v>19</v>
      </c>
      <c r="B23" s="36">
        <v>20</v>
      </c>
      <c r="C23" s="45">
        <f>(E23+F23)/2</f>
        <v>21.335000000000001</v>
      </c>
      <c r="D23" s="11">
        <f t="shared" si="0"/>
        <v>0.37236599591299024</v>
      </c>
      <c r="E23" s="35">
        <f>C18+B18</f>
        <v>41.335000000000001</v>
      </c>
      <c r="F23" s="35">
        <f>C19-B19</f>
        <v>1.3350000000000009</v>
      </c>
      <c r="G23" s="45">
        <v>1.82</v>
      </c>
      <c r="H23" s="35">
        <f t="shared" ref="H23:H55" si="16">(180/PI())*ASIN(1/G23)</f>
        <v>33.329326528789579</v>
      </c>
      <c r="I23" s="35">
        <f t="shared" si="1"/>
        <v>53.329326528789579</v>
      </c>
      <c r="J23" s="35">
        <f t="shared" si="2"/>
        <v>-13.329326528789579</v>
      </c>
      <c r="K23" s="43">
        <f>TAN(RADIANS(J18+J23)/2)</f>
        <v>-0.22869269338187873</v>
      </c>
      <c r="L23" s="16">
        <f>TAN(RADIANS((I19+I23)/2))</f>
        <v>1.3213550046302265</v>
      </c>
      <c r="M23" s="45">
        <f>(N18-N19+L23*M19-K23*M18)/(L23-K23)</f>
        <v>0.41700074599089515</v>
      </c>
      <c r="N23" s="137">
        <f>N18+K23*(M23-M18)</f>
        <v>0.15208327334069571</v>
      </c>
      <c r="O23" s="148" t="s">
        <v>23</v>
      </c>
      <c r="P23" s="149"/>
      <c r="Q23" s="150"/>
    </row>
    <row r="24" spans="1:19">
      <c r="A24" s="31">
        <v>20</v>
      </c>
      <c r="B24" s="8">
        <v>12</v>
      </c>
      <c r="C24" s="13">
        <f>(E24+F24)/2</f>
        <v>21.335000000000001</v>
      </c>
      <c r="D24" s="11">
        <f t="shared" si="0"/>
        <v>0.37236599591299024</v>
      </c>
      <c r="E24" s="13">
        <f>C19+B19</f>
        <v>33.335000000000001</v>
      </c>
      <c r="F24" s="13">
        <f>C20-B20</f>
        <v>9.3350000000000009</v>
      </c>
      <c r="G24" s="13">
        <v>1.82</v>
      </c>
      <c r="H24" s="13">
        <f t="shared" si="16"/>
        <v>33.329326528789579</v>
      </c>
      <c r="I24" s="13">
        <f t="shared" si="1"/>
        <v>45.329326528789579</v>
      </c>
      <c r="J24" s="13">
        <f t="shared" si="2"/>
        <v>-21.329326528789579</v>
      </c>
      <c r="K24" s="16">
        <f>TAN(RADIANS((J19+J24)/2))</f>
        <v>-0.38149503093519138</v>
      </c>
      <c r="L24" s="16">
        <f>TAN(RADIANS((I20+I24)/2))</f>
        <v>0.99587572954273829</v>
      </c>
      <c r="M24" s="13">
        <f>(N19-N20+L24*M20-K24*M19)/(L24-K24)</f>
        <v>0.43404304888279249</v>
      </c>
      <c r="N24" s="138">
        <f>N19+K24*(M24-M19)</f>
        <v>9.2505245815715079E-2</v>
      </c>
      <c r="O24" s="142"/>
      <c r="P24" s="141" t="s">
        <v>8</v>
      </c>
      <c r="Q24" s="143">
        <v>2.3321105593219538E-2</v>
      </c>
      <c r="R24" s="3" t="s">
        <v>9</v>
      </c>
      <c r="S24" s="4">
        <v>1.2</v>
      </c>
    </row>
    <row r="25" spans="1:19" ht="18">
      <c r="A25" s="31">
        <v>21</v>
      </c>
      <c r="B25" s="8">
        <v>4</v>
      </c>
      <c r="C25" s="13">
        <f>(E25+F25)/2</f>
        <v>21.335000000000001</v>
      </c>
      <c r="D25" s="11">
        <f t="shared" si="0"/>
        <v>0.37236599591299024</v>
      </c>
      <c r="E25" s="13">
        <f>C20+B20</f>
        <v>25.335000000000001</v>
      </c>
      <c r="F25" s="13">
        <f>C21-B21</f>
        <v>17.335000000000001</v>
      </c>
      <c r="G25" s="13">
        <v>1.82</v>
      </c>
      <c r="H25" s="13">
        <f t="shared" si="16"/>
        <v>33.329326528789579</v>
      </c>
      <c r="I25" s="13">
        <f t="shared" si="1"/>
        <v>37.329326528789579</v>
      </c>
      <c r="J25" s="13">
        <f t="shared" si="2"/>
        <v>-29.329326528789579</v>
      </c>
      <c r="K25" s="16">
        <f>TAN(RADIANS((J20+J25)/2))</f>
        <v>-0.55161082772643555</v>
      </c>
      <c r="L25" s="16">
        <f>TAN(RADIANS((I21+I25)/2))</f>
        <v>0.75031930044724016</v>
      </c>
      <c r="M25" s="13">
        <f>(N20-N21+L25*M21-K25*M20)/(L25-K25)</f>
        <v>0.44247237202956352</v>
      </c>
      <c r="N25" s="138">
        <f>N20+K25*(M25-M20)</f>
        <v>3.1034229367064649E-2</v>
      </c>
      <c r="O25" s="142"/>
      <c r="P25" s="140" t="s">
        <v>6</v>
      </c>
      <c r="Q25" s="144" t="s">
        <v>5</v>
      </c>
      <c r="R25" s="65"/>
      <c r="S25" s="65"/>
    </row>
    <row r="26" spans="1:19" ht="15.75" thickBot="1">
      <c r="A26" s="31">
        <v>22</v>
      </c>
      <c r="B26" s="9">
        <v>24</v>
      </c>
      <c r="C26" s="13">
        <f>F26+B26</f>
        <v>25.335000000000001</v>
      </c>
      <c r="D26" s="11">
        <f t="shared" si="0"/>
        <v>0.44217916599276341</v>
      </c>
      <c r="E26" s="13">
        <f>C26+B26</f>
        <v>49.335000000000001</v>
      </c>
      <c r="F26" s="95">
        <f>C23-B23</f>
        <v>1.3350000000000009</v>
      </c>
      <c r="G26" s="13">
        <v>1.9603999999999999</v>
      </c>
      <c r="H26" s="13">
        <f t="shared" si="16"/>
        <v>30.670489561944557</v>
      </c>
      <c r="I26" s="13">
        <f t="shared" si="1"/>
        <v>54.670489561944557</v>
      </c>
      <c r="J26" s="13">
        <f t="shared" si="2"/>
        <v>-6.6704895619445566</v>
      </c>
      <c r="K26" s="111">
        <f>TAN(RADIANS(24))</f>
        <v>0.44522868530853621</v>
      </c>
      <c r="L26" s="112">
        <f t="shared" ref="L26:L28" si="17">TAN(RADIANS((I23+I26)/2))</f>
        <v>1.3763772751830872</v>
      </c>
      <c r="M26" s="58">
        <f>(N18-N23+L26*M23-K26*M18)/(L26-K26)</f>
        <v>0.4534217737966596</v>
      </c>
      <c r="N26" s="139">
        <f>N23+L26*(M26-M23)</f>
        <v>0.20221234835136123</v>
      </c>
      <c r="O26" s="145"/>
      <c r="P26" s="146">
        <v>1.1000000000000001</v>
      </c>
      <c r="Q26" s="147">
        <f>(SQRT((gam+1)/(gam-1))*ATAN(SQRT((gam-1)/(gam+1)*(P26^2-1)))-ATAN(SQRT(P26^2-1)))-Q24</f>
        <v>-5.5511151231257827E-17</v>
      </c>
      <c r="R26" s="65"/>
      <c r="S26" s="65"/>
    </row>
    <row r="27" spans="1:19">
      <c r="A27" s="31">
        <v>23</v>
      </c>
      <c r="B27" s="8">
        <v>16</v>
      </c>
      <c r="C27" s="13">
        <v>25.335000000000001</v>
      </c>
      <c r="D27" s="11">
        <f t="shared" si="0"/>
        <v>0.44217916599276341</v>
      </c>
      <c r="E27" s="13">
        <f>C27+B27</f>
        <v>41.335000000000001</v>
      </c>
      <c r="F27" s="13">
        <f>C27-B27</f>
        <v>9.3350000000000009</v>
      </c>
      <c r="G27" s="13">
        <v>1.9603999999999999</v>
      </c>
      <c r="H27" s="13">
        <f t="shared" si="16"/>
        <v>30.670489561944557</v>
      </c>
      <c r="I27" s="13">
        <f t="shared" si="1"/>
        <v>46.670489561944557</v>
      </c>
      <c r="J27" s="13">
        <f t="shared" si="2"/>
        <v>-14.670489561944557</v>
      </c>
      <c r="K27" s="16">
        <f t="shared" ref="K27:K32" si="18">TAN(RADIANS((J23+J27)/2))</f>
        <v>-0.2493262981643346</v>
      </c>
      <c r="L27" s="16">
        <f t="shared" si="17"/>
        <v>1.0355269879018469</v>
      </c>
      <c r="M27" s="13">
        <f t="shared" ref="M27:M35" si="19">(N23-N24+L27*M24-K27*M23)/(L27-K27)</f>
        <v>0.47710550109642114</v>
      </c>
      <c r="N27" s="46">
        <f t="shared" ref="N27:N35" si="20">N23+K27*(M27-M23)</f>
        <v>0.13709757724816102</v>
      </c>
    </row>
    <row r="28" spans="1:19">
      <c r="A28" s="31">
        <v>24</v>
      </c>
      <c r="B28" s="8">
        <v>8</v>
      </c>
      <c r="C28" s="13">
        <v>25.335000000000001</v>
      </c>
      <c r="D28" s="11">
        <f t="shared" si="0"/>
        <v>0.44217916599276341</v>
      </c>
      <c r="E28" s="13">
        <f>C28+B28</f>
        <v>33.335000000000001</v>
      </c>
      <c r="F28" s="13">
        <f>C28-B28</f>
        <v>17.335000000000001</v>
      </c>
      <c r="G28" s="13">
        <v>1.9603999999999999</v>
      </c>
      <c r="H28" s="13">
        <f t="shared" si="16"/>
        <v>30.670489561944557</v>
      </c>
      <c r="I28" s="13">
        <f t="shared" si="1"/>
        <v>38.670489561944557</v>
      </c>
      <c r="J28" s="13">
        <f t="shared" si="2"/>
        <v>-22.670489561944557</v>
      </c>
      <c r="K28" s="16">
        <f t="shared" si="18"/>
        <v>-0.40402435894407901</v>
      </c>
      <c r="L28" s="16">
        <f t="shared" si="17"/>
        <v>0.78128304194950726</v>
      </c>
      <c r="M28" s="13">
        <f t="shared" si="19"/>
        <v>0.4914599718067767</v>
      </c>
      <c r="N28" s="46">
        <f t="shared" si="20"/>
        <v>6.9307410338810771E-2</v>
      </c>
    </row>
    <row r="29" spans="1:19">
      <c r="A29" s="31">
        <v>25</v>
      </c>
      <c r="B29" s="9">
        <v>0</v>
      </c>
      <c r="C29" s="13">
        <v>25.335000000000001</v>
      </c>
      <c r="D29" s="11">
        <f t="shared" si="0"/>
        <v>0.44217916599276341</v>
      </c>
      <c r="E29" s="13">
        <f t="shared" ref="E29:E33" si="21">C29+B29</f>
        <v>25.335000000000001</v>
      </c>
      <c r="F29" s="13">
        <f>C29-B29</f>
        <v>25.335000000000001</v>
      </c>
      <c r="G29" s="13">
        <v>1.9603999999999999</v>
      </c>
      <c r="H29" s="13">
        <f t="shared" si="16"/>
        <v>30.670489561944557</v>
      </c>
      <c r="I29" s="13">
        <f t="shared" si="1"/>
        <v>30.670489561944557</v>
      </c>
      <c r="J29" s="13">
        <f t="shared" si="2"/>
        <v>-30.670489561944557</v>
      </c>
      <c r="K29" s="112">
        <f t="shared" si="18"/>
        <v>-0.57734812931013235</v>
      </c>
      <c r="L29" s="113">
        <v>0</v>
      </c>
      <c r="M29" s="106">
        <f>(N25-K29*M25)/(L29-K29)</f>
        <v>0.496225433296337</v>
      </c>
      <c r="N29" s="104">
        <v>0</v>
      </c>
    </row>
    <row r="30" spans="1:19">
      <c r="A30" s="31">
        <v>26</v>
      </c>
      <c r="B30" s="8">
        <v>20</v>
      </c>
      <c r="C30" s="13">
        <v>29.335000000000001</v>
      </c>
      <c r="D30" s="11">
        <f t="shared" si="0"/>
        <v>0.51199233607253658</v>
      </c>
      <c r="E30" s="13">
        <f t="shared" si="21"/>
        <v>49.335000000000001</v>
      </c>
      <c r="F30" s="13">
        <f>C27-B27</f>
        <v>9.3350000000000009</v>
      </c>
      <c r="G30" s="13">
        <v>2.1089000000000002</v>
      </c>
      <c r="H30" s="13">
        <f t="shared" si="16"/>
        <v>28.306028813385378</v>
      </c>
      <c r="I30" s="13">
        <f t="shared" si="1"/>
        <v>48.306028813385382</v>
      </c>
      <c r="J30" s="13">
        <f t="shared" si="2"/>
        <v>-8.3060288133853781</v>
      </c>
      <c r="K30" s="16">
        <f t="shared" si="18"/>
        <v>-0.13144403569709651</v>
      </c>
      <c r="L30" s="16">
        <f t="shared" ref="L30:L35" si="22">TAN(RADIANS((I27+I30)/2))</f>
        <v>1.0908596402280009</v>
      </c>
      <c r="M30" s="13">
        <f t="shared" si="19"/>
        <v>0.52783077307897019</v>
      </c>
      <c r="N30" s="46">
        <f t="shared" si="20"/>
        <v>0.19243172919351198</v>
      </c>
    </row>
    <row r="31" spans="1:19">
      <c r="A31" s="31">
        <v>27</v>
      </c>
      <c r="B31" s="8">
        <v>12</v>
      </c>
      <c r="C31" s="13">
        <v>29.335000000000001</v>
      </c>
      <c r="D31" s="11">
        <f t="shared" si="0"/>
        <v>0.51199233607253658</v>
      </c>
      <c r="E31" s="13">
        <f t="shared" si="21"/>
        <v>41.335000000000001</v>
      </c>
      <c r="F31" s="13">
        <f t="shared" ref="F31:F32" si="23">C28-B28</f>
        <v>17.335000000000001</v>
      </c>
      <c r="G31" s="13">
        <v>2.1089000000000002</v>
      </c>
      <c r="H31" s="13">
        <f t="shared" si="16"/>
        <v>28.306028813385378</v>
      </c>
      <c r="I31" s="13">
        <f t="shared" si="1"/>
        <v>40.306028813385382</v>
      </c>
      <c r="J31" s="13">
        <f t="shared" si="2"/>
        <v>-16.306028813385378</v>
      </c>
      <c r="K31" s="16">
        <f t="shared" si="18"/>
        <v>-0.27710388091273114</v>
      </c>
      <c r="L31" s="16">
        <f t="shared" si="22"/>
        <v>0.82399228155338922</v>
      </c>
      <c r="M31" s="13">
        <f t="shared" si="19"/>
        <v>0.54941357253874368</v>
      </c>
      <c r="N31" s="46">
        <f t="shared" si="20"/>
        <v>0.11706073003017842</v>
      </c>
    </row>
    <row r="32" spans="1:19">
      <c r="A32" s="31">
        <v>28</v>
      </c>
      <c r="B32" s="8">
        <v>4</v>
      </c>
      <c r="C32" s="13">
        <v>29.335000000000001</v>
      </c>
      <c r="D32" s="11">
        <f t="shared" si="0"/>
        <v>0.51199233607253658</v>
      </c>
      <c r="E32" s="13">
        <f t="shared" si="21"/>
        <v>33.335000000000001</v>
      </c>
      <c r="F32" s="13">
        <f t="shared" si="23"/>
        <v>25.335000000000001</v>
      </c>
      <c r="G32" s="13">
        <v>2.1089000000000002</v>
      </c>
      <c r="H32" s="13">
        <f t="shared" si="16"/>
        <v>28.306028813385378</v>
      </c>
      <c r="I32" s="13">
        <f t="shared" si="1"/>
        <v>32.306028813385382</v>
      </c>
      <c r="J32" s="13">
        <f t="shared" si="2"/>
        <v>-24.306028813385378</v>
      </c>
      <c r="K32" s="16">
        <f t="shared" si="18"/>
        <v>-0.43456873907700377</v>
      </c>
      <c r="L32" s="16">
        <f t="shared" si="22"/>
        <v>0.61251895671609591</v>
      </c>
      <c r="M32" s="13">
        <f t="shared" si="19"/>
        <v>0.56043828769077753</v>
      </c>
      <c r="N32" s="46">
        <f t="shared" si="20"/>
        <v>3.9331590581445267E-2</v>
      </c>
    </row>
    <row r="33" spans="1:16">
      <c r="A33" s="31">
        <v>29</v>
      </c>
      <c r="B33" s="9">
        <v>24</v>
      </c>
      <c r="C33" s="13">
        <v>33.335000000000001</v>
      </c>
      <c r="D33" s="11">
        <f t="shared" si="0"/>
        <v>0.58180550615230975</v>
      </c>
      <c r="E33" s="13">
        <f t="shared" si="21"/>
        <v>57.335000000000001</v>
      </c>
      <c r="F33" s="95">
        <f>C30-B30</f>
        <v>9.3350000000000009</v>
      </c>
      <c r="G33" s="13">
        <v>2.2624</v>
      </c>
      <c r="H33" s="13">
        <f>DEGREES(ASIN(1/G33))</f>
        <v>26.232100860191849</v>
      </c>
      <c r="I33" s="13">
        <f t="shared" si="1"/>
        <v>50.232100860191849</v>
      </c>
      <c r="J33" s="13">
        <f t="shared" si="2"/>
        <v>-2.2321008601918493</v>
      </c>
      <c r="K33" s="111">
        <f>TAN(RADIANS(24))</f>
        <v>0.44522868530853621</v>
      </c>
      <c r="L33" s="112">
        <f t="shared" si="22"/>
        <v>1.1613383458446638</v>
      </c>
      <c r="M33" s="58">
        <f>(N26-N30+L33*M30-K33*M26)/(L33-K33)</f>
        <v>0.58775126074745265</v>
      </c>
      <c r="N33" s="59">
        <f>N30+L33*(M33-M30)</f>
        <v>0.26201968922463298</v>
      </c>
    </row>
    <row r="34" spans="1:16">
      <c r="A34" s="31">
        <v>30</v>
      </c>
      <c r="B34" s="8">
        <v>16</v>
      </c>
      <c r="C34" s="13">
        <v>33.335000000000001</v>
      </c>
      <c r="D34" s="11">
        <f t="shared" si="0"/>
        <v>0.58180550615230975</v>
      </c>
      <c r="E34" s="13">
        <f t="shared" ref="E34:E36" si="24">C34+B34</f>
        <v>49.335000000000001</v>
      </c>
      <c r="F34" s="13">
        <f t="shared" ref="F34:F35" si="25">C31-B31</f>
        <v>17.335000000000001</v>
      </c>
      <c r="G34" s="13">
        <v>2.2624</v>
      </c>
      <c r="H34" s="13">
        <f t="shared" ref="H34:H36" si="26">DEGREES(ASIN(1/G34))</f>
        <v>26.232100860191849</v>
      </c>
      <c r="I34" s="13">
        <f t="shared" si="1"/>
        <v>42.232100860191849</v>
      </c>
      <c r="J34" s="13">
        <f t="shared" si="2"/>
        <v>-10.232100860191849</v>
      </c>
      <c r="K34" s="16">
        <f>TAN(RADIANS((J30+J34)/2))</f>
        <v>-0.16320193002427863</v>
      </c>
      <c r="L34" s="16">
        <f t="shared" si="22"/>
        <v>0.87756528846874771</v>
      </c>
      <c r="M34" s="13">
        <f t="shared" si="19"/>
        <v>0.61844788046035992</v>
      </c>
      <c r="N34" s="46">
        <f t="shared" si="20"/>
        <v>0.17764284237565187</v>
      </c>
    </row>
    <row r="35" spans="1:16">
      <c r="A35" s="31">
        <v>31</v>
      </c>
      <c r="B35" s="8">
        <v>8</v>
      </c>
      <c r="C35" s="13">
        <v>33.335000000000001</v>
      </c>
      <c r="D35" s="11">
        <f t="shared" si="0"/>
        <v>0.58180550615230975</v>
      </c>
      <c r="E35" s="13">
        <f t="shared" si="24"/>
        <v>41.335000000000001</v>
      </c>
      <c r="F35" s="13">
        <f t="shared" si="25"/>
        <v>25.335000000000001</v>
      </c>
      <c r="G35" s="13">
        <v>2.2624</v>
      </c>
      <c r="H35" s="13">
        <f t="shared" si="26"/>
        <v>26.232100860191849</v>
      </c>
      <c r="I35" s="13">
        <f t="shared" si="1"/>
        <v>34.232100860191849</v>
      </c>
      <c r="J35" s="13">
        <f t="shared" si="2"/>
        <v>-18.232100860191849</v>
      </c>
      <c r="K35" s="16">
        <f>TAN(RADIANS((J31+J35)/2))</f>
        <v>-0.31087311700165104</v>
      </c>
      <c r="L35" s="16">
        <f t="shared" si="22"/>
        <v>0.656104606864089</v>
      </c>
      <c r="M35" s="13">
        <f t="shared" si="19"/>
        <v>0.63727754680868609</v>
      </c>
      <c r="N35" s="46">
        <f t="shared" si="20"/>
        <v>8.9746182476728553E-2</v>
      </c>
    </row>
    <row r="36" spans="1:16" ht="15.75" thickBot="1">
      <c r="A36" s="32">
        <v>32</v>
      </c>
      <c r="B36" s="25">
        <v>0</v>
      </c>
      <c r="C36" s="13">
        <v>33.335000000000001</v>
      </c>
      <c r="D36" s="28">
        <f t="shared" si="0"/>
        <v>0.58180550615230975</v>
      </c>
      <c r="E36" s="13">
        <f t="shared" si="24"/>
        <v>33.335000000000001</v>
      </c>
      <c r="F36" s="28">
        <f>C36-B36</f>
        <v>33.335000000000001</v>
      </c>
      <c r="G36" s="13">
        <v>2.2624</v>
      </c>
      <c r="H36" s="13">
        <f t="shared" si="26"/>
        <v>26.232100860191849</v>
      </c>
      <c r="I36" s="28">
        <f t="shared" si="1"/>
        <v>26.232100860191849</v>
      </c>
      <c r="J36" s="28">
        <f t="shared" si="2"/>
        <v>-26.232100860191849</v>
      </c>
      <c r="K36" s="112">
        <f>TAN(RADIANS((J32+J36)/2))</f>
        <v>-0.47203744089988714</v>
      </c>
      <c r="L36" s="114">
        <v>0</v>
      </c>
      <c r="M36" s="106">
        <f>(N32-K36*M32)/(L36-K36)</f>
        <v>0.64376131924196967</v>
      </c>
      <c r="N36" s="107">
        <v>0</v>
      </c>
      <c r="P36" s="66"/>
    </row>
    <row r="37" spans="1:16" ht="33.75" thickBot="1">
      <c r="A37" s="52" t="s">
        <v>1</v>
      </c>
      <c r="B37" s="53" t="s">
        <v>15</v>
      </c>
      <c r="C37" s="53" t="s">
        <v>14</v>
      </c>
      <c r="D37" s="53" t="s">
        <v>13</v>
      </c>
      <c r="E37" s="53" t="s">
        <v>20</v>
      </c>
      <c r="F37" s="53" t="s">
        <v>21</v>
      </c>
      <c r="G37" s="53" t="s">
        <v>0</v>
      </c>
      <c r="H37" s="53" t="s">
        <v>17</v>
      </c>
      <c r="I37" s="53" t="s">
        <v>18</v>
      </c>
      <c r="J37" s="53" t="s">
        <v>19</v>
      </c>
      <c r="K37" s="54" t="s">
        <v>10</v>
      </c>
      <c r="L37" s="54" t="s">
        <v>11</v>
      </c>
      <c r="M37" s="54" t="s">
        <v>2</v>
      </c>
      <c r="N37" s="55" t="s">
        <v>3</v>
      </c>
    </row>
    <row r="38" spans="1:16">
      <c r="A38" s="30">
        <v>33</v>
      </c>
      <c r="B38" s="36">
        <v>20</v>
      </c>
      <c r="C38" s="45">
        <f>(E38+F38)/2</f>
        <v>37.335000000000001</v>
      </c>
      <c r="D38" s="35">
        <f t="shared" si="0"/>
        <v>0.65161867623208292</v>
      </c>
      <c r="E38" s="45">
        <f>C33+B33</f>
        <v>57.335000000000001</v>
      </c>
      <c r="F38" s="45">
        <f>C34-B34</f>
        <v>17.335000000000001</v>
      </c>
      <c r="G38" s="35">
        <v>2.4314</v>
      </c>
      <c r="H38" s="45">
        <f t="shared" si="16"/>
        <v>24.285624769258089</v>
      </c>
      <c r="I38" s="45">
        <f>B38+H38</f>
        <v>44.285624769258092</v>
      </c>
      <c r="J38" s="45">
        <f>B38-H38</f>
        <v>-4.2856247692580887</v>
      </c>
      <c r="K38" s="16">
        <f>TAN(RADIANS((J33+J38)/2))</f>
        <v>-5.6939300562693848E-2</v>
      </c>
      <c r="L38" s="45">
        <f>TAN(RADIANS(I34+I38)/2)</f>
        <v>0.94099767997611306</v>
      </c>
      <c r="M38" s="45">
        <f>(N33-N34+L38*M34-K38*M33)/(L38-K38)</f>
        <v>0.70124770089418742</v>
      </c>
      <c r="N38" s="48">
        <f>N33+K38*(M38-M33)</f>
        <v>0.25555728130632227</v>
      </c>
    </row>
    <row r="39" spans="1:16">
      <c r="A39" s="31">
        <v>34</v>
      </c>
      <c r="B39" s="8">
        <v>12</v>
      </c>
      <c r="C39" s="13">
        <f t="shared" ref="C39:C40" si="27">(E39+F39)/2</f>
        <v>37.335000000000001</v>
      </c>
      <c r="D39" s="11">
        <f t="shared" si="0"/>
        <v>0.65161867623208292</v>
      </c>
      <c r="E39" s="13">
        <f>C34+B34</f>
        <v>49.335000000000001</v>
      </c>
      <c r="F39" s="13">
        <f t="shared" ref="F39:F40" si="28">C35-B35</f>
        <v>25.335000000000001</v>
      </c>
      <c r="G39" s="13">
        <v>2.4314</v>
      </c>
      <c r="H39" s="13">
        <f t="shared" si="16"/>
        <v>24.285624769258089</v>
      </c>
      <c r="I39" s="13">
        <f t="shared" ref="I39:I55" si="29">B39+H39</f>
        <v>36.285624769258092</v>
      </c>
      <c r="J39" s="13">
        <f t="shared" ref="J39:J55" si="30">B39-H39</f>
        <v>-12.285624769258089</v>
      </c>
      <c r="K39" s="16">
        <f>TAN(RADIANS((J34+J39)/2))</f>
        <v>-0.1990731779254277</v>
      </c>
      <c r="L39" s="13">
        <f>TAN(RADIANS(I35+I39)/2)</f>
        <v>0.70696209798812826</v>
      </c>
      <c r="M39" s="13">
        <f>(N34-N35+L39*M35-K39*M34)/(L39-K39)</f>
        <v>0.73015271471518928</v>
      </c>
      <c r="N39" s="46">
        <f>N34+K39*(M39-M34)</f>
        <v>0.1554054060309098</v>
      </c>
    </row>
    <row r="40" spans="1:16">
      <c r="A40" s="50">
        <v>35</v>
      </c>
      <c r="B40" s="49">
        <v>4</v>
      </c>
      <c r="C40" s="13">
        <f t="shared" si="27"/>
        <v>37.335000000000001</v>
      </c>
      <c r="D40" s="11">
        <f t="shared" si="0"/>
        <v>0.65161867623208292</v>
      </c>
      <c r="E40" s="13">
        <f>C35+B35</f>
        <v>41.335000000000001</v>
      </c>
      <c r="F40" s="13">
        <f t="shared" si="28"/>
        <v>33.335000000000001</v>
      </c>
      <c r="G40" s="13">
        <v>2.4314</v>
      </c>
      <c r="H40" s="13">
        <f t="shared" si="16"/>
        <v>24.285624769258089</v>
      </c>
      <c r="I40" s="13">
        <f t="shared" si="29"/>
        <v>28.285624769258089</v>
      </c>
      <c r="J40" s="13">
        <f t="shared" si="30"/>
        <v>-20.285624769258089</v>
      </c>
      <c r="K40" s="16">
        <f>TAN(RADIANS((J35+J40)/2))</f>
        <v>-0.3493891922094397</v>
      </c>
      <c r="L40" s="13">
        <f>TAN(RADIANS(I36+I40)/2)</f>
        <v>0.51522957596883268</v>
      </c>
      <c r="M40" s="13">
        <f>(N35-N36+L40*M36-K40*M35)/(L40-K40)</f>
        <v>0.74493981048396907</v>
      </c>
      <c r="N40" s="46">
        <f>N35+K40*(M40-M35)</f>
        <v>5.2130151139781734E-2</v>
      </c>
    </row>
    <row r="41" spans="1:16">
      <c r="A41" s="50">
        <v>36</v>
      </c>
      <c r="B41" s="97">
        <v>24</v>
      </c>
      <c r="C41" s="21">
        <f>F41+B41</f>
        <v>41.335000000000001</v>
      </c>
      <c r="D41" s="11">
        <f t="shared" si="0"/>
        <v>0.72143184631185608</v>
      </c>
      <c r="E41" s="13">
        <f>C41+B41</f>
        <v>65.335000000000008</v>
      </c>
      <c r="F41" s="13">
        <f>C38-B38</f>
        <v>17.335000000000001</v>
      </c>
      <c r="G41" s="13">
        <v>2.5962999999999998</v>
      </c>
      <c r="H41" s="13">
        <f t="shared" si="16"/>
        <v>22.653891034578457</v>
      </c>
      <c r="I41" s="13">
        <f t="shared" si="29"/>
        <v>46.653891034578457</v>
      </c>
      <c r="J41" s="13">
        <f t="shared" si="30"/>
        <v>1.3461089654215428</v>
      </c>
      <c r="K41" s="95">
        <f>TAN(RADIANS(B41))</f>
        <v>0.44522868530853621</v>
      </c>
      <c r="L41" s="95">
        <f>TAN(RADIANS(I38+I41)/2)</f>
        <v>1.0165335704212572</v>
      </c>
      <c r="M41" s="58">
        <f>(N33-N38+L41*M38-K41*M33)/(L41-K41)</f>
        <v>0.80100928220955681</v>
      </c>
      <c r="N41" s="59">
        <f>N38+L41*(M41-M38)</f>
        <v>0.35696827775170531</v>
      </c>
    </row>
    <row r="42" spans="1:16">
      <c r="A42" s="50">
        <v>37</v>
      </c>
      <c r="B42" s="49">
        <f>(E42-F42)/2</f>
        <v>16</v>
      </c>
      <c r="C42" s="21">
        <f>(E42+F42)/2</f>
        <v>41.335000000000001</v>
      </c>
      <c r="D42" s="11">
        <f t="shared" si="0"/>
        <v>0.72143184631185608</v>
      </c>
      <c r="E42" s="13">
        <f>C38+B38</f>
        <v>57.335000000000001</v>
      </c>
      <c r="F42" s="13">
        <f>C39-B39</f>
        <v>25.335000000000001</v>
      </c>
      <c r="G42" s="13">
        <v>2.5962999999999998</v>
      </c>
      <c r="H42" s="13">
        <f t="shared" si="16"/>
        <v>22.653891034578457</v>
      </c>
      <c r="I42" s="13">
        <f t="shared" si="29"/>
        <v>38.653891034578457</v>
      </c>
      <c r="J42" s="13">
        <f t="shared" si="30"/>
        <v>-6.6538910345784572</v>
      </c>
      <c r="K42" s="16">
        <f t="shared" ref="K42" si="31">TAN(RADIANS((J38+J42)/2))</f>
        <v>-9.5756357272576198E-2</v>
      </c>
      <c r="L42" s="13">
        <f>TAN(RADIANS(I39+I42)/2)</f>
        <v>0.76648872525046619</v>
      </c>
      <c r="M42" s="13">
        <f>(N38-N39+L42*M39-K42*M38)/(L42-K42)</f>
        <v>0.84309512333994063</v>
      </c>
      <c r="N42" s="46">
        <f>N38+K42*(M42-M38)</f>
        <v>0.24197448884441269</v>
      </c>
    </row>
    <row r="43" spans="1:16">
      <c r="A43" s="50">
        <v>38</v>
      </c>
      <c r="B43" s="49">
        <f>(E43-F43)/2</f>
        <v>8</v>
      </c>
      <c r="C43" s="21">
        <f>(E43+F43)/2</f>
        <v>41.335000000000001</v>
      </c>
      <c r="D43" s="11">
        <f t="shared" si="0"/>
        <v>0.72143184631185608</v>
      </c>
      <c r="E43" s="13">
        <f>C39+B39</f>
        <v>49.335000000000001</v>
      </c>
      <c r="F43" s="13">
        <f>C40-B40</f>
        <v>33.335000000000001</v>
      </c>
      <c r="G43" s="13">
        <v>2.5962999999999998</v>
      </c>
      <c r="H43" s="13">
        <f t="shared" si="16"/>
        <v>22.653891034578457</v>
      </c>
      <c r="I43" s="13">
        <f t="shared" si="29"/>
        <v>30.653891034578457</v>
      </c>
      <c r="J43" s="13">
        <f t="shared" si="30"/>
        <v>-14.653891034578457</v>
      </c>
      <c r="K43" s="16">
        <f>TAN(RADIANS((J39+J43)/2))</f>
        <v>-0.23952058294543338</v>
      </c>
      <c r="L43" s="13">
        <f t="shared" ref="L43:L45" si="32">TAN(RADIANS(I40+I43)/2)</f>
        <v>0.56507620604790543</v>
      </c>
      <c r="M43" s="13">
        <f t="shared" ref="M43" si="33">(N39-N40+L43*M40-K43*M39)/(L43-K43)</f>
        <v>0.86889437065229913</v>
      </c>
      <c r="N43" s="46">
        <f>N39+K43*(M43-M39)</f>
        <v>0.1221739237220385</v>
      </c>
    </row>
    <row r="44" spans="1:16">
      <c r="A44" s="50">
        <v>39</v>
      </c>
      <c r="B44" s="9">
        <v>0</v>
      </c>
      <c r="C44" s="13">
        <v>41.335000000000001</v>
      </c>
      <c r="D44" s="11">
        <f t="shared" si="0"/>
        <v>0.72143184631185608</v>
      </c>
      <c r="E44" s="13">
        <f>C40+B40</f>
        <v>41.335000000000001</v>
      </c>
      <c r="F44" s="13">
        <v>36.379800000000003</v>
      </c>
      <c r="G44" s="13">
        <v>2.5962999999999998</v>
      </c>
      <c r="H44" s="13">
        <f t="shared" si="16"/>
        <v>22.653891034578457</v>
      </c>
      <c r="I44" s="13">
        <f t="shared" si="29"/>
        <v>22.653891034578457</v>
      </c>
      <c r="J44" s="13">
        <f t="shared" si="30"/>
        <v>-22.653891034578457</v>
      </c>
      <c r="K44" s="112">
        <f>TAN(RADIANS((J40+J44)/2))</f>
        <v>-0.3933008780350411</v>
      </c>
      <c r="L44" s="95">
        <v>0</v>
      </c>
      <c r="M44" s="106">
        <f>(N40-K44*M40)/(L44-K44)</f>
        <v>0.87748502980874565</v>
      </c>
      <c r="N44" s="104">
        <v>0</v>
      </c>
    </row>
    <row r="45" spans="1:16">
      <c r="A45" s="50">
        <v>40</v>
      </c>
      <c r="B45" s="8">
        <v>20</v>
      </c>
      <c r="C45" s="13">
        <f>(E45+F45)/2</f>
        <v>45.335000000000001</v>
      </c>
      <c r="D45" s="11">
        <f t="shared" si="0"/>
        <v>0.79124501639162936</v>
      </c>
      <c r="E45" s="13">
        <f>C42+B42</f>
        <v>57.335000000000001</v>
      </c>
      <c r="F45" s="13">
        <f>C43-B43</f>
        <v>33.335000000000001</v>
      </c>
      <c r="G45" s="13">
        <v>2.7801</v>
      </c>
      <c r="H45" s="13">
        <f t="shared" si="16"/>
        <v>21.081729631961803</v>
      </c>
      <c r="I45" s="13">
        <f t="shared" si="29"/>
        <v>41.081729631961807</v>
      </c>
      <c r="J45" s="13">
        <f t="shared" si="30"/>
        <v>-1.0817296319618031</v>
      </c>
      <c r="K45" s="16">
        <f>TAN(RADIANS((J41+J45)/2))</f>
        <v>2.3071490151397893E-3</v>
      </c>
      <c r="L45" s="13">
        <f t="shared" si="32"/>
        <v>0.83517564234501762</v>
      </c>
      <c r="M45" s="13">
        <f>(N41-N42+L45*M42-K45*M41)/(L45-K45)</f>
        <v>0.98128126933528859</v>
      </c>
      <c r="N45" s="46">
        <f>N42+L45*(M45-M42)</f>
        <v>0.35738419208925981</v>
      </c>
    </row>
    <row r="46" spans="1:16">
      <c r="A46" s="50">
        <v>41</v>
      </c>
      <c r="B46" s="8">
        <v>12</v>
      </c>
      <c r="C46" s="13">
        <f>(E46+F46)/2</f>
        <v>45.335000000000001</v>
      </c>
      <c r="D46" s="11">
        <f t="shared" si="0"/>
        <v>0.79124501639162936</v>
      </c>
      <c r="E46" s="13">
        <f>C43+B43</f>
        <v>49.335000000000001</v>
      </c>
      <c r="F46" s="13">
        <f>C44-B44</f>
        <v>41.335000000000001</v>
      </c>
      <c r="G46" s="13">
        <v>2.7801</v>
      </c>
      <c r="H46" s="13">
        <f t="shared" si="16"/>
        <v>21.081729631961803</v>
      </c>
      <c r="I46" s="13">
        <f t="shared" si="29"/>
        <v>33.081729631961807</v>
      </c>
      <c r="J46" s="13">
        <f t="shared" si="30"/>
        <v>-9.0817296319618031</v>
      </c>
      <c r="K46" s="16">
        <f>TAN(RADIANS((J42+J46)/2))</f>
        <v>-0.13818887813029807</v>
      </c>
      <c r="L46" s="13">
        <f>TAN(RADIANS(I43+I46)/2)</f>
        <v>0.62166596776381688</v>
      </c>
      <c r="M46" s="13">
        <f>(N42-N43+L46*M43-K46*M42)/(L46-K46)</f>
        <v>1.0218648974677198</v>
      </c>
      <c r="N46" s="46">
        <f>N43+L46*(M46-M43)</f>
        <v>0.2172704943140879</v>
      </c>
    </row>
    <row r="47" spans="1:16">
      <c r="A47" s="50">
        <v>42</v>
      </c>
      <c r="B47" s="49">
        <v>4</v>
      </c>
      <c r="C47" s="13">
        <v>45.335000000000001</v>
      </c>
      <c r="D47" s="11">
        <f t="shared" si="0"/>
        <v>0.79124501639162936</v>
      </c>
      <c r="E47" s="13">
        <f>C47+B47</f>
        <v>49.335000000000001</v>
      </c>
      <c r="F47" s="13">
        <f>C42-B42</f>
        <v>25.335000000000001</v>
      </c>
      <c r="G47" s="13">
        <v>2.7801</v>
      </c>
      <c r="H47" s="13">
        <f t="shared" si="16"/>
        <v>21.081729631961803</v>
      </c>
      <c r="I47" s="13">
        <f t="shared" si="29"/>
        <v>25.081729631961803</v>
      </c>
      <c r="J47" s="13">
        <f t="shared" si="30"/>
        <v>-17.081729631961803</v>
      </c>
      <c r="K47" s="16">
        <f>TAN(RADIANS((J43+J47)/2))</f>
        <v>-0.28425018695794468</v>
      </c>
      <c r="L47" s="63">
        <f>TAN(RADIANS(I44+I47)/2)</f>
        <v>0.44246703021190825</v>
      </c>
      <c r="M47" s="63">
        <f>(N43-N44+L47*M44-K47*M43)/(L47-K47)</f>
        <v>1.0422424133162045</v>
      </c>
      <c r="N47" s="46">
        <f>N44+L47*(M47-M44)</f>
        <v>7.289971018602974E-2</v>
      </c>
    </row>
    <row r="48" spans="1:16">
      <c r="A48" s="50">
        <v>43</v>
      </c>
      <c r="B48" s="56">
        <v>20</v>
      </c>
      <c r="C48" s="13">
        <v>45.335000000000001</v>
      </c>
      <c r="D48" s="11">
        <f t="shared" si="0"/>
        <v>0.79124501639162936</v>
      </c>
      <c r="E48" s="13">
        <f>C48+B48</f>
        <v>65.335000000000008</v>
      </c>
      <c r="F48" s="13">
        <f>C48-B48</f>
        <v>25.335000000000001</v>
      </c>
      <c r="G48" s="13">
        <v>2.7801</v>
      </c>
      <c r="H48" s="13">
        <f t="shared" si="16"/>
        <v>21.081729631961803</v>
      </c>
      <c r="I48" s="13">
        <f t="shared" si="29"/>
        <v>41.081729631961807</v>
      </c>
      <c r="J48" s="13">
        <f t="shared" si="30"/>
        <v>-1.0817296319618031</v>
      </c>
      <c r="K48" s="112">
        <f>TAN(RADIANS(B48))</f>
        <v>0.36397023426620234</v>
      </c>
      <c r="L48" s="95">
        <f>TAN(RADIANS((I45+I48)/2))</f>
        <v>0.87179421123065404</v>
      </c>
      <c r="M48" s="58">
        <f>(N41-N45+L48*M45-K48*M41)/(L48-K48)</f>
        <v>1.1096677300100191</v>
      </c>
      <c r="N48" s="59">
        <f>N45+L48*(M48-M45)</f>
        <v>0.46931076530588184</v>
      </c>
    </row>
    <row r="49" spans="1:14">
      <c r="A49" s="50">
        <v>44</v>
      </c>
      <c r="B49" s="49">
        <v>16</v>
      </c>
      <c r="C49" s="13">
        <v>49.335000000000001</v>
      </c>
      <c r="D49" s="11">
        <f t="shared" si="0"/>
        <v>0.86105818647140253</v>
      </c>
      <c r="E49" s="13">
        <f t="shared" ref="E49:E63" si="34">C49+B49</f>
        <v>65.335000000000008</v>
      </c>
      <c r="F49" s="13">
        <f t="shared" ref="F49:F63" si="35">C49-B49</f>
        <v>33.335000000000001</v>
      </c>
      <c r="G49" s="13">
        <v>2.9781</v>
      </c>
      <c r="H49" s="13">
        <f t="shared" si="16"/>
        <v>19.620253725478317</v>
      </c>
      <c r="I49" s="13">
        <f t="shared" si="29"/>
        <v>35.620253725478321</v>
      </c>
      <c r="J49" s="13">
        <f t="shared" si="30"/>
        <v>-3.6202537254783174</v>
      </c>
      <c r="K49" s="16">
        <f>TAN(RADIANS((J45+J49)/2))</f>
        <v>-4.1055589419190117E-2</v>
      </c>
      <c r="L49" s="63">
        <f>TAN(RADIANS((I46+I49)/2))</f>
        <v>0.68345864891634167</v>
      </c>
      <c r="M49" s="63">
        <f>(N45-N46+L49*M46-K49*M45)/(L49-K49)</f>
        <v>1.2129550178213091</v>
      </c>
      <c r="N49" s="62">
        <f>N46+L49*(M49-M46)</f>
        <v>0.3478726897922132</v>
      </c>
    </row>
    <row r="50" spans="1:14">
      <c r="A50" s="50">
        <v>45</v>
      </c>
      <c r="B50" s="8">
        <v>8</v>
      </c>
      <c r="C50" s="13">
        <v>49.335000000000001</v>
      </c>
      <c r="D50" s="11">
        <f t="shared" si="0"/>
        <v>0.86105818647140253</v>
      </c>
      <c r="E50" s="13">
        <f t="shared" si="34"/>
        <v>57.335000000000001</v>
      </c>
      <c r="F50" s="13">
        <f t="shared" si="35"/>
        <v>41.335000000000001</v>
      </c>
      <c r="G50" s="13">
        <v>2.9781</v>
      </c>
      <c r="H50" s="13">
        <f t="shared" si="16"/>
        <v>19.620253725478317</v>
      </c>
      <c r="I50" s="13">
        <f t="shared" si="29"/>
        <v>27.620253725478317</v>
      </c>
      <c r="J50" s="13">
        <f t="shared" si="30"/>
        <v>-11.620253725478317</v>
      </c>
      <c r="K50" s="16">
        <f>TAN(RADIANS((J46+J50)/2))</f>
        <v>-0.1826503140236411</v>
      </c>
      <c r="L50" s="13">
        <f>TAN(RADIANS(I47+I50)/2)</f>
        <v>0.49533863204592393</v>
      </c>
      <c r="M50" s="13">
        <f>(N46-N47+L50*M47-K50*M46)/(L50-K50)</f>
        <v>1.2496924392711697</v>
      </c>
      <c r="N50" s="62">
        <f>N46+K50*(M50-M46)</f>
        <v>0.17565772226045356</v>
      </c>
    </row>
    <row r="51" spans="1:14">
      <c r="A51" s="50">
        <v>46</v>
      </c>
      <c r="B51" s="9">
        <v>0</v>
      </c>
      <c r="C51" s="13">
        <v>49.335000000000001</v>
      </c>
      <c r="D51" s="11">
        <f t="shared" si="0"/>
        <v>0.86105818647140253</v>
      </c>
      <c r="E51" s="13">
        <f t="shared" si="34"/>
        <v>49.335000000000001</v>
      </c>
      <c r="F51" s="13">
        <f t="shared" si="35"/>
        <v>49.335000000000001</v>
      </c>
      <c r="G51" s="13">
        <v>2.9781</v>
      </c>
      <c r="H51" s="13">
        <f t="shared" si="16"/>
        <v>19.620253725478317</v>
      </c>
      <c r="I51" s="13">
        <f t="shared" si="29"/>
        <v>19.620253725478317</v>
      </c>
      <c r="J51" s="13">
        <f t="shared" si="30"/>
        <v>-19.620253725478317</v>
      </c>
      <c r="K51" s="112">
        <f>TAN(RADIANS((J47+J51)/2))</f>
        <v>-0.33170598415025038</v>
      </c>
      <c r="L51" s="95">
        <v>0</v>
      </c>
      <c r="M51" s="106">
        <f>(N47-K51*M47)/(L51-K51)</f>
        <v>1.262014481561464</v>
      </c>
      <c r="N51" s="104">
        <v>0</v>
      </c>
    </row>
    <row r="52" spans="1:14">
      <c r="A52" s="50">
        <v>47</v>
      </c>
      <c r="B52" s="49">
        <v>12</v>
      </c>
      <c r="C52" s="13">
        <v>53.335000000000001</v>
      </c>
      <c r="D52" s="11">
        <f t="shared" si="0"/>
        <v>0.9308713565511757</v>
      </c>
      <c r="E52" s="13">
        <f t="shared" si="34"/>
        <v>65.335000000000008</v>
      </c>
      <c r="F52" s="13">
        <f t="shared" si="35"/>
        <v>41.335000000000001</v>
      </c>
      <c r="G52" s="13">
        <v>3.1928999999999998</v>
      </c>
      <c r="H52" s="13">
        <f t="shared" si="16"/>
        <v>18.251875967694179</v>
      </c>
      <c r="I52" s="13">
        <f t="shared" si="29"/>
        <v>30.251875967694179</v>
      </c>
      <c r="J52" s="13">
        <f t="shared" si="30"/>
        <v>-6.2518759676941791</v>
      </c>
      <c r="K52" s="16">
        <f>TAN(RADIANS((J49+J52)/2))</f>
        <v>-8.636435265278665E-2</v>
      </c>
      <c r="L52" s="63">
        <f>TAN(RADIANS((I50+I52)/2))</f>
        <v>0.5528512103334341</v>
      </c>
      <c r="M52" s="13">
        <f>(N49-N50+L52*M50-K52*M49)/(L52-K52)</f>
        <v>1.5141449552900168</v>
      </c>
      <c r="N52" s="62">
        <f>N49+K52*(M52-M49)</f>
        <v>0.32186061581719494</v>
      </c>
    </row>
    <row r="53" spans="1:14">
      <c r="A53" s="50">
        <v>48</v>
      </c>
      <c r="B53" s="8">
        <v>4</v>
      </c>
      <c r="C53" s="13">
        <v>53.335000000000001</v>
      </c>
      <c r="D53" s="11">
        <f t="shared" si="0"/>
        <v>0.9308713565511757</v>
      </c>
      <c r="E53" s="13">
        <f t="shared" si="34"/>
        <v>57.335000000000001</v>
      </c>
      <c r="F53" s="13">
        <f t="shared" si="35"/>
        <v>49.335000000000001</v>
      </c>
      <c r="G53" s="13">
        <v>3.1928999999999998</v>
      </c>
      <c r="H53" s="13">
        <f t="shared" si="16"/>
        <v>18.251875967694179</v>
      </c>
      <c r="I53" s="13">
        <f t="shared" si="29"/>
        <v>22.251875967694179</v>
      </c>
      <c r="J53" s="13">
        <f t="shared" si="30"/>
        <v>-14.251875967694179</v>
      </c>
      <c r="K53" s="16">
        <f>TAN(RADIANS((J50+J53)/2))</f>
        <v>-0.22969313793832552</v>
      </c>
      <c r="L53" s="63">
        <f>TAN(RADIANS(I51+I53)/2)</f>
        <v>0.38258427720473276</v>
      </c>
      <c r="M53" s="63">
        <f>(N50-N51+L53*M51-K53*M50)/(L53-K53)</f>
        <v>1.5442842981945111</v>
      </c>
      <c r="N53" s="62">
        <f>N50+K53*(M53-M50)</f>
        <v>0.10799199377326678</v>
      </c>
    </row>
    <row r="54" spans="1:14">
      <c r="A54" s="50">
        <v>49</v>
      </c>
      <c r="B54" s="8">
        <v>8</v>
      </c>
      <c r="C54" s="13">
        <v>57.335000000000001</v>
      </c>
      <c r="D54" s="11">
        <f t="shared" si="0"/>
        <v>1.0006845266309488</v>
      </c>
      <c r="E54" s="13">
        <f t="shared" si="34"/>
        <v>65.335000000000008</v>
      </c>
      <c r="F54" s="13">
        <f t="shared" si="35"/>
        <v>49.335000000000001</v>
      </c>
      <c r="G54" s="13">
        <v>3.4262000000000001</v>
      </c>
      <c r="H54" s="13">
        <f t="shared" si="16"/>
        <v>16.969856094721536</v>
      </c>
      <c r="I54" s="13">
        <f t="shared" si="29"/>
        <v>24.969856094721536</v>
      </c>
      <c r="J54" s="13">
        <f t="shared" si="30"/>
        <v>-8.9698560947215356</v>
      </c>
      <c r="K54" s="16">
        <f>TAN(RADIANS((J52+J54)/2))</f>
        <v>-0.1336215166766048</v>
      </c>
      <c r="L54" s="63">
        <f>TAN(RADIANS(I53+I54)/2)</f>
        <v>0.43711512281870246</v>
      </c>
      <c r="M54" s="63">
        <f>(N52-N53+L54*M53-K54*M52)/(L54-K54)</f>
        <v>1.9119518751682836</v>
      </c>
      <c r="N54" s="62">
        <f>N52+K54*(M54-M52)</f>
        <v>0.26870505183861232</v>
      </c>
    </row>
    <row r="55" spans="1:14" ht="15.75" thickBot="1">
      <c r="A55" s="51">
        <v>50</v>
      </c>
      <c r="B55" s="25">
        <v>0</v>
      </c>
      <c r="C55" s="28">
        <v>57.335000000000001</v>
      </c>
      <c r="D55" s="28">
        <f t="shared" si="0"/>
        <v>1.0006845266309488</v>
      </c>
      <c r="E55" s="13">
        <f t="shared" si="34"/>
        <v>57.335000000000001</v>
      </c>
      <c r="F55" s="13">
        <f t="shared" si="35"/>
        <v>57.335000000000001</v>
      </c>
      <c r="G55" s="28">
        <v>3.4262000000000001</v>
      </c>
      <c r="H55" s="26">
        <f t="shared" si="16"/>
        <v>16.969856094721536</v>
      </c>
      <c r="I55" s="28">
        <f t="shared" si="29"/>
        <v>16.969856094721536</v>
      </c>
      <c r="J55" s="28">
        <f t="shared" si="30"/>
        <v>-16.969856094721536</v>
      </c>
      <c r="K55" s="112">
        <f>TAN(RADIANS((J53+J55)/2))</f>
        <v>-0.27940945971454711</v>
      </c>
      <c r="L55" s="115">
        <v>0</v>
      </c>
      <c r="M55" s="106">
        <f>(N53-K55*M53)/(L55-K55)</f>
        <v>1.9307851485364951</v>
      </c>
      <c r="N55" s="107">
        <v>0</v>
      </c>
    </row>
    <row r="56" spans="1:14" ht="33.75" thickBot="1">
      <c r="A56" s="52" t="s">
        <v>1</v>
      </c>
      <c r="B56" s="53" t="s">
        <v>15</v>
      </c>
      <c r="C56" s="53" t="s">
        <v>14</v>
      </c>
      <c r="D56" s="53" t="s">
        <v>13</v>
      </c>
      <c r="E56" s="53" t="s">
        <v>20</v>
      </c>
      <c r="F56" s="53" t="s">
        <v>21</v>
      </c>
      <c r="G56" s="53" t="s">
        <v>0</v>
      </c>
      <c r="H56" s="53" t="s">
        <v>17</v>
      </c>
      <c r="I56" s="53" t="s">
        <v>18</v>
      </c>
      <c r="J56" s="53" t="s">
        <v>19</v>
      </c>
      <c r="K56" s="54" t="s">
        <v>10</v>
      </c>
      <c r="L56" s="54" t="s">
        <v>11</v>
      </c>
      <c r="M56" s="54" t="s">
        <v>2</v>
      </c>
      <c r="N56" s="55" t="s">
        <v>3</v>
      </c>
    </row>
    <row r="57" spans="1:14">
      <c r="A57" s="30">
        <v>51</v>
      </c>
      <c r="B57" s="122">
        <v>16</v>
      </c>
      <c r="C57" s="45">
        <v>49.335000000000001</v>
      </c>
      <c r="D57" s="35">
        <f t="shared" ref="D57:D63" si="36">C57*(PI()/180)</f>
        <v>0.86105818647140253</v>
      </c>
      <c r="E57" s="13">
        <f t="shared" si="34"/>
        <v>65.335000000000008</v>
      </c>
      <c r="F57" s="13">
        <f t="shared" si="35"/>
        <v>33.335000000000001</v>
      </c>
      <c r="G57" s="13">
        <v>2.9781</v>
      </c>
      <c r="H57" s="45">
        <f t="shared" ref="H57:H63" si="37">(180/PI())*ASIN(1/G57)</f>
        <v>19.620253725478317</v>
      </c>
      <c r="I57" s="45">
        <f>B57+H57</f>
        <v>35.620253725478321</v>
      </c>
      <c r="J57" s="45">
        <f>B57-H57</f>
        <v>-3.6202537254783174</v>
      </c>
      <c r="K57" s="116">
        <f>TAN(RADIANS(B57))</f>
        <v>0.28674538575880792</v>
      </c>
      <c r="L57" s="116">
        <f>TAN(RADIANS(I49+I57)/2)</f>
        <v>0.71646449796050582</v>
      </c>
      <c r="M57" s="126">
        <f>(N48-N49+L57*M49-K57*M48)/(L57-K57)</f>
        <v>1.5644758704246648</v>
      </c>
      <c r="N57" s="127">
        <f>N49+L57*(M57-M49)</f>
        <v>0.59972490097532538</v>
      </c>
    </row>
    <row r="58" spans="1:14">
      <c r="A58" s="31">
        <v>52</v>
      </c>
      <c r="B58" s="8">
        <v>4</v>
      </c>
      <c r="C58" s="13">
        <v>61.335000000000001</v>
      </c>
      <c r="D58" s="11">
        <f t="shared" si="36"/>
        <v>1.070497696710722</v>
      </c>
      <c r="E58" s="13">
        <f t="shared" si="34"/>
        <v>65.335000000000008</v>
      </c>
      <c r="F58" s="13">
        <f t="shared" si="35"/>
        <v>57.335000000000001</v>
      </c>
      <c r="G58" s="13">
        <v>3.6819999999999999</v>
      </c>
      <c r="H58" s="13">
        <f t="shared" si="37"/>
        <v>15.758993910538265</v>
      </c>
      <c r="I58" s="13">
        <f t="shared" ref="I58:I63" si="38">B58+H58</f>
        <v>19.758993910538265</v>
      </c>
      <c r="J58" s="13">
        <f t="shared" ref="J58:J63" si="39">B58-H58</f>
        <v>-11.758993910538265</v>
      </c>
      <c r="K58" s="13">
        <f>TAN(RADIANS(J54+J58)/2)</f>
        <v>-0.18289260184522166</v>
      </c>
      <c r="L58" s="13">
        <f>TAN(RADIANS(I55+I58)/2)</f>
        <v>0.33196625702511301</v>
      </c>
      <c r="M58" s="13">
        <f>(N54-N55+L58*M55-K58*M54)/(L58-K58)</f>
        <v>2.4459954453022008</v>
      </c>
      <c r="N58" s="46">
        <f>N54+K58*(M58-M54)</f>
        <v>0.17103243379810909</v>
      </c>
    </row>
    <row r="59" spans="1:14">
      <c r="A59" s="50">
        <v>53</v>
      </c>
      <c r="B59" s="97">
        <v>12</v>
      </c>
      <c r="C59" s="13">
        <v>53.335000000000001</v>
      </c>
      <c r="D59" s="11">
        <f t="shared" si="36"/>
        <v>0.9308713565511757</v>
      </c>
      <c r="E59" s="13">
        <f t="shared" si="34"/>
        <v>65.335000000000008</v>
      </c>
      <c r="F59" s="13">
        <f t="shared" si="35"/>
        <v>41.335000000000001</v>
      </c>
      <c r="G59" s="13">
        <v>3.1922999999999999</v>
      </c>
      <c r="H59" s="13">
        <f t="shared" si="37"/>
        <v>18.255427436119959</v>
      </c>
      <c r="I59" s="13">
        <f t="shared" si="38"/>
        <v>30.255427436119959</v>
      </c>
      <c r="J59" s="13">
        <f t="shared" si="39"/>
        <v>-6.2554274361199589</v>
      </c>
      <c r="K59" s="95">
        <f>TAN(RADIANS(B59))</f>
        <v>0.21255656167002213</v>
      </c>
      <c r="L59" s="95">
        <f>TAN(RADIANS((I52+I59)/2))</f>
        <v>0.58326817693825128</v>
      </c>
      <c r="M59" s="58">
        <f>(N57-N52+L59*M52-K59*M57)/(L59-K59)</f>
        <v>2.2348294655341738</v>
      </c>
      <c r="N59" s="128">
        <f>N52+L59*(M59-M52)</f>
        <v>0.74221295625494088</v>
      </c>
    </row>
    <row r="60" spans="1:14">
      <c r="A60" s="50">
        <v>54</v>
      </c>
      <c r="B60" s="97">
        <v>0</v>
      </c>
      <c r="C60" s="21">
        <v>65.334999999999994</v>
      </c>
      <c r="D60" s="11">
        <f t="shared" si="36"/>
        <v>1.1403108667904951</v>
      </c>
      <c r="E60" s="13">
        <f t="shared" si="34"/>
        <v>65.334999999999994</v>
      </c>
      <c r="F60" s="13">
        <f t="shared" si="35"/>
        <v>65.334999999999994</v>
      </c>
      <c r="G60" s="13">
        <v>3.9655</v>
      </c>
      <c r="H60" s="13">
        <f t="shared" si="37"/>
        <v>14.606255448335299</v>
      </c>
      <c r="I60" s="13">
        <f t="shared" si="38"/>
        <v>14.606255448335299</v>
      </c>
      <c r="J60" s="13">
        <f t="shared" si="39"/>
        <v>-14.606255448335299</v>
      </c>
      <c r="K60" s="95">
        <f>TAN(RADIANS(J58+J60)/2)</f>
        <v>-0.23422796572329721</v>
      </c>
      <c r="L60" s="95">
        <v>0</v>
      </c>
      <c r="M60" s="106">
        <f>(N58-K60*M58)/(L60-K60)</f>
        <v>3.1761919155228253</v>
      </c>
      <c r="N60" s="104">
        <v>0</v>
      </c>
    </row>
    <row r="61" spans="1:14">
      <c r="A61" s="50">
        <v>55</v>
      </c>
      <c r="B61" s="97">
        <v>8</v>
      </c>
      <c r="C61" s="21">
        <v>57.335000000000001</v>
      </c>
      <c r="D61" s="11">
        <f t="shared" si="36"/>
        <v>1.0006845266309488</v>
      </c>
      <c r="E61" s="13">
        <f t="shared" si="34"/>
        <v>65.335000000000008</v>
      </c>
      <c r="F61" s="13">
        <f t="shared" si="35"/>
        <v>49.335000000000001</v>
      </c>
      <c r="G61" s="13">
        <v>3.4262000000000001</v>
      </c>
      <c r="H61" s="13">
        <f t="shared" si="37"/>
        <v>16.969856094721536</v>
      </c>
      <c r="I61" s="13">
        <f t="shared" si="38"/>
        <v>24.969856094721536</v>
      </c>
      <c r="J61" s="13">
        <f t="shared" si="39"/>
        <v>-8.9698560947215356</v>
      </c>
      <c r="K61" s="95">
        <f t="shared" ref="K61:K63" si="40">TAN(RADIANS(B61))</f>
        <v>0.14054083470239145</v>
      </c>
      <c r="L61" s="95">
        <f>TAN(RADIANS(I54+I61)/2)</f>
        <v>0.46566730586199079</v>
      </c>
      <c r="M61" s="58">
        <f>(N59-N54+L61*M54-K61*M59)/(L61-K61)</f>
        <v>3.2287638124818936</v>
      </c>
      <c r="N61" s="59">
        <f>N54+L61*(M61-M54)</f>
        <v>0.88190131901434987</v>
      </c>
    </row>
    <row r="62" spans="1:14">
      <c r="A62" s="50">
        <v>56</v>
      </c>
      <c r="B62" s="97">
        <v>4</v>
      </c>
      <c r="C62" s="21">
        <v>61.335000000000001</v>
      </c>
      <c r="D62" s="11">
        <f t="shared" si="36"/>
        <v>1.070497696710722</v>
      </c>
      <c r="E62" s="13">
        <f t="shared" si="34"/>
        <v>65.335000000000008</v>
      </c>
      <c r="F62" s="13">
        <f t="shared" si="35"/>
        <v>57.335000000000001</v>
      </c>
      <c r="G62" s="13">
        <v>3.6819999999999999</v>
      </c>
      <c r="H62" s="13">
        <f t="shared" si="37"/>
        <v>15.758993910538265</v>
      </c>
      <c r="I62" s="13">
        <f t="shared" si="38"/>
        <v>19.758993910538265</v>
      </c>
      <c r="J62" s="13">
        <f t="shared" si="39"/>
        <v>-11.758993910538265</v>
      </c>
      <c r="K62" s="95">
        <f t="shared" si="40"/>
        <v>6.9926811943510414E-2</v>
      </c>
      <c r="L62" s="95">
        <f>TAN(RADIANS(I58+I62)/2)</f>
        <v>0.35921390493535127</v>
      </c>
      <c r="M62" s="58">
        <f>(N61-N58+L62*M58-K62*M61)/(L62-K62)</f>
        <v>4.7140965970796271</v>
      </c>
      <c r="N62" s="59">
        <f>N58+L62*(M62-M58)</f>
        <v>0.98576590531644626</v>
      </c>
    </row>
    <row r="63" spans="1:14" ht="15.75" thickBot="1">
      <c r="A63" s="51">
        <v>57</v>
      </c>
      <c r="B63" s="25">
        <v>0</v>
      </c>
      <c r="C63" s="28">
        <v>65.334999999999994</v>
      </c>
      <c r="D63" s="28">
        <f t="shared" si="36"/>
        <v>1.1403108667904951</v>
      </c>
      <c r="E63" s="28">
        <f t="shared" si="34"/>
        <v>65.334999999999994</v>
      </c>
      <c r="F63" s="28">
        <f t="shared" si="35"/>
        <v>65.334999999999994</v>
      </c>
      <c r="G63" s="28">
        <v>3.9655</v>
      </c>
      <c r="H63" s="28">
        <f t="shared" si="37"/>
        <v>14.606255448335299</v>
      </c>
      <c r="I63" s="28">
        <f t="shared" si="38"/>
        <v>14.606255448335299</v>
      </c>
      <c r="J63" s="28">
        <f t="shared" si="39"/>
        <v>-14.606255448335299</v>
      </c>
      <c r="K63" s="115">
        <f t="shared" si="40"/>
        <v>0</v>
      </c>
      <c r="L63" s="115">
        <f>TAN(RADIANS(I60+I63)/2)</f>
        <v>0.26059707855028535</v>
      </c>
      <c r="M63" s="60">
        <f>(N62-N60+L63*M60-K63*M62)/(L63-K63)</f>
        <v>6.9589123926682772</v>
      </c>
      <c r="N63" s="61">
        <f>N60+L63*(M63-M60)</f>
        <v>0.98576590531644626</v>
      </c>
    </row>
    <row r="64" spans="1:14">
      <c r="A64" s="119"/>
      <c r="B64" s="120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</row>
    <row r="65" spans="1:14">
      <c r="A65" s="119"/>
      <c r="B65" s="120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</row>
    <row r="66" spans="1:14">
      <c r="A66" s="119"/>
      <c r="B66" s="119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</row>
    <row r="67" spans="1:14">
      <c r="A67" s="119"/>
      <c r="B67" s="120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</row>
    <row r="68" spans="1:14">
      <c r="A68" s="119"/>
      <c r="B68" s="121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9"/>
      <c r="N68" s="68"/>
    </row>
    <row r="69" spans="1:14">
      <c r="A69" s="119"/>
      <c r="B69" s="120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</row>
    <row r="70" spans="1:14">
      <c r="A70" s="119"/>
      <c r="B70" s="119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</row>
    <row r="71" spans="1:14">
      <c r="A71" s="119"/>
      <c r="B71" s="121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9"/>
      <c r="N71" s="68"/>
    </row>
    <row r="72" spans="1:14">
      <c r="A72" s="119"/>
      <c r="B72" s="120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</row>
    <row r="73" spans="1:14">
      <c r="A73" s="119"/>
      <c r="B73" s="120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1:14">
      <c r="A74" s="119"/>
      <c r="B74" s="121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</row>
  </sheetData>
  <mergeCells count="1">
    <mergeCell ref="O23:Q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5"/>
  <sheetViews>
    <sheetView topLeftCell="A20" zoomScale="60" zoomScaleNormal="60" workbookViewId="0">
      <selection activeCell="H70" sqref="H70"/>
    </sheetView>
  </sheetViews>
  <sheetFormatPr defaultRowHeight="15"/>
  <cols>
    <col min="5" max="6" width="18" bestFit="1" customWidth="1"/>
  </cols>
  <sheetData>
    <row r="1" spans="1:3">
      <c r="A1" s="38">
        <v>0.28000000000000003</v>
      </c>
      <c r="B1" s="39">
        <v>0.125</v>
      </c>
      <c r="C1" s="96"/>
    </row>
    <row r="2" spans="1:3">
      <c r="A2" s="18">
        <v>0.29475644373033477</v>
      </c>
      <c r="B2" s="41">
        <v>8.4520050162349189E-2</v>
      </c>
      <c r="C2" s="96"/>
    </row>
    <row r="3" spans="1:3">
      <c r="A3" s="18">
        <v>0.30365081175636638</v>
      </c>
      <c r="B3" s="41">
        <v>4.2675338542298463E-2</v>
      </c>
      <c r="C3" s="96"/>
    </row>
    <row r="4" spans="1:3">
      <c r="A4" s="18">
        <v>0.3066349621292393</v>
      </c>
      <c r="B4" s="41">
        <v>0</v>
      </c>
      <c r="C4" s="96"/>
    </row>
    <row r="5" spans="1:3">
      <c r="A5" s="19">
        <v>0.30068622055666183</v>
      </c>
      <c r="B5" s="42">
        <v>0.10958628010516241</v>
      </c>
      <c r="C5" s="96"/>
    </row>
    <row r="6" spans="1:3">
      <c r="A6" s="19">
        <v>0.31295199347606656</v>
      </c>
      <c r="B6" s="42">
        <v>6.651999970105181E-2</v>
      </c>
      <c r="C6" s="96"/>
    </row>
    <row r="7" spans="1:3">
      <c r="A7" s="19">
        <v>0.31916416082262694</v>
      </c>
      <c r="B7" s="42">
        <v>2.2318132252952087E-2</v>
      </c>
      <c r="C7" s="96"/>
    </row>
    <row r="8" spans="1:3">
      <c r="A8" s="18">
        <v>0.31100849774796363</v>
      </c>
      <c r="B8" s="41">
        <v>0.13880587268571865</v>
      </c>
    </row>
    <row r="9" spans="1:3">
      <c r="A9" s="18">
        <v>0.32720019157063263</v>
      </c>
      <c r="B9" s="41">
        <v>9.3941270189099327E-2</v>
      </c>
    </row>
    <row r="10" spans="1:3">
      <c r="A10" s="18">
        <v>0.3369992591606068</v>
      </c>
      <c r="B10" s="41">
        <v>4.7362157176519169E-2</v>
      </c>
    </row>
    <row r="11" spans="1:3">
      <c r="A11" s="18">
        <v>0.34031114381872818</v>
      </c>
      <c r="B11" s="41">
        <v>0</v>
      </c>
    </row>
    <row r="12" spans="1:3">
      <c r="A12" s="19">
        <v>0.34520241372057531</v>
      </c>
      <c r="B12" s="42">
        <v>0.1259315636605744</v>
      </c>
    </row>
    <row r="13" spans="1:3">
      <c r="A13" s="19">
        <v>0.3592207089887004</v>
      </c>
      <c r="B13" s="42">
        <v>7.6460058735835543E-2</v>
      </c>
    </row>
    <row r="14" spans="1:3">
      <c r="A14" s="19">
        <v>0.36625337970282718</v>
      </c>
      <c r="B14" s="42">
        <v>2.5610931206154739E-2</v>
      </c>
    </row>
    <row r="15" spans="1:3">
      <c r="A15" s="18">
        <v>0.36667827551366988</v>
      </c>
      <c r="B15" s="41">
        <v>0.16359165465176242</v>
      </c>
    </row>
    <row r="16" spans="1:3">
      <c r="A16" s="18">
        <v>0.38583154579858009</v>
      </c>
      <c r="B16" s="41">
        <v>0.11089769467625876</v>
      </c>
    </row>
    <row r="17" spans="1:2">
      <c r="A17" s="18">
        <v>0.39732459710460177</v>
      </c>
      <c r="B17" s="41">
        <v>5.5938230863429611E-2</v>
      </c>
    </row>
    <row r="18" spans="1:2" ht="15.75" thickBot="1">
      <c r="A18" s="84">
        <v>0.40111100847598546</v>
      </c>
      <c r="B18" s="85">
        <v>0</v>
      </c>
    </row>
    <row r="19" spans="1:2">
      <c r="A19" s="45">
        <v>0.41700074599089515</v>
      </c>
      <c r="B19" s="48">
        <v>0.15208327334069571</v>
      </c>
    </row>
    <row r="20" spans="1:2">
      <c r="A20" s="13">
        <v>0.43404304888279249</v>
      </c>
      <c r="B20" s="46">
        <v>9.2505245815715079E-2</v>
      </c>
    </row>
    <row r="21" spans="1:2">
      <c r="A21" s="13">
        <v>0.44247237202956352</v>
      </c>
      <c r="B21" s="46">
        <v>3.1034229367064649E-2</v>
      </c>
    </row>
    <row r="22" spans="1:2">
      <c r="A22" s="95">
        <v>0.4534217737966596</v>
      </c>
      <c r="B22" s="104">
        <v>0.20221234835136123</v>
      </c>
    </row>
    <row r="23" spans="1:2">
      <c r="A23" s="13">
        <v>0.47710550109642114</v>
      </c>
      <c r="B23" s="46">
        <v>0.13709757724816102</v>
      </c>
    </row>
    <row r="24" spans="1:2">
      <c r="A24" s="13">
        <v>0.4914599718067767</v>
      </c>
      <c r="B24" s="46">
        <v>6.9307410338810771E-2</v>
      </c>
    </row>
    <row r="25" spans="1:2">
      <c r="A25" s="106">
        <v>0.496225433296337</v>
      </c>
      <c r="B25" s="104">
        <v>0</v>
      </c>
    </row>
    <row r="26" spans="1:2">
      <c r="A26" s="13">
        <v>0.52783077307897019</v>
      </c>
      <c r="B26" s="46">
        <v>0.19243172919351198</v>
      </c>
    </row>
    <row r="27" spans="1:2">
      <c r="A27" s="13">
        <v>0.54941357253874368</v>
      </c>
      <c r="B27" s="46">
        <v>0.11706073003017842</v>
      </c>
    </row>
    <row r="28" spans="1:2">
      <c r="A28" s="13">
        <v>0.56043828769077753</v>
      </c>
      <c r="B28" s="46">
        <v>3.9331590581445267E-2</v>
      </c>
    </row>
    <row r="29" spans="1:2">
      <c r="A29" s="95">
        <v>0.58775126074745265</v>
      </c>
      <c r="B29" s="104">
        <v>0.26201968922463298</v>
      </c>
    </row>
    <row r="30" spans="1:2">
      <c r="A30" s="13">
        <v>0.61844788046035992</v>
      </c>
      <c r="B30" s="46">
        <v>0.17764284237565187</v>
      </c>
    </row>
    <row r="31" spans="1:2">
      <c r="A31" s="13">
        <v>0.63727754680868609</v>
      </c>
      <c r="B31" s="46">
        <v>8.9746182476728553E-2</v>
      </c>
    </row>
    <row r="32" spans="1:2" ht="15.75" thickBot="1">
      <c r="A32" s="106">
        <v>0.64376131924196967</v>
      </c>
      <c r="B32" s="107">
        <v>0</v>
      </c>
    </row>
    <row r="33" spans="1:6">
      <c r="A33" s="45">
        <v>0.70124770089418742</v>
      </c>
      <c r="B33" s="48">
        <v>0.25555728130632227</v>
      </c>
    </row>
    <row r="34" spans="1:6">
      <c r="A34" s="13">
        <v>0.73015271471518928</v>
      </c>
      <c r="B34" s="46">
        <v>0.1554054060309098</v>
      </c>
    </row>
    <row r="35" spans="1:6">
      <c r="A35" s="13">
        <v>0.74493981048396907</v>
      </c>
      <c r="B35" s="46">
        <v>5.2130151139781734E-2</v>
      </c>
    </row>
    <row r="36" spans="1:6">
      <c r="A36" s="95">
        <v>0.80100928220955681</v>
      </c>
      <c r="B36" s="104">
        <v>0.35696827775170531</v>
      </c>
    </row>
    <row r="37" spans="1:6">
      <c r="A37" s="13">
        <v>0.84309512333994063</v>
      </c>
      <c r="B37" s="46">
        <v>0.24197448884441269</v>
      </c>
    </row>
    <row r="38" spans="1:6" ht="15.75" thickBot="1">
      <c r="A38" s="13">
        <v>0.86889437065229913</v>
      </c>
      <c r="B38" s="46">
        <v>0.1221739237220385</v>
      </c>
    </row>
    <row r="39" spans="1:6">
      <c r="A39" s="106">
        <v>0.87748502980874565</v>
      </c>
      <c r="B39" s="104">
        <v>0</v>
      </c>
      <c r="D39">
        <v>1</v>
      </c>
      <c r="E39" s="123">
        <v>0.28000000000000003</v>
      </c>
      <c r="F39" s="124">
        <v>0.125</v>
      </c>
    </row>
    <row r="40" spans="1:6">
      <c r="A40" s="13">
        <v>0.98128126933528859</v>
      </c>
      <c r="B40" s="46">
        <v>0.35738419208925981</v>
      </c>
      <c r="D40">
        <v>8</v>
      </c>
      <c r="E40" s="105">
        <v>0.31100849774796363</v>
      </c>
      <c r="F40" s="125">
        <v>0.13880587268571865</v>
      </c>
    </row>
    <row r="41" spans="1:6">
      <c r="A41" s="13">
        <v>1.0218648974677198</v>
      </c>
      <c r="B41" s="46">
        <v>0.2172704943140879</v>
      </c>
      <c r="D41">
        <v>15</v>
      </c>
      <c r="E41" s="105">
        <v>0.36667827551366988</v>
      </c>
      <c r="F41" s="125">
        <v>0.16359165465176242</v>
      </c>
    </row>
    <row r="42" spans="1:6">
      <c r="A42" s="63">
        <v>1.0422424133162045</v>
      </c>
      <c r="B42" s="46">
        <v>7.289971018602974E-2</v>
      </c>
      <c r="D42">
        <v>22</v>
      </c>
      <c r="E42" s="58">
        <v>0.4534217737966596</v>
      </c>
      <c r="F42" s="59">
        <v>0.20221234835136123</v>
      </c>
    </row>
    <row r="43" spans="1:6">
      <c r="A43" s="95">
        <v>1.1096677300100191</v>
      </c>
      <c r="B43" s="104">
        <v>0.46931076530588184</v>
      </c>
      <c r="D43">
        <v>29</v>
      </c>
      <c r="E43" s="58">
        <v>0.58775126074745265</v>
      </c>
      <c r="F43" s="59">
        <v>0.26201968922463298</v>
      </c>
    </row>
    <row r="44" spans="1:6">
      <c r="A44" s="63">
        <v>1.2129550178213091</v>
      </c>
      <c r="B44" s="62">
        <v>0.3478726897922132</v>
      </c>
      <c r="D44">
        <v>36</v>
      </c>
      <c r="E44" s="58">
        <v>0.80100928220955681</v>
      </c>
      <c r="F44" s="59">
        <v>0.35696827775170531</v>
      </c>
    </row>
    <row r="45" spans="1:6" ht="15.75" thickBot="1">
      <c r="A45" s="13">
        <v>1.2496924392711697</v>
      </c>
      <c r="B45" s="62">
        <v>0.17565772226045356</v>
      </c>
      <c r="D45">
        <v>43</v>
      </c>
      <c r="E45" s="58">
        <v>1.1096677300100191</v>
      </c>
      <c r="F45" s="59">
        <v>0.46931076530588184</v>
      </c>
    </row>
    <row r="46" spans="1:6">
      <c r="A46" s="106">
        <v>1.262014481561464</v>
      </c>
      <c r="B46" s="104">
        <v>0</v>
      </c>
      <c r="D46">
        <v>51</v>
      </c>
      <c r="E46" s="126">
        <v>1.5644758704246648</v>
      </c>
      <c r="F46" s="127">
        <v>0.59972490097532538</v>
      </c>
    </row>
    <row r="47" spans="1:6">
      <c r="A47" s="13">
        <v>1.5141449552900168</v>
      </c>
      <c r="B47" s="62">
        <v>0.32186061581719494</v>
      </c>
      <c r="D47">
        <v>53</v>
      </c>
      <c r="E47" s="58">
        <v>2.2348294655341738</v>
      </c>
      <c r="F47" s="128">
        <v>0.74221295625494088</v>
      </c>
    </row>
    <row r="48" spans="1:6">
      <c r="A48" s="63">
        <v>1.5442842981945111</v>
      </c>
      <c r="B48" s="62">
        <v>0.10799199377326678</v>
      </c>
      <c r="D48">
        <v>55</v>
      </c>
      <c r="E48" s="58">
        <v>3.2287638124818936</v>
      </c>
      <c r="F48" s="59">
        <v>0.88190131901434987</v>
      </c>
    </row>
    <row r="49" spans="1:6">
      <c r="A49" s="63">
        <v>1.9119518751682836</v>
      </c>
      <c r="B49" s="62">
        <v>0.26870505183861232</v>
      </c>
      <c r="D49">
        <v>56</v>
      </c>
      <c r="E49" s="58">
        <v>4.7140965970796271</v>
      </c>
      <c r="F49" s="59">
        <v>0.98576590531644626</v>
      </c>
    </row>
    <row r="50" spans="1:6" ht="15.75" thickBot="1">
      <c r="A50" s="106">
        <v>1.9307851485364951</v>
      </c>
      <c r="B50" s="107">
        <v>0</v>
      </c>
      <c r="D50">
        <v>57</v>
      </c>
      <c r="E50" s="60">
        <v>6.9589123926682772</v>
      </c>
      <c r="F50" s="61">
        <v>0.98576590531644626</v>
      </c>
    </row>
    <row r="51" spans="1:6">
      <c r="A51" s="116">
        <v>1.5644758704246648</v>
      </c>
      <c r="B51" s="117">
        <v>0.59972490097532538</v>
      </c>
    </row>
    <row r="52" spans="1:6">
      <c r="A52" s="13">
        <v>2.4459954453022008</v>
      </c>
      <c r="B52" s="46">
        <v>0.17103243379810909</v>
      </c>
    </row>
    <row r="53" spans="1:6">
      <c r="A53" s="95">
        <v>2.2348294655341738</v>
      </c>
      <c r="B53" s="118">
        <v>0.74221295625494088</v>
      </c>
    </row>
    <row r="54" spans="1:6">
      <c r="A54" s="106">
        <v>3.1761919155228253</v>
      </c>
      <c r="B54" s="104">
        <v>0</v>
      </c>
      <c r="E54" s="129"/>
      <c r="F54" s="130"/>
    </row>
    <row r="55" spans="1:6">
      <c r="A55" s="95">
        <v>3.2287638124818936</v>
      </c>
      <c r="B55" s="104">
        <v>0.88190131901434987</v>
      </c>
      <c r="E55" s="129">
        <v>0.80100928220955681</v>
      </c>
      <c r="F55" s="130">
        <v>0.35696827775170531</v>
      </c>
    </row>
    <row r="56" spans="1:6" ht="15.75" thickBot="1">
      <c r="A56" s="95">
        <v>4.7140965970796271</v>
      </c>
      <c r="B56" s="104">
        <v>0.98576590531644626</v>
      </c>
      <c r="D56">
        <v>43</v>
      </c>
      <c r="E56" s="129">
        <v>1.1096677300100191</v>
      </c>
      <c r="F56" s="130">
        <v>0.46931076530588184</v>
      </c>
    </row>
    <row r="57" spans="1:6">
      <c r="A57" s="95">
        <v>6.9589123926682772</v>
      </c>
      <c r="B57" s="104">
        <v>0.98576590531644626</v>
      </c>
      <c r="D57">
        <v>51</v>
      </c>
      <c r="E57" s="131">
        <v>1.5644758704246648</v>
      </c>
      <c r="F57" s="132">
        <v>0.59972490097532538</v>
      </c>
    </row>
    <row r="58" spans="1:6">
      <c r="A58" s="95"/>
      <c r="B58" s="104"/>
      <c r="D58">
        <v>53</v>
      </c>
      <c r="E58" s="129">
        <v>2.2348294655341738</v>
      </c>
      <c r="F58" s="133">
        <v>0.74221295625494088</v>
      </c>
    </row>
    <row r="59" spans="1:6">
      <c r="A59" s="63"/>
      <c r="B59" s="62"/>
      <c r="D59">
        <v>55</v>
      </c>
      <c r="E59" s="129">
        <v>3.2287638124818936</v>
      </c>
      <c r="F59" s="130">
        <v>0.88190131901434987</v>
      </c>
    </row>
    <row r="60" spans="1:6">
      <c r="A60" s="63"/>
      <c r="B60" s="62"/>
      <c r="D60">
        <v>56</v>
      </c>
      <c r="E60" s="129">
        <v>4.7140965970796271</v>
      </c>
      <c r="F60" s="130">
        <v>0.98576590531644626</v>
      </c>
    </row>
    <row r="61" spans="1:6" ht="15.75" thickBot="1">
      <c r="A61" s="95"/>
      <c r="B61" s="104"/>
      <c r="D61">
        <v>57</v>
      </c>
      <c r="E61" s="134">
        <v>6.9589123926682772</v>
      </c>
      <c r="F61" s="135">
        <v>0.98576590531644626</v>
      </c>
    </row>
    <row r="62" spans="1:6">
      <c r="A62" s="108"/>
      <c r="B62" s="62"/>
    </row>
    <row r="63" spans="1:6">
      <c r="A63" s="63"/>
      <c r="B63" s="62"/>
    </row>
    <row r="64" spans="1:6">
      <c r="A64" s="63"/>
      <c r="B64" s="62"/>
    </row>
    <row r="65" spans="1:6">
      <c r="A65" s="108"/>
      <c r="B65" s="62"/>
    </row>
    <row r="66" spans="1:6">
      <c r="A66" s="63"/>
      <c r="B66" s="62"/>
    </row>
    <row r="67" spans="1:6">
      <c r="A67" s="63"/>
      <c r="B67" s="62"/>
    </row>
    <row r="68" spans="1:6" ht="15.75" thickBot="1">
      <c r="A68" s="109"/>
      <c r="B68" s="110"/>
    </row>
    <row r="71" spans="1:6">
      <c r="E71" s="136">
        <v>2.96760249</v>
      </c>
      <c r="F71">
        <f t="shared" ref="F71:F95" si="0">0.0043758102864*E71^3 - 0.0799447500161*E71^2 + 0.48408434366827*E71 + 0.01500401559865</f>
        <v>0.86188772410480441</v>
      </c>
    </row>
    <row r="72" spans="1:6">
      <c r="E72" s="136">
        <f>E71+0.25</f>
        <v>3.21760249</v>
      </c>
      <c r="F72">
        <f t="shared" si="0"/>
        <v>0.890695547815892</v>
      </c>
    </row>
    <row r="73" spans="1:6">
      <c r="E73" s="136">
        <f t="shared" ref="E73:E94" si="1">E72+0.25</f>
        <v>3.46760249</v>
      </c>
      <c r="F73">
        <f t="shared" si="0"/>
        <v>0.91479013455245028</v>
      </c>
    </row>
    <row r="74" spans="1:6">
      <c r="E74" s="136">
        <f t="shared" si="1"/>
        <v>3.71760249</v>
      </c>
      <c r="F74">
        <f t="shared" si="0"/>
        <v>0.93458171652882926</v>
      </c>
    </row>
    <row r="75" spans="1:6">
      <c r="E75" s="136">
        <f t="shared" si="1"/>
        <v>3.96760249</v>
      </c>
      <c r="F75">
        <f t="shared" si="0"/>
        <v>0.95048052595937871</v>
      </c>
    </row>
    <row r="76" spans="1:6">
      <c r="E76" s="136">
        <f t="shared" si="1"/>
        <v>4.21760249</v>
      </c>
      <c r="F76">
        <f t="shared" si="0"/>
        <v>0.96289679505844883</v>
      </c>
    </row>
    <row r="77" spans="1:6">
      <c r="E77" s="136">
        <f t="shared" si="1"/>
        <v>4.46760249</v>
      </c>
      <c r="F77">
        <f t="shared" si="0"/>
        <v>0.9722407560403894</v>
      </c>
    </row>
    <row r="78" spans="1:6">
      <c r="E78" s="136">
        <f t="shared" si="1"/>
        <v>4.71760249</v>
      </c>
      <c r="F78">
        <f t="shared" si="0"/>
        <v>0.97892264111955085</v>
      </c>
    </row>
    <row r="79" spans="1:6">
      <c r="E79" s="136">
        <f t="shared" si="1"/>
        <v>4.96760249</v>
      </c>
      <c r="F79">
        <f t="shared" si="0"/>
        <v>0.98335268251028274</v>
      </c>
    </row>
    <row r="80" spans="1:6">
      <c r="E80" s="136">
        <f t="shared" si="1"/>
        <v>5.21760249</v>
      </c>
      <c r="F80">
        <f t="shared" si="0"/>
        <v>0.98594111242693505</v>
      </c>
    </row>
    <row r="81" spans="5:6">
      <c r="E81" s="136">
        <f t="shared" si="1"/>
        <v>5.46760249</v>
      </c>
      <c r="F81">
        <f t="shared" si="0"/>
        <v>0.98709816308385823</v>
      </c>
    </row>
    <row r="82" spans="5:6">
      <c r="E82" s="136">
        <f t="shared" si="1"/>
        <v>5.71760249</v>
      </c>
      <c r="F82">
        <f t="shared" si="0"/>
        <v>0.98723406669540181</v>
      </c>
    </row>
    <row r="83" spans="5:6">
      <c r="E83" s="136">
        <f t="shared" si="1"/>
        <v>5.96760249</v>
      </c>
      <c r="F83">
        <f t="shared" si="0"/>
        <v>0.9867590554759158</v>
      </c>
    </row>
    <row r="84" spans="5:6">
      <c r="E84" s="136">
        <f t="shared" si="1"/>
        <v>6.21760249</v>
      </c>
      <c r="F84">
        <f t="shared" si="0"/>
        <v>0.98608336163975108</v>
      </c>
    </row>
    <row r="85" spans="5:6">
      <c r="E85" s="136">
        <f t="shared" si="1"/>
        <v>6.46760249</v>
      </c>
      <c r="F85">
        <f t="shared" si="0"/>
        <v>0.98561721740125674</v>
      </c>
    </row>
    <row r="86" spans="5:6">
      <c r="E86" s="136">
        <f t="shared" si="1"/>
        <v>6.71760249</v>
      </c>
      <c r="F86">
        <f t="shared" si="0"/>
        <v>0.98577085497478234</v>
      </c>
    </row>
    <row r="87" spans="5:6">
      <c r="E87" s="136">
        <f t="shared" si="1"/>
        <v>6.96760249</v>
      </c>
      <c r="F87">
        <f t="shared" si="0"/>
        <v>0.9869545065746792</v>
      </c>
    </row>
    <row r="88" spans="5:6">
      <c r="E88" s="136">
        <f t="shared" si="1"/>
        <v>7.21760249</v>
      </c>
      <c r="F88">
        <f t="shared" si="0"/>
        <v>0.98957840441529643</v>
      </c>
    </row>
    <row r="89" spans="5:6">
      <c r="E89" s="136">
        <f t="shared" si="1"/>
        <v>7.46760249</v>
      </c>
      <c r="F89">
        <f t="shared" si="0"/>
        <v>0.99405278071098402</v>
      </c>
    </row>
    <row r="90" spans="5:6">
      <c r="E90" s="136">
        <f t="shared" si="1"/>
        <v>7.71760249</v>
      </c>
      <c r="F90">
        <f t="shared" si="0"/>
        <v>1.0007878676760924</v>
      </c>
    </row>
    <row r="91" spans="5:6">
      <c r="E91" s="136">
        <f t="shared" si="1"/>
        <v>7.96760249</v>
      </c>
      <c r="F91">
        <f t="shared" si="0"/>
        <v>1.0101938975249716</v>
      </c>
    </row>
    <row r="92" spans="5:6">
      <c r="E92" s="136">
        <f t="shared" si="1"/>
        <v>8.2176024900000009</v>
      </c>
      <c r="F92">
        <f t="shared" si="0"/>
        <v>1.0226811024719715</v>
      </c>
    </row>
    <row r="93" spans="5:6">
      <c r="E93" s="136">
        <f t="shared" si="1"/>
        <v>8.4676024900000009</v>
      </c>
      <c r="F93">
        <f t="shared" si="0"/>
        <v>1.0386597147314414</v>
      </c>
    </row>
    <row r="94" spans="5:6">
      <c r="E94" s="136">
        <f t="shared" si="1"/>
        <v>8.7176024900000009</v>
      </c>
      <c r="F94">
        <f t="shared" si="0"/>
        <v>1.058539966517732</v>
      </c>
    </row>
    <row r="95" spans="5:6">
      <c r="E95" s="136">
        <v>8.8260000000000005</v>
      </c>
      <c r="F95">
        <f t="shared" si="0"/>
        <v>1.0684758825623037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Nozzle Contour Example</vt:lpstr>
      <vt:lpstr>Example Plot</vt:lpstr>
      <vt:lpstr>Nozzle Contour Analysis</vt:lpstr>
      <vt:lpstr>Analysis Plot</vt:lpstr>
      <vt:lpstr>gam</vt:lpstr>
    </vt:vector>
  </TitlesOfParts>
  <Company>Worcester Polytechnic Institute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moorepj</dc:creator>
  <cp:lastModifiedBy>Peter Moore</cp:lastModifiedBy>
  <cp:lastPrinted>2009-09-16T00:04:52Z</cp:lastPrinted>
  <dcterms:created xsi:type="dcterms:W3CDTF">2009-06-03T15:32:23Z</dcterms:created>
  <dcterms:modified xsi:type="dcterms:W3CDTF">2009-10-29T02:18:15Z</dcterms:modified>
</cp:coreProperties>
</file>