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240" yWindow="135" windowWidth="21075" windowHeight="9780" activeTab="1"/>
  </bookViews>
  <sheets>
    <sheet name="Spur Gear Inputs" sheetId="1" r:id="rId1"/>
    <sheet name="Spur Gear Outputs" sheetId="7" r:id="rId2"/>
    <sheet name="Bevel Gear Inputs" sheetId="6" r:id="rId3"/>
    <sheet name="Bevel Gear Outputs" sheetId="8" r:id="rId4"/>
    <sheet name="Spiral Bevel Gear Inputs" sheetId="9" r:id="rId5"/>
    <sheet name="Spiral Bevel Gear Outputs" sheetId="10" r:id="rId6"/>
    <sheet name="Shaft Size" sheetId="5" r:id="rId7"/>
    <sheet name="Torque, Stress and Strain" sheetId="2" state="hidden" r:id="rId8"/>
  </sheets>
  <calcPr calcId="144525"/>
</workbook>
</file>

<file path=xl/calcChain.xml><?xml version="1.0" encoding="utf-8"?>
<calcChain xmlns="http://schemas.openxmlformats.org/spreadsheetml/2006/main">
  <c r="C9" i="7" l="1"/>
  <c r="E7" i="1" l="1"/>
  <c r="E3" i="6"/>
  <c r="E3" i="9"/>
  <c r="C10" i="10"/>
  <c r="C8" i="10"/>
  <c r="C16" i="10"/>
  <c r="E16" i="10" s="1"/>
  <c r="E4" i="10"/>
  <c r="C4" i="10" s="1"/>
  <c r="E3" i="10"/>
  <c r="C3" i="10"/>
  <c r="C5" i="10" s="1"/>
  <c r="C6" i="10" s="1"/>
  <c r="C2" i="10"/>
  <c r="C7" i="10" s="1"/>
  <c r="E7" i="10" s="1"/>
  <c r="E4" i="9"/>
  <c r="E4" i="6"/>
  <c r="D6" i="6" s="1"/>
  <c r="E2" i="10"/>
  <c r="D6" i="9"/>
  <c r="B6" i="9"/>
  <c r="B6" i="6"/>
  <c r="C16" i="8"/>
  <c r="E16" i="8" s="1"/>
  <c r="C10" i="8"/>
  <c r="E10" i="8" s="1"/>
  <c r="C8" i="8"/>
  <c r="E8" i="8" s="1"/>
  <c r="E4" i="8"/>
  <c r="C4" i="8" s="1"/>
  <c r="E3" i="8"/>
  <c r="C3" i="8"/>
  <c r="C2" i="8"/>
  <c r="A6" i="5"/>
  <c r="E3" i="7" l="1"/>
  <c r="C9" i="10"/>
  <c r="C15" i="10" s="1"/>
  <c r="E8" i="10"/>
  <c r="E10" i="10"/>
  <c r="C4" i="5"/>
  <c r="C3" i="5"/>
  <c r="C2" i="5"/>
  <c r="E2" i="8"/>
  <c r="C5" i="8"/>
  <c r="C6" i="8" s="1"/>
  <c r="C7" i="8"/>
  <c r="C14" i="10" l="1"/>
  <c r="C11" i="10"/>
  <c r="E9" i="10"/>
  <c r="E11" i="10" s="1"/>
  <c r="E12" i="10" s="1"/>
  <c r="C9" i="8"/>
  <c r="C18" i="10"/>
  <c r="E6" i="10"/>
  <c r="E18" i="10"/>
  <c r="E5" i="10"/>
  <c r="C12" i="10"/>
  <c r="E7" i="8"/>
  <c r="C18" i="8"/>
  <c r="E6" i="8"/>
  <c r="E18" i="8"/>
  <c r="E5" i="8"/>
  <c r="E14" i="10" l="1"/>
  <c r="E15" i="10"/>
  <c r="C11" i="8"/>
  <c r="C12" i="8" s="1"/>
  <c r="E13" i="8" s="1"/>
  <c r="E9" i="8"/>
  <c r="C14" i="8"/>
  <c r="C15" i="8"/>
  <c r="C17" i="10"/>
  <c r="E13" i="10"/>
  <c r="C13" i="10"/>
  <c r="E17" i="10"/>
  <c r="C17" i="8"/>
  <c r="E14" i="8" l="1"/>
  <c r="E11" i="8"/>
  <c r="E12" i="8" s="1"/>
  <c r="E15" i="8"/>
  <c r="E17" i="8" l="1"/>
  <c r="C13" i="8"/>
  <c r="C3" i="7"/>
  <c r="C2" i="7"/>
  <c r="C14" i="7" s="1"/>
  <c r="C13" i="7" l="1"/>
  <c r="C5" i="7"/>
  <c r="C6" i="7"/>
  <c r="E8" i="7" s="1"/>
  <c r="E2" i="7"/>
  <c r="E14" i="7" l="1"/>
  <c r="E13" i="7"/>
  <c r="E6" i="7"/>
  <c r="C7" i="7"/>
  <c r="C4" i="7"/>
  <c r="E5" i="7"/>
  <c r="E7" i="7" l="1"/>
  <c r="E4" i="7"/>
  <c r="C8" i="7"/>
  <c r="C10" i="7" s="1"/>
  <c r="C11" i="7" s="1"/>
  <c r="C12" i="7" s="1"/>
  <c r="E9" i="7"/>
  <c r="E10" i="7" s="1"/>
  <c r="E11" i="7" s="1"/>
  <c r="E12" i="7" s="1"/>
</calcChain>
</file>

<file path=xl/sharedStrings.xml><?xml version="1.0" encoding="utf-8"?>
<sst xmlns="http://schemas.openxmlformats.org/spreadsheetml/2006/main" count="292" uniqueCount="156">
  <si>
    <r>
      <t>(Tangental Component of the Load) W</t>
    </r>
    <r>
      <rPr>
        <sz val="8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=</t>
    </r>
  </si>
  <si>
    <r>
      <t>(Radial Component of Load) W</t>
    </r>
    <r>
      <rPr>
        <sz val="8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</t>
    </r>
  </si>
  <si>
    <r>
      <t>(Torque of the Pinion) T</t>
    </r>
    <r>
      <rPr>
        <sz val="8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</t>
    </r>
  </si>
  <si>
    <r>
      <t>(Pitch Radius) r</t>
    </r>
    <r>
      <rPr>
        <sz val="8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</t>
    </r>
  </si>
  <si>
    <r>
      <t>(Pitch Diameter) d</t>
    </r>
    <r>
      <rPr>
        <sz val="8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</t>
    </r>
  </si>
  <si>
    <r>
      <t>(Number of Teeth on the Pinion) N</t>
    </r>
    <r>
      <rPr>
        <sz val="8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</t>
    </r>
  </si>
  <si>
    <r>
      <t>(Daimetrical Pitch) P</t>
    </r>
    <r>
      <rPr>
        <sz val="8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</t>
    </r>
  </si>
  <si>
    <t>loading on teeth</t>
  </si>
  <si>
    <r>
      <t xml:space="preserve">F 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Tangential force on tooth</t>
    </r>
  </si>
  <si>
    <t>σ = Tooth Bending stress (MPa)</t>
  </si>
  <si>
    <t>b a = Face width (mm)</t>
  </si>
  <si>
    <t>Y = Lewis Form Factor</t>
  </si>
  <si>
    <t>m = Module (mm)</t>
  </si>
  <si>
    <t>Horse Power Required for Desired Application</t>
  </si>
  <si>
    <t>RPM Required for Desired Application</t>
  </si>
  <si>
    <t>Min. Shaft Diameter for Desired Application (in inches)</t>
  </si>
  <si>
    <t>Shaft Sizes (in inches)</t>
  </si>
  <si>
    <t>Parameter</t>
  </si>
  <si>
    <t>Number of Teeth</t>
  </si>
  <si>
    <t>Diametral Pitch</t>
  </si>
  <si>
    <t>Ratio</t>
  </si>
  <si>
    <t>Outer Cone Distance</t>
  </si>
  <si>
    <t>Face Width</t>
  </si>
  <si>
    <r>
      <t>Equivalent 90</t>
    </r>
    <r>
      <rPr>
        <sz val="11"/>
        <color theme="1"/>
        <rFont val="Calibri"/>
        <family val="2"/>
      </rPr>
      <t>° Ratio</t>
    </r>
  </si>
  <si>
    <t>Working Depth</t>
  </si>
  <si>
    <t>Gear Symbol</t>
  </si>
  <si>
    <t>Value</t>
  </si>
  <si>
    <t>Pinion Symbol</t>
  </si>
  <si>
    <t>Σ=</t>
  </si>
  <si>
    <r>
      <t>m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</t>
    </r>
  </si>
  <si>
    <r>
      <t>D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</t>
    </r>
  </si>
  <si>
    <t>Γ=</t>
  </si>
  <si>
    <r>
      <t>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</t>
    </r>
  </si>
  <si>
    <t>F=</t>
  </si>
  <si>
    <r>
      <t>m</t>
    </r>
    <r>
      <rPr>
        <vertAlign val="subscript"/>
        <sz val="11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>=</t>
    </r>
  </si>
  <si>
    <r>
      <t>h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=</t>
    </r>
  </si>
  <si>
    <r>
      <t>a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=</t>
    </r>
  </si>
  <si>
    <r>
      <t>a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=</t>
    </r>
  </si>
  <si>
    <t>ϒ=</t>
  </si>
  <si>
    <r>
      <t>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</t>
    </r>
  </si>
  <si>
    <t>Pitch Angle (in degrees)</t>
  </si>
  <si>
    <t>Shaft Angle (in degrees)</t>
  </si>
  <si>
    <t>Addendum (at heel of tooth)</t>
  </si>
  <si>
    <t>Inputs</t>
  </si>
  <si>
    <t>Outputs</t>
  </si>
  <si>
    <t>Whole Depth</t>
  </si>
  <si>
    <r>
      <t>h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=</t>
    </r>
  </si>
  <si>
    <r>
      <t>δ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</t>
    </r>
  </si>
  <si>
    <r>
      <t>δ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</t>
    </r>
  </si>
  <si>
    <r>
      <t>ϒ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</t>
    </r>
  </si>
  <si>
    <r>
      <t>Γ</t>
    </r>
    <r>
      <rPr>
        <vertAlign val="sub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>=</t>
    </r>
  </si>
  <si>
    <t>Face Angle (in Degrees)</t>
  </si>
  <si>
    <t>Outside Diameter</t>
  </si>
  <si>
    <t xml:space="preserve">Pitch Diameter </t>
  </si>
  <si>
    <r>
      <t>D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=</t>
    </r>
  </si>
  <si>
    <r>
      <t>D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=</t>
    </r>
  </si>
  <si>
    <t>Pitch Cone Apex to Crown</t>
  </si>
  <si>
    <r>
      <t>X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=</t>
    </r>
  </si>
  <si>
    <r>
      <t>X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=</t>
    </r>
  </si>
  <si>
    <t>Circular Pitch</t>
  </si>
  <si>
    <t>Dedendum Angle (In Degrees)</t>
  </si>
  <si>
    <t>Dedendum (at heel of tooth)</t>
  </si>
  <si>
    <t>p=</t>
  </si>
  <si>
    <r>
      <t>b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=</t>
    </r>
  </si>
  <si>
    <r>
      <t>b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=</t>
    </r>
  </si>
  <si>
    <t>Root Angle (in Degrees)</t>
  </si>
  <si>
    <r>
      <t>Γ</t>
    </r>
    <r>
      <rPr>
        <vertAlign val="subscript"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>=</t>
    </r>
  </si>
  <si>
    <r>
      <t>ϒ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</t>
    </r>
  </si>
  <si>
    <t>Back-Angle Distance</t>
  </si>
  <si>
    <t>No Symbol</t>
  </si>
  <si>
    <t xml:space="preserve">Pressure Angle (in Degrees) </t>
  </si>
  <si>
    <t>φ=</t>
  </si>
  <si>
    <r>
      <t>N</t>
    </r>
    <r>
      <rPr>
        <vertAlign val="subscript"/>
        <sz val="14"/>
        <color theme="1"/>
        <rFont val="Calibri"/>
        <family val="2"/>
        <scheme val="minor"/>
      </rPr>
      <t>G</t>
    </r>
    <r>
      <rPr>
        <sz val="14"/>
        <color theme="1"/>
        <rFont val="Calibri"/>
        <family val="2"/>
        <scheme val="minor"/>
      </rPr>
      <t>=</t>
    </r>
  </si>
  <si>
    <r>
      <t>N</t>
    </r>
    <r>
      <rPr>
        <vertAlign val="subscript"/>
        <sz val="14"/>
        <color theme="1"/>
        <rFont val="Calibri"/>
        <family val="2"/>
        <scheme val="minor"/>
      </rPr>
      <t>P</t>
    </r>
    <r>
      <rPr>
        <sz val="14"/>
        <color theme="1"/>
        <rFont val="Calibri"/>
        <family val="2"/>
        <scheme val="minor"/>
      </rPr>
      <t>=</t>
    </r>
  </si>
  <si>
    <r>
      <t>P</t>
    </r>
    <r>
      <rPr>
        <vertAlign val="subscript"/>
        <sz val="14"/>
        <color theme="1"/>
        <rFont val="Calibri"/>
        <family val="2"/>
        <scheme val="minor"/>
      </rPr>
      <t>d</t>
    </r>
    <r>
      <rPr>
        <sz val="14"/>
        <color theme="1"/>
        <rFont val="Calibri"/>
        <family val="2"/>
        <scheme val="minor"/>
      </rPr>
      <t>=</t>
    </r>
  </si>
  <si>
    <t>Suitable?</t>
  </si>
  <si>
    <t>Fixed Constants</t>
  </si>
  <si>
    <t>Is There a Full Set of Inputs?</t>
  </si>
  <si>
    <r>
      <t>m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=N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P</t>
    </r>
  </si>
  <si>
    <r>
      <t>D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=N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and 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=N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/P</t>
    </r>
    <r>
      <rPr>
        <vertAlign val="subscript"/>
        <sz val="11"/>
        <color theme="1"/>
        <rFont val="Calibri"/>
        <family val="2"/>
        <scheme val="minor"/>
      </rPr>
      <t>d</t>
    </r>
  </si>
  <si>
    <r>
      <t>If Σ=90: 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=1/2(D</t>
    </r>
    <r>
      <rPr>
        <vertAlign val="subscript"/>
        <sz val="11"/>
        <color theme="1"/>
        <rFont val="Calibri"/>
        <family val="2"/>
        <scheme val="minor"/>
      </rPr>
      <t>P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+D</t>
    </r>
    <r>
      <rPr>
        <vertAlign val="subscript"/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>,   If Σ</t>
    </r>
    <r>
      <rPr>
        <sz val="11"/>
        <color theme="1"/>
        <rFont val="Calibri"/>
        <family val="2"/>
      </rPr>
      <t>≠90: A</t>
    </r>
    <r>
      <rPr>
        <vertAlign val="sub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>=D</t>
    </r>
    <r>
      <rPr>
        <vertAlign val="subscript"/>
        <sz val="11"/>
        <color theme="1"/>
        <rFont val="Calibri"/>
        <family val="2"/>
      </rPr>
      <t>G</t>
    </r>
    <r>
      <rPr>
        <sz val="11"/>
        <color theme="1"/>
        <rFont val="Calibri"/>
        <family val="2"/>
      </rPr>
      <t>/(2*sin(Γ))</t>
    </r>
  </si>
  <si>
    <t>Formulas</t>
  </si>
  <si>
    <r>
      <t>F=A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/3 or F=10/P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(use the smaller value)</t>
    </r>
  </si>
  <si>
    <r>
      <t>If Σ=90: m</t>
    </r>
    <r>
      <rPr>
        <vertAlign val="subscript"/>
        <sz val="11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>=m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,   If Σ≠90: m</t>
    </r>
    <r>
      <rPr>
        <vertAlign val="subscript"/>
        <sz val="11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>=(m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(cos(ϒ)/cos(Γ)))</t>
    </r>
    <r>
      <rPr>
        <vertAlign val="superscript"/>
        <sz val="11"/>
        <color theme="1"/>
        <rFont val="Calibri"/>
        <family val="2"/>
        <scheme val="minor"/>
      </rPr>
      <t>1/2</t>
    </r>
  </si>
  <si>
    <r>
      <t>h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=2.0/P</t>
    </r>
    <r>
      <rPr>
        <vertAlign val="subscript"/>
        <sz val="11"/>
        <color theme="1"/>
        <rFont val="Calibri"/>
        <family val="2"/>
        <scheme val="minor"/>
      </rPr>
      <t>d</t>
    </r>
  </si>
  <si>
    <r>
      <t>a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=(.54/P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)+(.460/P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*m</t>
    </r>
    <r>
      <rPr>
        <vertAlign val="subscript"/>
        <sz val="11"/>
        <color theme="1"/>
        <rFont val="Calibri"/>
        <family val="2"/>
        <scheme val="minor"/>
      </rPr>
      <t>90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and a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=h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oG</t>
    </r>
  </si>
  <si>
    <r>
      <t>h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=2.188/P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+.002</t>
    </r>
  </si>
  <si>
    <r>
      <t>δ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=tan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) and δ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=tan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(b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)</t>
    </r>
  </si>
  <si>
    <r>
      <t>Γ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=Γ+δ</t>
    </r>
    <r>
      <rPr>
        <vertAlign val="subscript"/>
        <sz val="11"/>
        <color theme="1"/>
        <rFont val="Calibri"/>
        <family val="2"/>
        <scheme val="minor"/>
      </rPr>
      <t xml:space="preserve">G </t>
    </r>
    <r>
      <rPr>
        <sz val="11"/>
        <color theme="1"/>
        <rFont val="Calibri"/>
        <family val="2"/>
        <scheme val="minor"/>
      </rPr>
      <t>and ϒ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=ϒ+δ</t>
    </r>
    <r>
      <rPr>
        <vertAlign val="subscript"/>
        <sz val="11"/>
        <color theme="1"/>
        <rFont val="Calibri"/>
        <family val="2"/>
        <scheme val="minor"/>
      </rPr>
      <t>P</t>
    </r>
  </si>
  <si>
    <r>
      <t>D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=D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+2a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*cos(Γ) and D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=D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+2a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*cos(ϒ)</t>
    </r>
  </si>
  <si>
    <r>
      <t>If Σ=90: X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=D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/2-a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*sin(Γ) and X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=D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/2-a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*sin(ϒ),    If Σ≠90: X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=A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*cos(Γ)-a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*sin(Γ) and X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=A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*cos(ϒ)-a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*sin(ϒ)</t>
    </r>
  </si>
  <si>
    <r>
      <t>p=</t>
    </r>
    <r>
      <rPr>
        <sz val="11"/>
        <color theme="1"/>
        <rFont val="Calibri"/>
        <family val="2"/>
      </rPr>
      <t>π/P</t>
    </r>
    <r>
      <rPr>
        <vertAlign val="subscript"/>
        <sz val="11"/>
        <color theme="1"/>
        <rFont val="Calibri"/>
        <family val="2"/>
      </rPr>
      <t>d</t>
    </r>
  </si>
  <si>
    <r>
      <t>Γ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=Γ-δ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and ϒ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=ϒ-δ</t>
    </r>
    <r>
      <rPr>
        <vertAlign val="subscript"/>
        <sz val="11"/>
        <color theme="1"/>
        <rFont val="Calibri"/>
        <family val="2"/>
        <scheme val="minor"/>
      </rPr>
      <t>P</t>
    </r>
  </si>
  <si>
    <r>
      <t>Back-Angle Distance = A</t>
    </r>
    <r>
      <rPr>
        <vertAlign val="subscript"/>
        <sz val="11"/>
        <color theme="1"/>
        <rFont val="Calibri"/>
        <family val="2"/>
        <scheme val="minor"/>
      </rPr>
      <t>o</t>
    </r>
  </si>
  <si>
    <r>
      <t>Γ=Σ-ϒ   and   If Σ=90: ϒ=tan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(N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    If Σ&lt;90: ϒ=tan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(sin(Σ)/(m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+cos(Σ))    If Σ&gt;90: ϒ=tan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(sin(180-Σ)/(m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-cos(180-Σ)))</t>
    </r>
  </si>
  <si>
    <r>
      <t>h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=1.70/P</t>
    </r>
    <r>
      <rPr>
        <vertAlign val="subscript"/>
        <sz val="11"/>
        <color theme="1"/>
        <rFont val="Calibri"/>
        <family val="2"/>
        <scheme val="minor"/>
      </rPr>
      <t>d</t>
    </r>
  </si>
  <si>
    <r>
      <t>a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=(.46/P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)+(.390/P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*m</t>
    </r>
    <r>
      <rPr>
        <vertAlign val="subscript"/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and a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=h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oG</t>
    </r>
  </si>
  <si>
    <r>
      <t>h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=1.888/P</t>
    </r>
    <r>
      <rPr>
        <vertAlign val="subscript"/>
        <sz val="11"/>
        <color theme="1"/>
        <rFont val="Calibri"/>
        <family val="2"/>
        <scheme val="minor"/>
      </rPr>
      <t>d</t>
    </r>
  </si>
  <si>
    <r>
      <t>b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>=h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and b</t>
    </r>
    <r>
      <rPr>
        <vertAlign val="subscript"/>
        <sz val="11"/>
        <color theme="1"/>
        <rFont val="Calibri"/>
        <family val="2"/>
        <scheme val="minor"/>
      </rPr>
      <t>oP</t>
    </r>
    <r>
      <rPr>
        <sz val="11"/>
        <color theme="1"/>
        <rFont val="Calibri"/>
        <family val="2"/>
        <scheme val="minor"/>
      </rPr>
      <t>=h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oP</t>
    </r>
  </si>
  <si>
    <t>P=</t>
  </si>
  <si>
    <t>t=</t>
  </si>
  <si>
    <t>Pressure Angle in degrees</t>
  </si>
  <si>
    <t>Base Diameter in inches</t>
  </si>
  <si>
    <t>Root Diameter in inches</t>
  </si>
  <si>
    <t>Whole Depth in inches</t>
  </si>
  <si>
    <t xml:space="preserve">Addendum in inches </t>
  </si>
  <si>
    <t>Circular Tooth Thickness in inches</t>
  </si>
  <si>
    <t>Fillet Radius in inches</t>
  </si>
  <si>
    <t>Auxiliary Angle in degrees</t>
  </si>
  <si>
    <t>Roll Angle at Theoretical Limit Radius in Degrees</t>
  </si>
  <si>
    <r>
      <t>D</t>
    </r>
    <r>
      <rPr>
        <vertAlign val="subscript"/>
        <sz val="14"/>
        <color theme="1"/>
        <rFont val="Calibri"/>
        <family val="2"/>
        <scheme val="minor"/>
      </rPr>
      <t>G</t>
    </r>
    <r>
      <rPr>
        <sz val="14"/>
        <color theme="1"/>
        <rFont val="Calibri"/>
        <family val="2"/>
        <scheme val="minor"/>
      </rPr>
      <t>=</t>
    </r>
  </si>
  <si>
    <r>
      <t>D</t>
    </r>
    <r>
      <rPr>
        <vertAlign val="subscript"/>
        <sz val="14"/>
        <color theme="1"/>
        <rFont val="Calibri"/>
        <family val="2"/>
        <scheme val="minor"/>
      </rPr>
      <t>oG</t>
    </r>
    <r>
      <rPr>
        <sz val="14"/>
        <color theme="1"/>
        <rFont val="Calibri"/>
        <family val="2"/>
        <scheme val="minor"/>
      </rPr>
      <t>=</t>
    </r>
  </si>
  <si>
    <r>
      <t>D</t>
    </r>
    <r>
      <rPr>
        <vertAlign val="subscript"/>
        <sz val="14"/>
        <color theme="1"/>
        <rFont val="Calibri"/>
        <family val="2"/>
        <scheme val="minor"/>
      </rPr>
      <t>P</t>
    </r>
    <r>
      <rPr>
        <sz val="14"/>
        <color theme="1"/>
        <rFont val="Calibri"/>
        <family val="2"/>
        <scheme val="minor"/>
      </rPr>
      <t>=</t>
    </r>
  </si>
  <si>
    <r>
      <t>D</t>
    </r>
    <r>
      <rPr>
        <vertAlign val="subscript"/>
        <sz val="14"/>
        <color theme="1"/>
        <rFont val="Calibri"/>
        <family val="2"/>
        <scheme val="minor"/>
      </rPr>
      <t>oP</t>
    </r>
    <r>
      <rPr>
        <sz val="14"/>
        <color theme="1"/>
        <rFont val="Calibri"/>
        <family val="2"/>
        <scheme val="minor"/>
      </rPr>
      <t>=</t>
    </r>
  </si>
  <si>
    <t>Outside Diameter in inches</t>
  </si>
  <si>
    <t>Pitch Diameter in inches</t>
  </si>
  <si>
    <t>Dedendum in inches</t>
  </si>
  <si>
    <t>Interval of Contact in inches</t>
  </si>
  <si>
    <t>Form Diameter in inches</t>
  </si>
  <si>
    <t>Theoretical Limit Radius in inches</t>
  </si>
  <si>
    <r>
      <t>D</t>
    </r>
    <r>
      <rPr>
        <vertAlign val="subscript"/>
        <sz val="14"/>
        <color theme="1"/>
        <rFont val="Calibri"/>
        <family val="2"/>
        <scheme val="minor"/>
      </rPr>
      <t>bG</t>
    </r>
    <r>
      <rPr>
        <sz val="14"/>
        <color theme="1"/>
        <rFont val="Calibri"/>
        <family val="2"/>
        <scheme val="minor"/>
      </rPr>
      <t>=</t>
    </r>
  </si>
  <si>
    <r>
      <t>D</t>
    </r>
    <r>
      <rPr>
        <vertAlign val="subscript"/>
        <sz val="14"/>
        <color theme="1"/>
        <rFont val="Calibri"/>
        <family val="2"/>
        <scheme val="minor"/>
      </rPr>
      <t>RG</t>
    </r>
    <r>
      <rPr>
        <sz val="14"/>
        <color theme="1"/>
        <rFont val="Calibri"/>
        <family val="2"/>
        <scheme val="minor"/>
      </rPr>
      <t>=</t>
    </r>
  </si>
  <si>
    <r>
      <t>h</t>
    </r>
    <r>
      <rPr>
        <vertAlign val="subscript"/>
        <sz val="14"/>
        <color theme="1"/>
        <rFont val="Calibri"/>
        <family val="2"/>
        <scheme val="minor"/>
      </rPr>
      <t>tG</t>
    </r>
    <r>
      <rPr>
        <sz val="14"/>
        <color theme="1"/>
        <rFont val="Calibri"/>
        <family val="2"/>
        <scheme val="minor"/>
      </rPr>
      <t>=</t>
    </r>
  </si>
  <si>
    <r>
      <t>a</t>
    </r>
    <r>
      <rPr>
        <vertAlign val="subscript"/>
        <sz val="14"/>
        <color theme="1"/>
        <rFont val="Calibri"/>
        <family val="2"/>
        <scheme val="minor"/>
      </rPr>
      <t>G</t>
    </r>
    <r>
      <rPr>
        <sz val="14"/>
        <color theme="1"/>
        <rFont val="Calibri"/>
        <family val="2"/>
        <scheme val="minor"/>
      </rPr>
      <t>=</t>
    </r>
  </si>
  <si>
    <r>
      <t>b</t>
    </r>
    <r>
      <rPr>
        <vertAlign val="subscript"/>
        <sz val="14"/>
        <color theme="1"/>
        <rFont val="Calibri"/>
        <family val="2"/>
        <scheme val="minor"/>
      </rPr>
      <t>G</t>
    </r>
    <r>
      <rPr>
        <sz val="14"/>
        <color theme="1"/>
        <rFont val="Calibri"/>
        <family val="2"/>
        <scheme val="minor"/>
      </rPr>
      <t>=</t>
    </r>
  </si>
  <si>
    <r>
      <t>u</t>
    </r>
    <r>
      <rPr>
        <vertAlign val="subscript"/>
        <sz val="14"/>
        <color theme="1"/>
        <rFont val="Calibri"/>
        <family val="2"/>
        <scheme val="minor"/>
      </rPr>
      <t>G</t>
    </r>
    <r>
      <rPr>
        <sz val="14"/>
        <color theme="1"/>
        <rFont val="Calibri"/>
        <family val="2"/>
        <scheme val="minor"/>
      </rPr>
      <t>=</t>
    </r>
  </si>
  <si>
    <r>
      <t>r</t>
    </r>
    <r>
      <rPr>
        <vertAlign val="subscript"/>
        <sz val="14"/>
        <color theme="1"/>
        <rFont val="Calibri"/>
        <family val="2"/>
        <scheme val="minor"/>
      </rPr>
      <t>lG</t>
    </r>
    <r>
      <rPr>
        <sz val="14"/>
        <color theme="1"/>
        <rFont val="Calibri"/>
        <family val="2"/>
        <scheme val="minor"/>
      </rPr>
      <t>=</t>
    </r>
  </si>
  <si>
    <r>
      <t>d</t>
    </r>
    <r>
      <rPr>
        <vertAlign val="subscript"/>
        <sz val="14"/>
        <color theme="1"/>
        <rFont val="Calibri"/>
        <family val="2"/>
        <scheme val="minor"/>
      </rPr>
      <t>fG</t>
    </r>
    <r>
      <rPr>
        <sz val="14"/>
        <color theme="1"/>
        <rFont val="Calibri"/>
        <family val="2"/>
        <scheme val="minor"/>
      </rPr>
      <t>=</t>
    </r>
  </si>
  <si>
    <r>
      <t>D</t>
    </r>
    <r>
      <rPr>
        <vertAlign val="subscript"/>
        <sz val="14"/>
        <color theme="1"/>
        <rFont val="Calibri"/>
        <family val="2"/>
        <scheme val="minor"/>
      </rPr>
      <t>bP</t>
    </r>
    <r>
      <rPr>
        <sz val="14"/>
        <color theme="1"/>
        <rFont val="Calibri"/>
        <family val="2"/>
        <scheme val="minor"/>
      </rPr>
      <t>=</t>
    </r>
  </si>
  <si>
    <r>
      <t>D</t>
    </r>
    <r>
      <rPr>
        <vertAlign val="subscript"/>
        <sz val="14"/>
        <color theme="1"/>
        <rFont val="Calibri"/>
        <family val="2"/>
        <scheme val="minor"/>
      </rPr>
      <t>RP</t>
    </r>
    <r>
      <rPr>
        <sz val="14"/>
        <color theme="1"/>
        <rFont val="Calibri"/>
        <family val="2"/>
        <scheme val="minor"/>
      </rPr>
      <t>=</t>
    </r>
  </si>
  <si>
    <r>
      <t>h</t>
    </r>
    <r>
      <rPr>
        <vertAlign val="subscript"/>
        <sz val="14"/>
        <color theme="1"/>
        <rFont val="Calibri"/>
        <family val="2"/>
        <scheme val="minor"/>
      </rPr>
      <t>tP</t>
    </r>
    <r>
      <rPr>
        <sz val="14"/>
        <color theme="1"/>
        <rFont val="Calibri"/>
        <family val="2"/>
        <scheme val="minor"/>
      </rPr>
      <t>=</t>
    </r>
  </si>
  <si>
    <r>
      <t>a</t>
    </r>
    <r>
      <rPr>
        <vertAlign val="subscript"/>
        <sz val="14"/>
        <color theme="1"/>
        <rFont val="Calibri"/>
        <family val="2"/>
        <scheme val="minor"/>
      </rPr>
      <t>P</t>
    </r>
    <r>
      <rPr>
        <sz val="14"/>
        <color theme="1"/>
        <rFont val="Calibri"/>
        <family val="2"/>
        <scheme val="minor"/>
      </rPr>
      <t>=</t>
    </r>
  </si>
  <si>
    <r>
      <t>b</t>
    </r>
    <r>
      <rPr>
        <vertAlign val="subscript"/>
        <sz val="14"/>
        <color theme="1"/>
        <rFont val="Calibri"/>
        <family val="2"/>
        <scheme val="minor"/>
      </rPr>
      <t>P</t>
    </r>
    <r>
      <rPr>
        <sz val="14"/>
        <color theme="1"/>
        <rFont val="Calibri"/>
        <family val="2"/>
        <scheme val="minor"/>
      </rPr>
      <t>=</t>
    </r>
  </si>
  <si>
    <r>
      <t>u</t>
    </r>
    <r>
      <rPr>
        <vertAlign val="subscript"/>
        <sz val="14"/>
        <color theme="1"/>
        <rFont val="Calibri"/>
        <family val="2"/>
        <scheme val="minor"/>
      </rPr>
      <t>P</t>
    </r>
    <r>
      <rPr>
        <sz val="14"/>
        <color theme="1"/>
        <rFont val="Calibri"/>
        <family val="2"/>
        <scheme val="minor"/>
      </rPr>
      <t>=</t>
    </r>
  </si>
  <si>
    <r>
      <t>ϵ</t>
    </r>
    <r>
      <rPr>
        <vertAlign val="subscript"/>
        <sz val="14"/>
        <color theme="1"/>
        <rFont val="Calibri"/>
        <family val="2"/>
        <scheme val="minor"/>
      </rPr>
      <t>lG</t>
    </r>
    <r>
      <rPr>
        <sz val="14"/>
        <color theme="1"/>
        <rFont val="Calibri"/>
        <family val="2"/>
        <scheme val="minor"/>
      </rPr>
      <t>=</t>
    </r>
  </si>
  <si>
    <r>
      <t>ϵ</t>
    </r>
    <r>
      <rPr>
        <vertAlign val="subscript"/>
        <sz val="14"/>
        <color theme="1"/>
        <rFont val="Calibri"/>
        <family val="2"/>
        <scheme val="minor"/>
      </rPr>
      <t>lP</t>
    </r>
    <r>
      <rPr>
        <sz val="14"/>
        <color theme="1"/>
        <rFont val="Calibri"/>
        <family val="2"/>
        <scheme val="minor"/>
      </rPr>
      <t>=</t>
    </r>
  </si>
  <si>
    <r>
      <t>r</t>
    </r>
    <r>
      <rPr>
        <vertAlign val="subscript"/>
        <sz val="14"/>
        <color theme="1"/>
        <rFont val="Calibri"/>
        <family val="2"/>
        <scheme val="minor"/>
      </rPr>
      <t>lP</t>
    </r>
    <r>
      <rPr>
        <sz val="14"/>
        <color theme="1"/>
        <rFont val="Calibri"/>
        <family val="2"/>
        <scheme val="minor"/>
      </rPr>
      <t>=</t>
    </r>
  </si>
  <si>
    <r>
      <t>d</t>
    </r>
    <r>
      <rPr>
        <vertAlign val="subscript"/>
        <sz val="14"/>
        <color theme="1"/>
        <rFont val="Calibri"/>
        <family val="2"/>
        <scheme val="minor"/>
      </rPr>
      <t>fP</t>
    </r>
    <r>
      <rPr>
        <sz val="14"/>
        <color theme="1"/>
        <rFont val="Calibri"/>
        <family val="2"/>
        <scheme val="minor"/>
      </rPr>
      <t>=</t>
    </r>
  </si>
  <si>
    <r>
      <t>r</t>
    </r>
    <r>
      <rPr>
        <vertAlign val="subscript"/>
        <sz val="14"/>
        <color theme="1"/>
        <rFont val="Calibri"/>
        <family val="2"/>
        <scheme val="minor"/>
      </rPr>
      <t>fP</t>
    </r>
    <r>
      <rPr>
        <sz val="14"/>
        <color theme="1"/>
        <rFont val="Calibri"/>
        <family val="2"/>
        <scheme val="minor"/>
      </rPr>
      <t>=</t>
    </r>
  </si>
  <si>
    <r>
      <t>r</t>
    </r>
    <r>
      <rPr>
        <vertAlign val="subscript"/>
        <sz val="14"/>
        <color theme="1"/>
        <rFont val="Calibri"/>
        <family val="2"/>
        <scheme val="minor"/>
      </rPr>
      <t>fG</t>
    </r>
    <r>
      <rPr>
        <sz val="14"/>
        <color theme="1"/>
        <rFont val="Calibri"/>
        <family val="2"/>
        <scheme val="minor"/>
      </rPr>
      <t>=</t>
    </r>
  </si>
  <si>
    <t>Formula</t>
  </si>
  <si>
    <t>N/D</t>
  </si>
  <si>
    <t>Dcosφ</t>
  </si>
  <si>
    <t>2.2/P + .002</t>
  </si>
  <si>
    <t>1/P</t>
  </si>
  <si>
    <r>
      <t>h</t>
    </r>
    <r>
      <rPr>
        <vertAlign val="subscript"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 xml:space="preserve"> - 2a</t>
    </r>
  </si>
  <si>
    <r>
      <t>(D</t>
    </r>
    <r>
      <rPr>
        <vertAlign val="subscript"/>
        <sz val="14"/>
        <color theme="1"/>
        <rFont val="Calibri"/>
        <family val="2"/>
        <scheme val="minor"/>
      </rPr>
      <t>b</t>
    </r>
    <r>
      <rPr>
        <sz val="14"/>
        <color theme="1"/>
        <rFont val="Calibri"/>
        <family val="2"/>
        <scheme val="minor"/>
      </rPr>
      <t>/2)/cos(ϵ</t>
    </r>
    <r>
      <rPr>
        <vertAlign val="subscript"/>
        <sz val="14"/>
        <color theme="1"/>
        <rFont val="Calibri"/>
        <family val="2"/>
        <scheme val="minor"/>
      </rPr>
      <t>l</t>
    </r>
    <r>
      <rPr>
        <sz val="14"/>
        <color theme="1"/>
        <rFont val="Calibri"/>
        <family val="2"/>
        <scheme val="minor"/>
      </rPr>
      <t>)</t>
    </r>
  </si>
  <si>
    <t>.3/P</t>
  </si>
  <si>
    <r>
      <t>D</t>
    </r>
    <r>
      <rPr>
        <vertAlign val="subscript"/>
        <sz val="14"/>
        <color theme="1"/>
        <rFont val="Calibri"/>
        <family val="2"/>
        <scheme val="minor"/>
      </rPr>
      <t>o</t>
    </r>
    <r>
      <rPr>
        <sz val="14"/>
        <color theme="1"/>
        <rFont val="Calibri"/>
        <family val="2"/>
        <scheme val="minor"/>
      </rPr>
      <t>-2h</t>
    </r>
    <r>
      <rPr>
        <vertAlign val="subscript"/>
        <sz val="14"/>
        <color theme="1"/>
        <rFont val="Calibri"/>
        <family val="2"/>
        <scheme val="minor"/>
      </rPr>
      <t>t</t>
    </r>
  </si>
  <si>
    <r>
      <t>φ</t>
    </r>
    <r>
      <rPr>
        <vertAlign val="subscript"/>
        <sz val="14"/>
        <color theme="1"/>
        <rFont val="Calibri"/>
        <family val="2"/>
        <scheme val="minor"/>
      </rPr>
      <t>AP</t>
    </r>
    <r>
      <rPr>
        <sz val="14"/>
        <color theme="1"/>
        <rFont val="Calibri"/>
        <family val="2"/>
        <scheme val="minor"/>
      </rPr>
      <t>=</t>
    </r>
  </si>
  <si>
    <r>
      <t>φ</t>
    </r>
    <r>
      <rPr>
        <vertAlign val="subscript"/>
        <sz val="14"/>
        <color theme="1"/>
        <rFont val="Calibri"/>
        <family val="2"/>
        <scheme val="minor"/>
      </rPr>
      <t>AG</t>
    </r>
    <r>
      <rPr>
        <sz val="14"/>
        <color theme="1"/>
        <rFont val="Calibri"/>
        <family val="2"/>
        <scheme val="minor"/>
      </rPr>
      <t>=</t>
    </r>
  </si>
  <si>
    <r>
      <t>cos</t>
    </r>
    <r>
      <rPr>
        <vertAlign val="superscript"/>
        <sz val="14"/>
        <color theme="1"/>
        <rFont val="Calibri"/>
        <family val="2"/>
        <scheme val="minor"/>
      </rPr>
      <t>-1</t>
    </r>
    <r>
      <rPr>
        <sz val="14"/>
        <color theme="1"/>
        <rFont val="Calibri"/>
        <family val="2"/>
        <scheme val="minor"/>
      </rPr>
      <t>((|D</t>
    </r>
    <r>
      <rPr>
        <vertAlign val="subscript"/>
        <sz val="14"/>
        <color theme="1"/>
        <rFont val="Calibri"/>
        <family val="2"/>
        <scheme val="minor"/>
      </rPr>
      <t>b</t>
    </r>
    <r>
      <rPr>
        <sz val="14"/>
        <color theme="1"/>
        <rFont val="Calibri"/>
        <family val="2"/>
        <scheme val="minor"/>
      </rPr>
      <t>|/2)/((|D|/2)+|a|))</t>
    </r>
  </si>
  <si>
    <r>
      <t>((|D|/2)+a)*sin(φ</t>
    </r>
    <r>
      <rPr>
        <vertAlign val="subscript"/>
        <sz val="14"/>
        <color theme="1"/>
        <rFont val="Calibri"/>
        <family val="2"/>
        <scheme val="minor"/>
      </rPr>
      <t>A</t>
    </r>
    <r>
      <rPr>
        <sz val="14"/>
        <color theme="1"/>
        <rFont val="Calibri"/>
        <family val="2"/>
        <scheme val="minor"/>
      </rPr>
      <t>)-(|D|/2)*sin(φ)</t>
    </r>
  </si>
  <si>
    <r>
      <t>tan</t>
    </r>
    <r>
      <rPr>
        <vertAlign val="superscript"/>
        <sz val="14"/>
        <color theme="1"/>
        <rFont val="Calibri"/>
        <family val="2"/>
        <scheme val="minor"/>
      </rPr>
      <t>-1</t>
    </r>
    <r>
      <rPr>
        <sz val="14"/>
        <color theme="1"/>
        <rFont val="Calibri"/>
        <family val="2"/>
        <scheme val="minor"/>
      </rPr>
      <t>(((D/2)sin(φ) - u</t>
    </r>
    <r>
      <rPr>
        <sz val="14"/>
        <color theme="1"/>
        <rFont val="Calibri"/>
        <family val="2"/>
        <scheme val="minor"/>
      </rPr>
      <t>)/(D</t>
    </r>
    <r>
      <rPr>
        <vertAlign val="subscript"/>
        <sz val="14"/>
        <color theme="1"/>
        <rFont val="Calibri"/>
        <family val="2"/>
        <scheme val="minor"/>
      </rPr>
      <t>b</t>
    </r>
    <r>
      <rPr>
        <sz val="14"/>
        <color theme="1"/>
        <rFont val="Calibri"/>
        <family val="2"/>
        <scheme val="minor"/>
      </rPr>
      <t>/2))</t>
    </r>
  </si>
  <si>
    <r>
      <t>2(r</t>
    </r>
    <r>
      <rPr>
        <vertAlign val="subscript"/>
        <sz val="14"/>
        <color theme="1"/>
        <rFont val="Calibri"/>
        <family val="2"/>
        <scheme val="minor"/>
      </rPr>
      <t xml:space="preserve">l </t>
    </r>
    <r>
      <rPr>
        <sz val="14"/>
        <color theme="1"/>
        <rFont val="Calibri"/>
        <family val="2"/>
        <scheme val="minor"/>
      </rPr>
      <t>- .025*(.025/P))</t>
    </r>
  </si>
  <si>
    <t>Pi/2*P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</si>
</sst>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"/>
    <numFmt numFmtId="167" formatCode="0.00000000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NumberFormat="1"/>
    <xf numFmtId="13" fontId="0" fillId="0" borderId="0" xfId="0" applyNumberForma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13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0" fillId="0" borderId="4" xfId="0" applyFont="1" applyBorder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66" fontId="0" fillId="0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8" fillId="0" borderId="0" xfId="0" applyFont="1" applyAlignment="1" applyProtection="1">
      <alignment horizontal="left"/>
      <protection locked="0"/>
    </xf>
    <xf numFmtId="0" fontId="8" fillId="0" borderId="3" xfId="0" applyFont="1" applyBorder="1" applyProtection="1">
      <protection locked="0"/>
    </xf>
    <xf numFmtId="0" fontId="8" fillId="0" borderId="0" xfId="0" applyFont="1" applyAlignment="1" applyProtection="1">
      <alignment horizontal="left"/>
    </xf>
    <xf numFmtId="13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165" fontId="8" fillId="0" borderId="3" xfId="0" applyNumberFormat="1" applyFont="1" applyBorder="1" applyProtection="1"/>
    <xf numFmtId="165" fontId="0" fillId="0" borderId="0" xfId="0" applyNumberFormat="1" applyAlignment="1">
      <alignment horizontal="left"/>
    </xf>
    <xf numFmtId="165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4" fillId="0" borderId="0" xfId="0" applyFont="1"/>
    <xf numFmtId="165" fontId="10" fillId="0" borderId="0" xfId="0" applyNumberFormat="1" applyFont="1" applyAlignment="1">
      <alignment horizontal="center"/>
    </xf>
    <xf numFmtId="165" fontId="8" fillId="0" borderId="0" xfId="0" applyNumberFormat="1" applyFont="1"/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64" fontId="8" fillId="0" borderId="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498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2571750</xdr:colOff>
      <xdr:row>15</xdr:row>
      <xdr:rowOff>85724</xdr:rowOff>
    </xdr:from>
    <xdr:to>
      <xdr:col>5</xdr:col>
      <xdr:colOff>676275</xdr:colOff>
      <xdr:row>21</xdr:row>
      <xdr:rowOff>9525</xdr:rowOff>
    </xdr:to>
    <xdr:sp macro="" textlink="">
      <xdr:nvSpPr>
        <xdr:cNvPr id="2" name="TextBox 1"/>
        <xdr:cNvSpPr txBox="1"/>
      </xdr:nvSpPr>
      <xdr:spPr>
        <a:xfrm>
          <a:off x="2571750" y="3886199"/>
          <a:ext cx="5505450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800" b="1" u="sng"/>
            <a:t>All formulas are from the Boston Gear Catalog</a:t>
          </a:r>
        </a:p>
        <a:p>
          <a:pPr algn="ctr"/>
          <a:r>
            <a:rPr lang="en-US" sz="1800" b="1" u="sng"/>
            <a:t>Values</a:t>
          </a:r>
          <a:r>
            <a:rPr lang="en-US" sz="1800" b="1" u="sng" baseline="0"/>
            <a:t> in formulas that have bars around them use the pinion value if you are calculating for the gear and vice versa</a:t>
          </a:r>
          <a:endParaRPr lang="en-US" sz="18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114301</xdr:rowOff>
    </xdr:from>
    <xdr:to>
      <xdr:col>4</xdr:col>
      <xdr:colOff>466725</xdr:colOff>
      <xdr:row>14</xdr:row>
      <xdr:rowOff>133351</xdr:rowOff>
    </xdr:to>
    <xdr:sp macro="" textlink="">
      <xdr:nvSpPr>
        <xdr:cNvPr id="2" name="TextBox 1"/>
        <xdr:cNvSpPr txBox="1"/>
      </xdr:nvSpPr>
      <xdr:spPr>
        <a:xfrm>
          <a:off x="285750" y="2581276"/>
          <a:ext cx="51149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/>
            <a:t>The</a:t>
          </a:r>
          <a:r>
            <a:rPr lang="en-US" sz="1600" b="1" baseline="0"/>
            <a:t> gears produced by this spread sheet have no crowning and always have a pressure angle of 20 degrees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19051</xdr:rowOff>
    </xdr:from>
    <xdr:to>
      <xdr:col>5</xdr:col>
      <xdr:colOff>3686176</xdr:colOff>
      <xdr:row>23</xdr:row>
      <xdr:rowOff>19051</xdr:rowOff>
    </xdr:to>
    <xdr:sp macro="" textlink="">
      <xdr:nvSpPr>
        <xdr:cNvPr id="2" name="TextBox 1"/>
        <xdr:cNvSpPr txBox="1"/>
      </xdr:nvSpPr>
      <xdr:spPr>
        <a:xfrm>
          <a:off x="1885951" y="4333876"/>
          <a:ext cx="70294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000" b="1"/>
            <a:t>All Formulas Come From table 5-22 of the Gear Manufacturer's Handbook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0</xdr:rowOff>
    </xdr:from>
    <xdr:to>
      <xdr:col>4</xdr:col>
      <xdr:colOff>333375</xdr:colOff>
      <xdr:row>14</xdr:row>
      <xdr:rowOff>19050</xdr:rowOff>
    </xdr:to>
    <xdr:sp macro="" textlink="">
      <xdr:nvSpPr>
        <xdr:cNvPr id="2" name="TextBox 1"/>
        <xdr:cNvSpPr txBox="1"/>
      </xdr:nvSpPr>
      <xdr:spPr>
        <a:xfrm>
          <a:off x="152400" y="2466975"/>
          <a:ext cx="51149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/>
            <a:t>The</a:t>
          </a:r>
          <a:r>
            <a:rPr lang="en-US" sz="1600" b="1" baseline="0"/>
            <a:t> gears produced by this spread sheet have no crowning and always have a pressure angle of 20 degrees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1885949</xdr:colOff>
      <xdr:row>19</xdr:row>
      <xdr:rowOff>0</xdr:rowOff>
    </xdr:from>
    <xdr:to>
      <xdr:col>5</xdr:col>
      <xdr:colOff>3790949</xdr:colOff>
      <xdr:row>23</xdr:row>
      <xdr:rowOff>0</xdr:rowOff>
    </xdr:to>
    <xdr:sp macro="" textlink="">
      <xdr:nvSpPr>
        <xdr:cNvPr id="2" name="TextBox 1"/>
        <xdr:cNvSpPr txBox="1"/>
      </xdr:nvSpPr>
      <xdr:spPr>
        <a:xfrm>
          <a:off x="1885949" y="4314825"/>
          <a:ext cx="71342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000" b="1"/>
            <a:t>All Formulas Come From table 5-22 of the Gear Manufacturer's Handbook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A34" sqref="A34"/>
    </sheetView>
  </sheetViews>
  <sheetFormatPr defaultRowHeight="15" x14ac:dyDescent="0.25"/>
  <cols>
    <col min="1" max="1" width="37.85546875" bestFit="1" customWidth="1"/>
    <col min="2" max="2" width="15.7109375" bestFit="1" customWidth="1"/>
    <col min="3" max="3" width="7.7109375" bestFit="1" customWidth="1"/>
    <col min="4" max="4" width="17.5703125" bestFit="1" customWidth="1"/>
    <col min="5" max="5" width="7.7109375" bestFit="1" customWidth="1"/>
    <col min="6" max="6" width="7.5703125" bestFit="1" customWidth="1"/>
    <col min="7" max="7" width="8.28515625" customWidth="1"/>
    <col min="8" max="8" width="7.5703125" bestFit="1" customWidth="1"/>
    <col min="9" max="9" width="35" bestFit="1" customWidth="1"/>
  </cols>
  <sheetData>
    <row r="1" spans="1:10" ht="18.75" x14ac:dyDescent="0.3">
      <c r="A1" s="12" t="s">
        <v>43</v>
      </c>
      <c r="B1" s="12" t="s">
        <v>25</v>
      </c>
      <c r="C1" s="12" t="s">
        <v>26</v>
      </c>
      <c r="D1" s="12" t="s">
        <v>27</v>
      </c>
      <c r="E1" s="12" t="s">
        <v>26</v>
      </c>
      <c r="F1" s="11"/>
    </row>
    <row r="2" spans="1:10" ht="20.25" x14ac:dyDescent="0.35">
      <c r="A2" s="9" t="s">
        <v>114</v>
      </c>
      <c r="B2" s="9" t="s">
        <v>111</v>
      </c>
      <c r="C2" s="42">
        <v>3.2</v>
      </c>
      <c r="D2" s="9" t="s">
        <v>113</v>
      </c>
      <c r="E2" s="42">
        <v>2.2000000000000002</v>
      </c>
      <c r="F2" s="11"/>
    </row>
    <row r="3" spans="1:10" ht="20.25" x14ac:dyDescent="0.35">
      <c r="A3" s="9" t="s">
        <v>18</v>
      </c>
      <c r="B3" s="9" t="s">
        <v>72</v>
      </c>
      <c r="C3" s="42">
        <v>30</v>
      </c>
      <c r="D3" s="9" t="s">
        <v>73</v>
      </c>
      <c r="E3" s="42">
        <v>20</v>
      </c>
      <c r="F3" s="11"/>
      <c r="H3" s="2"/>
    </row>
    <row r="4" spans="1:10" ht="20.25" x14ac:dyDescent="0.35">
      <c r="A4" s="9" t="s">
        <v>115</v>
      </c>
      <c r="B4" s="9" t="s">
        <v>110</v>
      </c>
      <c r="C4" s="42">
        <v>3</v>
      </c>
      <c r="D4" s="9" t="s">
        <v>112</v>
      </c>
      <c r="E4" s="42">
        <v>2</v>
      </c>
      <c r="F4" s="11"/>
      <c r="H4" s="2"/>
    </row>
    <row r="6" spans="1:10" ht="18.75" x14ac:dyDescent="0.3">
      <c r="A6" s="12" t="s">
        <v>76</v>
      </c>
      <c r="B6" s="12" t="s">
        <v>25</v>
      </c>
      <c r="C6" s="12" t="s">
        <v>26</v>
      </c>
      <c r="D6" s="12" t="s">
        <v>27</v>
      </c>
      <c r="E6" s="12" t="s">
        <v>26</v>
      </c>
      <c r="F6" s="11"/>
      <c r="H6" s="2"/>
    </row>
    <row r="7" spans="1:10" ht="18.75" x14ac:dyDescent="0.3">
      <c r="A7" s="9" t="s">
        <v>101</v>
      </c>
      <c r="B7" s="9" t="s">
        <v>71</v>
      </c>
      <c r="C7" s="52">
        <v>20</v>
      </c>
      <c r="D7" s="9" t="s">
        <v>71</v>
      </c>
      <c r="E7" s="52">
        <f>C7</f>
        <v>20</v>
      </c>
    </row>
    <row r="8" spans="1:10" ht="18.75" x14ac:dyDescent="0.3">
      <c r="A8" s="11"/>
      <c r="B8" s="9"/>
      <c r="C8" s="11"/>
      <c r="D8" s="9"/>
      <c r="E8" s="10"/>
      <c r="F8" s="11"/>
      <c r="H8" s="2"/>
    </row>
    <row r="9" spans="1:10" ht="18.75" x14ac:dyDescent="0.3">
      <c r="A9" s="11"/>
      <c r="B9" s="9"/>
      <c r="C9" s="11"/>
      <c r="D9" s="9"/>
      <c r="E9" s="10"/>
      <c r="F9" s="11"/>
      <c r="H9" s="2"/>
    </row>
    <row r="10" spans="1:10" ht="18.75" x14ac:dyDescent="0.3">
      <c r="A10" s="11"/>
      <c r="B10" s="9"/>
      <c r="C10" s="11"/>
      <c r="D10" s="9"/>
      <c r="E10" s="10"/>
      <c r="F10" s="11"/>
      <c r="H10" s="2"/>
    </row>
    <row r="11" spans="1:10" ht="18.75" x14ac:dyDescent="0.3">
      <c r="A11" s="11"/>
      <c r="B11" s="9"/>
      <c r="C11" s="11"/>
      <c r="D11" s="9"/>
      <c r="E11" s="10"/>
      <c r="F11" s="11"/>
      <c r="H11" s="2"/>
    </row>
    <row r="12" spans="1:10" ht="18.75" x14ac:dyDescent="0.3">
      <c r="A12" s="11"/>
      <c r="B12" s="9"/>
      <c r="C12" s="11"/>
      <c r="D12" s="9"/>
      <c r="E12" s="10"/>
      <c r="F12" s="11"/>
      <c r="H12" s="31"/>
      <c r="I12" s="32"/>
      <c r="J12" s="33"/>
    </row>
    <row r="13" spans="1:10" ht="18.75" x14ac:dyDescent="0.3">
      <c r="A13" s="11"/>
      <c r="B13" s="9"/>
      <c r="C13" s="11"/>
      <c r="D13" s="9"/>
      <c r="E13" s="10"/>
      <c r="F13" s="11"/>
      <c r="H13" s="34"/>
      <c r="I13" s="35"/>
      <c r="J13" s="36"/>
    </row>
    <row r="14" spans="1:10" ht="18.75" x14ac:dyDescent="0.3">
      <c r="A14" s="11"/>
      <c r="B14" s="9"/>
      <c r="C14" s="11"/>
      <c r="D14" s="9"/>
      <c r="E14" s="10"/>
      <c r="F14" s="11"/>
      <c r="H14" s="34"/>
      <c r="I14" s="35"/>
      <c r="J14" s="36"/>
    </row>
    <row r="15" spans="1:10" ht="18.75" x14ac:dyDescent="0.3">
      <c r="A15" s="11"/>
      <c r="B15" s="9"/>
      <c r="C15" s="11"/>
      <c r="D15" s="9"/>
      <c r="E15" s="10"/>
      <c r="F15" s="11"/>
      <c r="H15" s="34"/>
      <c r="I15" s="35"/>
      <c r="J15" s="36"/>
    </row>
    <row r="16" spans="1:10" ht="18.75" x14ac:dyDescent="0.3">
      <c r="A16" s="11"/>
      <c r="B16" s="9"/>
      <c r="C16" s="11"/>
      <c r="D16" s="9"/>
      <c r="E16" s="10"/>
      <c r="F16" s="11"/>
      <c r="H16" s="34"/>
      <c r="I16" s="35"/>
      <c r="J16" s="36"/>
    </row>
    <row r="17" spans="1:10" ht="18.75" x14ac:dyDescent="0.3">
      <c r="A17" s="11"/>
      <c r="B17" s="9"/>
      <c r="C17" s="11"/>
      <c r="D17" s="11"/>
      <c r="E17" s="10"/>
      <c r="F17" s="11"/>
      <c r="G17" s="1"/>
      <c r="H17" s="34"/>
      <c r="I17" s="35"/>
      <c r="J17" s="36"/>
    </row>
    <row r="18" spans="1:10" ht="18.75" x14ac:dyDescent="0.3">
      <c r="A18" s="11"/>
      <c r="B18" s="9"/>
      <c r="C18" s="11"/>
      <c r="D18" s="11"/>
      <c r="E18" s="10"/>
      <c r="F18" s="11"/>
      <c r="G18" s="1"/>
      <c r="H18" s="34"/>
      <c r="I18" s="35"/>
      <c r="J18" s="36"/>
    </row>
    <row r="19" spans="1:10" ht="18.75" x14ac:dyDescent="0.3">
      <c r="A19" s="11"/>
      <c r="B19" s="11"/>
      <c r="C19" s="11"/>
      <c r="D19" s="11"/>
      <c r="E19" s="10"/>
      <c r="F19" s="11"/>
      <c r="G19" s="1"/>
      <c r="H19" s="37"/>
      <c r="I19" s="35"/>
      <c r="J19" s="36"/>
    </row>
    <row r="20" spans="1:10" ht="18.75" x14ac:dyDescent="0.3">
      <c r="A20" s="11"/>
      <c r="B20" s="11"/>
      <c r="C20" s="11"/>
      <c r="D20" s="11"/>
      <c r="E20" s="10"/>
      <c r="F20" s="11"/>
      <c r="G20" s="1"/>
      <c r="H20" s="37"/>
      <c r="I20" s="35"/>
      <c r="J20" s="36"/>
    </row>
    <row r="21" spans="1:10" ht="18.75" x14ac:dyDescent="0.3">
      <c r="A21" s="11"/>
      <c r="B21" s="11"/>
      <c r="C21" s="11"/>
      <c r="D21" s="11"/>
      <c r="E21" s="10"/>
      <c r="F21" s="11"/>
      <c r="G21" s="1"/>
      <c r="H21" s="37"/>
      <c r="I21" s="35"/>
      <c r="J21" s="36"/>
    </row>
    <row r="22" spans="1:10" ht="18.75" x14ac:dyDescent="0.3">
      <c r="A22" s="11"/>
      <c r="B22" s="11"/>
      <c r="C22" s="11"/>
      <c r="D22" s="11"/>
      <c r="E22" s="11"/>
      <c r="F22" s="11"/>
      <c r="G22" s="1"/>
      <c r="H22" s="37"/>
      <c r="I22" s="38"/>
      <c r="J22" s="36"/>
    </row>
    <row r="23" spans="1:10" x14ac:dyDescent="0.25">
      <c r="H23" s="37"/>
      <c r="I23" s="38"/>
      <c r="J23" s="36"/>
    </row>
    <row r="24" spans="1:10" x14ac:dyDescent="0.25">
      <c r="H24" s="37"/>
      <c r="I24" s="38"/>
      <c r="J24" s="36"/>
    </row>
    <row r="25" spans="1:10" x14ac:dyDescent="0.25">
      <c r="H25" s="39"/>
      <c r="I25" s="40"/>
      <c r="J25" s="41"/>
    </row>
    <row r="28" spans="1:10" x14ac:dyDescent="0.25">
      <c r="G28" s="1"/>
    </row>
    <row r="35" spans="1:6" x14ac:dyDescent="0.25">
      <c r="A35" s="20"/>
      <c r="B35" s="1"/>
      <c r="C35" s="20"/>
      <c r="D35" s="1"/>
      <c r="E35" s="20"/>
      <c r="F35" s="1"/>
    </row>
    <row r="36" spans="1:6" x14ac:dyDescent="0.25">
      <c r="A36" s="22"/>
      <c r="B36" s="23"/>
      <c r="C36" s="22"/>
      <c r="D36" s="23"/>
      <c r="E36" s="22"/>
      <c r="F36" s="23"/>
    </row>
    <row r="37" spans="1:6" x14ac:dyDescent="0.25">
      <c r="A37" s="22"/>
      <c r="B37" s="23"/>
      <c r="C37" s="22"/>
      <c r="D37" s="23"/>
      <c r="E37" s="22"/>
      <c r="F37" s="23"/>
    </row>
    <row r="38" spans="1:6" x14ac:dyDescent="0.25">
      <c r="A38" s="22"/>
      <c r="B38" s="23"/>
      <c r="C38" s="22"/>
      <c r="D38" s="23"/>
      <c r="E38" s="22"/>
      <c r="F38" s="23"/>
    </row>
    <row r="39" spans="1:6" x14ac:dyDescent="0.25">
      <c r="A39" s="21"/>
      <c r="B39" s="24"/>
      <c r="C39" s="21"/>
      <c r="D39" s="24"/>
      <c r="E39" s="21"/>
      <c r="F39" s="24"/>
    </row>
    <row r="40" spans="1:6" x14ac:dyDescent="0.25">
      <c r="A40" s="21"/>
      <c r="B40" s="24"/>
      <c r="C40" s="21"/>
      <c r="D40" s="24"/>
      <c r="E40" s="21"/>
      <c r="F40" s="24"/>
    </row>
    <row r="41" spans="1:6" x14ac:dyDescent="0.25">
      <c r="A41" s="21"/>
      <c r="B41" s="24"/>
      <c r="C41" s="21"/>
      <c r="D41" s="24"/>
      <c r="E41" s="21"/>
      <c r="F41" s="25"/>
    </row>
    <row r="42" spans="1:6" x14ac:dyDescent="0.25">
      <c r="A42" s="21"/>
      <c r="B42" s="24"/>
      <c r="C42" s="21"/>
      <c r="D42" s="24"/>
      <c r="E42" s="21"/>
      <c r="F42" s="26"/>
    </row>
    <row r="43" spans="1:6" x14ac:dyDescent="0.25">
      <c r="A43" s="21"/>
      <c r="B43" s="25"/>
      <c r="C43" s="21"/>
      <c r="D43" s="27"/>
      <c r="E43" s="21"/>
      <c r="F43" s="25"/>
    </row>
    <row r="44" spans="1:6" x14ac:dyDescent="0.25">
      <c r="A44" s="21"/>
      <c r="B44" s="24"/>
      <c r="C44" s="21"/>
      <c r="D44" s="24"/>
      <c r="E44" s="21"/>
      <c r="F44" s="25"/>
    </row>
    <row r="45" spans="1:6" x14ac:dyDescent="0.25">
      <c r="A45" s="21"/>
      <c r="B45" s="24"/>
      <c r="C45" s="21"/>
      <c r="D45" s="24"/>
      <c r="E45" s="21"/>
      <c r="F45" s="25"/>
    </row>
    <row r="46" spans="1:6" x14ac:dyDescent="0.25">
      <c r="A46" s="21"/>
      <c r="B46" s="24"/>
      <c r="C46" s="21"/>
      <c r="D46" s="27"/>
      <c r="E46" s="21"/>
      <c r="F46" s="24"/>
    </row>
    <row r="47" spans="1:6" x14ac:dyDescent="0.25">
      <c r="A47" s="21"/>
      <c r="B47" s="28"/>
      <c r="C47" s="21"/>
      <c r="D47" s="28"/>
      <c r="E47" s="21"/>
      <c r="F47" s="28"/>
    </row>
    <row r="48" spans="1:6" x14ac:dyDescent="0.25">
      <c r="A48" s="29"/>
      <c r="B48" s="23"/>
      <c r="C48" s="29"/>
      <c r="D48" s="23"/>
      <c r="E48" s="23"/>
      <c r="F48" s="23"/>
    </row>
    <row r="49" spans="1:6" x14ac:dyDescent="0.25">
      <c r="A49" s="22"/>
      <c r="B49" s="23"/>
      <c r="C49" s="22"/>
      <c r="D49" s="23"/>
      <c r="E49" s="23"/>
      <c r="F49" s="23"/>
    </row>
    <row r="50" spans="1:6" x14ac:dyDescent="0.25">
      <c r="A50" s="22"/>
      <c r="B50" s="23"/>
      <c r="C50" s="22"/>
      <c r="D50" s="23"/>
      <c r="E50" s="23"/>
      <c r="F50" s="23"/>
    </row>
    <row r="51" spans="1:6" x14ac:dyDescent="0.25">
      <c r="A51" s="22"/>
      <c r="B51" s="23"/>
      <c r="C51" s="22"/>
      <c r="D51" s="23"/>
      <c r="E51" s="23"/>
      <c r="F51" s="23"/>
    </row>
    <row r="52" spans="1:6" x14ac:dyDescent="0.25">
      <c r="A52" s="21"/>
      <c r="B52" s="24"/>
      <c r="C52" s="21"/>
      <c r="D52" s="24"/>
      <c r="E52" s="23"/>
      <c r="F52" s="23"/>
    </row>
    <row r="53" spans="1:6" x14ac:dyDescent="0.25">
      <c r="A53" s="21"/>
      <c r="B53" s="24"/>
      <c r="C53" s="21"/>
      <c r="D53" s="24"/>
      <c r="E53" s="23"/>
      <c r="F53" s="23"/>
    </row>
    <row r="54" spans="1:6" x14ac:dyDescent="0.25">
      <c r="A54" s="21"/>
      <c r="B54" s="24"/>
      <c r="C54" s="21"/>
      <c r="D54" s="24"/>
      <c r="E54" s="23"/>
      <c r="F54" s="23"/>
    </row>
    <row r="55" spans="1:6" x14ac:dyDescent="0.25">
      <c r="A55" s="21"/>
      <c r="B55" s="24"/>
      <c r="C55" s="21"/>
      <c r="D55" s="24"/>
      <c r="E55" s="23"/>
      <c r="F55" s="23"/>
    </row>
    <row r="56" spans="1:6" x14ac:dyDescent="0.25">
      <c r="A56" s="21"/>
      <c r="B56" s="25"/>
      <c r="C56" s="21"/>
      <c r="D56" s="25"/>
      <c r="E56" s="23"/>
      <c r="F56" s="23"/>
    </row>
    <row r="57" spans="1:6" x14ac:dyDescent="0.25">
      <c r="A57" s="21"/>
      <c r="B57" s="24"/>
      <c r="C57" s="30"/>
      <c r="D57" s="24"/>
      <c r="E57" s="23"/>
      <c r="F57" s="23"/>
    </row>
    <row r="58" spans="1:6" x14ac:dyDescent="0.25">
      <c r="A58" s="21"/>
      <c r="B58" s="24"/>
      <c r="C58" s="21"/>
      <c r="D58" s="24"/>
      <c r="E58" s="23"/>
      <c r="F58" s="23"/>
    </row>
    <row r="59" spans="1:6" x14ac:dyDescent="0.25">
      <c r="A59" s="21"/>
      <c r="B59" s="24"/>
      <c r="C59" s="21"/>
      <c r="D59" s="24"/>
      <c r="E59" s="23"/>
      <c r="F59" s="23"/>
    </row>
    <row r="60" spans="1:6" x14ac:dyDescent="0.25">
      <c r="A60" s="21"/>
      <c r="B60" s="28"/>
      <c r="C60" s="21"/>
      <c r="D60" s="28"/>
      <c r="E60" s="23"/>
      <c r="F60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24" sqref="C24"/>
    </sheetView>
  </sheetViews>
  <sheetFormatPr defaultRowHeight="15" x14ac:dyDescent="0.25"/>
  <cols>
    <col min="1" max="1" width="56.5703125" bestFit="1" customWidth="1"/>
    <col min="2" max="2" width="15.7109375" bestFit="1" customWidth="1"/>
    <col min="3" max="3" width="10.5703125" style="56" bestFit="1" customWidth="1"/>
    <col min="4" max="4" width="17.5703125" bestFit="1" customWidth="1"/>
    <col min="5" max="5" width="10.5703125" style="56" bestFit="1" customWidth="1"/>
    <col min="6" max="6" width="41" bestFit="1" customWidth="1"/>
  </cols>
  <sheetData>
    <row r="1" spans="1:6" ht="18.75" x14ac:dyDescent="0.3">
      <c r="A1" s="12" t="s">
        <v>44</v>
      </c>
      <c r="B1" s="12" t="s">
        <v>25</v>
      </c>
      <c r="C1" s="54" t="s">
        <v>26</v>
      </c>
      <c r="D1" s="12" t="s">
        <v>27</v>
      </c>
      <c r="E1" s="54" t="s">
        <v>26</v>
      </c>
      <c r="F1" s="12" t="s">
        <v>140</v>
      </c>
    </row>
    <row r="2" spans="1:6" ht="18.75" x14ac:dyDescent="0.3">
      <c r="A2" s="9" t="s">
        <v>19</v>
      </c>
      <c r="B2" s="9" t="s">
        <v>99</v>
      </c>
      <c r="C2" s="58">
        <f>'Spur Gear Inputs'!C3/'Spur Gear Inputs'!C4</f>
        <v>10</v>
      </c>
      <c r="D2" s="9" t="s">
        <v>99</v>
      </c>
      <c r="E2" s="58">
        <f>C2</f>
        <v>10</v>
      </c>
      <c r="F2" s="10" t="s">
        <v>141</v>
      </c>
    </row>
    <row r="3" spans="1:6" ht="20.25" x14ac:dyDescent="0.35">
      <c r="A3" s="9" t="s">
        <v>102</v>
      </c>
      <c r="B3" s="9" t="s">
        <v>120</v>
      </c>
      <c r="C3" s="58">
        <f>'Spur Gear Inputs'!C4*COS(RADIANS('Spur Gear Inputs'!C7))</f>
        <v>2.8190778623577253</v>
      </c>
      <c r="D3" s="9" t="s">
        <v>128</v>
      </c>
      <c r="E3" s="58">
        <f>'Spur Gear Inputs'!E4*COS(RADIANS('Spur Gear Inputs'!E7))</f>
        <v>1.8793852415718169</v>
      </c>
      <c r="F3" s="10" t="s">
        <v>142</v>
      </c>
    </row>
    <row r="4" spans="1:6" ht="20.25" x14ac:dyDescent="0.35">
      <c r="A4" s="9" t="s">
        <v>103</v>
      </c>
      <c r="B4" s="9" t="s">
        <v>121</v>
      </c>
      <c r="C4" s="58">
        <f>'Spur Gear Inputs'!C2-2*C5</f>
        <v>2.7560000000000002</v>
      </c>
      <c r="D4" s="9" t="s">
        <v>129</v>
      </c>
      <c r="E4" s="58">
        <f>'Spur Gear Inputs'!E2-2*E5</f>
        <v>1.7560000000000002</v>
      </c>
      <c r="F4" s="10" t="s">
        <v>148</v>
      </c>
    </row>
    <row r="5" spans="1:6" ht="20.25" x14ac:dyDescent="0.35">
      <c r="A5" s="9" t="s">
        <v>104</v>
      </c>
      <c r="B5" s="9" t="s">
        <v>122</v>
      </c>
      <c r="C5" s="58">
        <f>(2.2/C2)+0.002</f>
        <v>0.22200000000000003</v>
      </c>
      <c r="D5" s="9" t="s">
        <v>130</v>
      </c>
      <c r="E5" s="58">
        <f>C5</f>
        <v>0.22200000000000003</v>
      </c>
      <c r="F5" s="10" t="s">
        <v>143</v>
      </c>
    </row>
    <row r="6" spans="1:6" ht="20.25" x14ac:dyDescent="0.35">
      <c r="A6" s="9" t="s">
        <v>105</v>
      </c>
      <c r="B6" s="9" t="s">
        <v>123</v>
      </c>
      <c r="C6" s="58">
        <f>1/C2</f>
        <v>0.1</v>
      </c>
      <c r="D6" s="9" t="s">
        <v>131</v>
      </c>
      <c r="E6" s="58">
        <f>1/E2</f>
        <v>0.1</v>
      </c>
      <c r="F6" s="10" t="s">
        <v>144</v>
      </c>
    </row>
    <row r="7" spans="1:6" ht="20.25" x14ac:dyDescent="0.35">
      <c r="A7" s="9" t="s">
        <v>116</v>
      </c>
      <c r="B7" s="9" t="s">
        <v>124</v>
      </c>
      <c r="C7" s="58">
        <f>C5-2*C6</f>
        <v>2.200000000000002E-2</v>
      </c>
      <c r="D7" s="9" t="s">
        <v>132</v>
      </c>
      <c r="E7" s="58">
        <f>E5-2*E6</f>
        <v>2.200000000000002E-2</v>
      </c>
      <c r="F7" s="10" t="s">
        <v>145</v>
      </c>
    </row>
    <row r="8" spans="1:6" ht="21.75" x14ac:dyDescent="0.35">
      <c r="A8" s="9" t="s">
        <v>108</v>
      </c>
      <c r="B8" s="9" t="s">
        <v>150</v>
      </c>
      <c r="C8" s="58">
        <f>DEGREES(ACOS((E3/2)/(('Spur Gear Inputs'!E4/2)+'Spur Gear Outputs'!E6)))</f>
        <v>31.321257929651331</v>
      </c>
      <c r="D8" s="9" t="s">
        <v>149</v>
      </c>
      <c r="E8" s="58">
        <f>DEGREES(ACOS((C3/2)/(('Spur Gear Inputs'!C4/2)+'Spur Gear Outputs'!C6)))</f>
        <v>28.24139282937675</v>
      </c>
      <c r="F8" s="10" t="s">
        <v>151</v>
      </c>
    </row>
    <row r="9" spans="1:6" ht="20.25" x14ac:dyDescent="0.35">
      <c r="A9" s="9" t="s">
        <v>117</v>
      </c>
      <c r="B9" s="9" t="s">
        <v>125</v>
      </c>
      <c r="C9" s="58">
        <f>(('Spur Gear Inputs'!E4/2)+C6)*SIN(RADIANS(C8))-('Spur Gear Inputs'!E4/2)*SIN(RADIANS('Spur Gear Inputs'!C7))</f>
        <v>0.22979956465973389</v>
      </c>
      <c r="D9" s="9" t="s">
        <v>133</v>
      </c>
      <c r="E9" s="58">
        <f>(('Spur Gear Inputs'!C4/2)+E6)*SIN(RADIANS(E8))-('Spur Gear Inputs'!C4/2)*SIN(RADIANS('Spur Gear Inputs'!E7))</f>
        <v>0.24406951522618237</v>
      </c>
      <c r="F9" s="10" t="s">
        <v>152</v>
      </c>
    </row>
    <row r="10" spans="1:6" ht="21.75" x14ac:dyDescent="0.35">
      <c r="A10" s="9" t="s">
        <v>109</v>
      </c>
      <c r="B10" s="9" t="s">
        <v>134</v>
      </c>
      <c r="C10" s="58">
        <f>DEGREES(ATAN((('Spur Gear Inputs'!C4/2)*(SIN(RADIANS('Spur Gear Inputs'!C7)))-C9)/(C3/2)))</f>
        <v>11.361627523188734</v>
      </c>
      <c r="D10" s="9" t="s">
        <v>135</v>
      </c>
      <c r="E10" s="58">
        <f>DEGREES(ATAN((('Spur Gear Inputs'!E4/2)*(SIN(RADIANS('Spur Gear Inputs'!E7)))-E9)/(E3/2)))</f>
        <v>5.950842839193963</v>
      </c>
      <c r="F10" s="10" t="s">
        <v>153</v>
      </c>
    </row>
    <row r="11" spans="1:6" ht="20.25" x14ac:dyDescent="0.35">
      <c r="A11" s="9" t="s">
        <v>119</v>
      </c>
      <c r="B11" s="9" t="s">
        <v>126</v>
      </c>
      <c r="C11" s="58">
        <f>(C3/2)/COS(RADIANS(C10))</f>
        <v>1.437713323230507</v>
      </c>
      <c r="D11" s="9" t="s">
        <v>136</v>
      </c>
      <c r="E11" s="58">
        <f>(E3/2)/COS(RADIANS(E10))</f>
        <v>0.94478386263979597</v>
      </c>
      <c r="F11" s="10" t="s">
        <v>146</v>
      </c>
    </row>
    <row r="12" spans="1:6" ht="20.25" x14ac:dyDescent="0.35">
      <c r="A12" s="9" t="s">
        <v>118</v>
      </c>
      <c r="B12" s="9" t="s">
        <v>127</v>
      </c>
      <c r="C12" s="58">
        <f>2*(C11-0.025*(0.025/C2))</f>
        <v>2.8753016464610139</v>
      </c>
      <c r="D12" s="9" t="s">
        <v>137</v>
      </c>
      <c r="E12" s="58">
        <f>2*(E11-(0.025/E2))</f>
        <v>1.884567725279592</v>
      </c>
      <c r="F12" s="10" t="s">
        <v>154</v>
      </c>
    </row>
    <row r="13" spans="1:6" ht="18.75" x14ac:dyDescent="0.3">
      <c r="A13" s="9" t="s">
        <v>106</v>
      </c>
      <c r="B13" s="9" t="s">
        <v>100</v>
      </c>
      <c r="C13" s="59">
        <f>PI()/(2*C2)</f>
        <v>0.15707963267948966</v>
      </c>
      <c r="D13" s="9" t="s">
        <v>100</v>
      </c>
      <c r="E13" s="59">
        <f>PI()/(2*E2)</f>
        <v>0.15707963267948966</v>
      </c>
      <c r="F13" s="10" t="s">
        <v>155</v>
      </c>
    </row>
    <row r="14" spans="1:6" ht="20.25" x14ac:dyDescent="0.35">
      <c r="A14" s="9" t="s">
        <v>107</v>
      </c>
      <c r="B14" s="9" t="s">
        <v>139</v>
      </c>
      <c r="C14" s="59">
        <f>0.3/C2</f>
        <v>0.03</v>
      </c>
      <c r="D14" s="9" t="s">
        <v>138</v>
      </c>
      <c r="E14" s="59">
        <f>0.3/E2</f>
        <v>0.03</v>
      </c>
      <c r="F14" s="10" t="s">
        <v>147</v>
      </c>
    </row>
    <row r="15" spans="1:6" ht="18.75" x14ac:dyDescent="0.3">
      <c r="B15" s="11"/>
      <c r="C15" s="55"/>
      <c r="D15" s="11"/>
      <c r="E15" s="51"/>
    </row>
    <row r="16" spans="1:6" ht="18.75" x14ac:dyDescent="0.3">
      <c r="B16" s="11"/>
      <c r="C16" s="55"/>
      <c r="D16" s="11"/>
      <c r="E16" s="51"/>
    </row>
    <row r="17" spans="2:5" ht="18.75" x14ac:dyDescent="0.3">
      <c r="B17" s="11"/>
      <c r="C17" s="55"/>
      <c r="D17" s="11"/>
      <c r="E17" s="51"/>
    </row>
    <row r="18" spans="2:5" ht="18.75" x14ac:dyDescent="0.3">
      <c r="B18" s="11"/>
      <c r="C18" s="55"/>
      <c r="D18" s="11"/>
      <c r="E18" s="51"/>
    </row>
    <row r="19" spans="2:5" ht="18.75" x14ac:dyDescent="0.3">
      <c r="B19" s="11"/>
      <c r="C19" s="55"/>
      <c r="D19" s="11"/>
      <c r="E19" s="51"/>
    </row>
    <row r="20" spans="2:5" ht="18.75" x14ac:dyDescent="0.3">
      <c r="B20" s="11"/>
      <c r="C20" s="55"/>
      <c r="D20" s="11"/>
      <c r="E20" s="51"/>
    </row>
    <row r="21" spans="2:5" ht="18.75" x14ac:dyDescent="0.3">
      <c r="B21" s="11"/>
      <c r="C21" s="55"/>
      <c r="D21" s="11"/>
      <c r="E21" s="51"/>
    </row>
    <row r="22" spans="2:5" ht="18.75" x14ac:dyDescent="0.3">
      <c r="B22" s="11"/>
      <c r="C22" s="55"/>
      <c r="D22" s="11"/>
      <c r="E22" s="51"/>
    </row>
    <row r="23" spans="2:5" ht="18.75" x14ac:dyDescent="0.3">
      <c r="B23" s="11"/>
      <c r="C23" s="55"/>
      <c r="D23" s="11"/>
      <c r="E23" s="51"/>
    </row>
    <row r="24" spans="2:5" ht="18.75" x14ac:dyDescent="0.3">
      <c r="B24" s="11"/>
      <c r="C24" s="55"/>
      <c r="D24" s="11"/>
      <c r="E24" s="51"/>
    </row>
    <row r="25" spans="2:5" ht="18.75" x14ac:dyDescent="0.3">
      <c r="B25" s="11"/>
      <c r="C25" s="55"/>
      <c r="D25" s="11"/>
      <c r="E25" s="51"/>
    </row>
    <row r="26" spans="2:5" ht="18.75" x14ac:dyDescent="0.3">
      <c r="B26" s="11"/>
      <c r="C26" s="55"/>
      <c r="D26" s="11"/>
      <c r="E26" s="55"/>
    </row>
    <row r="27" spans="2:5" ht="18.75" x14ac:dyDescent="0.3">
      <c r="B27" s="11"/>
      <c r="C27" s="55"/>
      <c r="D27" s="11"/>
      <c r="E27" s="5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4" sqref="C4"/>
    </sheetView>
  </sheetViews>
  <sheetFormatPr defaultRowHeight="15" x14ac:dyDescent="0.25"/>
  <cols>
    <col min="1" max="1" width="33" bestFit="1" customWidth="1"/>
    <col min="2" max="2" width="15.7109375" bestFit="1" customWidth="1"/>
    <col min="3" max="3" width="7.7109375" bestFit="1" customWidth="1"/>
    <col min="4" max="4" width="17.5703125" bestFit="1" customWidth="1"/>
    <col min="5" max="5" width="7.7109375" bestFit="1" customWidth="1"/>
    <col min="6" max="6" width="52" bestFit="1" customWidth="1"/>
  </cols>
  <sheetData>
    <row r="1" spans="1:11" ht="18.75" x14ac:dyDescent="0.3">
      <c r="A1" s="12" t="s">
        <v>17</v>
      </c>
      <c r="B1" s="12" t="s">
        <v>25</v>
      </c>
      <c r="C1" s="12" t="s">
        <v>26</v>
      </c>
      <c r="D1" s="12" t="s">
        <v>27</v>
      </c>
      <c r="E1" s="12" t="s">
        <v>26</v>
      </c>
    </row>
    <row r="2" spans="1:11" ht="20.25" x14ac:dyDescent="0.35">
      <c r="A2" s="9" t="s">
        <v>18</v>
      </c>
      <c r="B2" s="9" t="s">
        <v>72</v>
      </c>
      <c r="C2" s="42">
        <v>78</v>
      </c>
      <c r="D2" s="9" t="s">
        <v>73</v>
      </c>
      <c r="E2" s="42">
        <v>31</v>
      </c>
    </row>
    <row r="3" spans="1:11" ht="20.25" x14ac:dyDescent="0.35">
      <c r="A3" s="9" t="s">
        <v>19</v>
      </c>
      <c r="B3" s="9" t="s">
        <v>74</v>
      </c>
      <c r="C3" s="42">
        <v>12</v>
      </c>
      <c r="D3" s="9" t="s">
        <v>74</v>
      </c>
      <c r="E3" s="44">
        <f>C3</f>
        <v>12</v>
      </c>
    </row>
    <row r="4" spans="1:11" ht="18.75" x14ac:dyDescent="0.3">
      <c r="A4" s="9" t="s">
        <v>41</v>
      </c>
      <c r="B4" s="14" t="s">
        <v>28</v>
      </c>
      <c r="C4" s="42">
        <v>90</v>
      </c>
      <c r="D4" s="14" t="s">
        <v>28</v>
      </c>
      <c r="E4" s="44">
        <f>C4</f>
        <v>90</v>
      </c>
    </row>
    <row r="6" spans="1:11" ht="18.75" x14ac:dyDescent="0.3">
      <c r="A6" s="9" t="s">
        <v>77</v>
      </c>
      <c r="B6" s="9" t="str">
        <f>IF(ISBLANK(C2),"No",IF(ISBLANK(C3),"No",IF(ISBLANK(C4),"No","Yes")))</f>
        <v>Yes</v>
      </c>
      <c r="C6" s="11"/>
      <c r="D6" s="9" t="str">
        <f>IF(ISBLANK(E2),"No",IF(ISBLANK(E3),"No",IF(ISBLANK(E4),"No","Yes")))</f>
        <v>Yes</v>
      </c>
    </row>
    <row r="7" spans="1:11" x14ac:dyDescent="0.25">
      <c r="K7" s="5"/>
    </row>
    <row r="9" spans="1:11" ht="18.75" x14ac:dyDescent="0.3">
      <c r="A9" s="12" t="s">
        <v>76</v>
      </c>
      <c r="B9" s="12" t="s">
        <v>25</v>
      </c>
      <c r="C9" s="12" t="s">
        <v>26</v>
      </c>
      <c r="D9" s="12" t="s">
        <v>27</v>
      </c>
      <c r="E9" s="12" t="s">
        <v>26</v>
      </c>
    </row>
    <row r="10" spans="1:11" ht="18.75" x14ac:dyDescent="0.3">
      <c r="A10" s="9" t="s">
        <v>70</v>
      </c>
      <c r="B10" s="9" t="s">
        <v>71</v>
      </c>
      <c r="C10" s="10">
        <v>20</v>
      </c>
      <c r="D10" s="9" t="s">
        <v>71</v>
      </c>
      <c r="E10" s="10">
        <v>20</v>
      </c>
      <c r="F10" s="2"/>
    </row>
    <row r="29" spans="3:5" x14ac:dyDescent="0.25">
      <c r="C29" s="5"/>
      <c r="E29" s="5"/>
    </row>
    <row r="30" spans="3:5" x14ac:dyDescent="0.25">
      <c r="C30" s="5"/>
      <c r="E30" s="5"/>
    </row>
    <row r="31" spans="3:5" x14ac:dyDescent="0.25">
      <c r="C31" s="5"/>
      <c r="E31" s="5"/>
    </row>
  </sheetData>
  <sheetProtection password="CC56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3" workbookViewId="0">
      <selection activeCell="A37" sqref="A37"/>
    </sheetView>
  </sheetViews>
  <sheetFormatPr defaultRowHeight="15" x14ac:dyDescent="0.25"/>
  <cols>
    <col min="1" max="1" width="28.28515625" bestFit="1" customWidth="1"/>
    <col min="2" max="2" width="12.28515625" bestFit="1" customWidth="1"/>
    <col min="3" max="3" width="12" style="56" bestFit="1" customWidth="1"/>
    <col min="4" max="4" width="13.85546875" bestFit="1" customWidth="1"/>
    <col min="5" max="5" width="12" style="56" bestFit="1" customWidth="1"/>
    <col min="6" max="6" width="104.5703125" bestFit="1" customWidth="1"/>
    <col min="8" max="8" width="14.42578125" bestFit="1" customWidth="1"/>
  </cols>
  <sheetData>
    <row r="1" spans="1:6" x14ac:dyDescent="0.25">
      <c r="A1" s="13" t="s">
        <v>44</v>
      </c>
      <c r="B1" s="13" t="s">
        <v>25</v>
      </c>
      <c r="C1" s="57" t="s">
        <v>26</v>
      </c>
      <c r="D1" s="13" t="s">
        <v>27</v>
      </c>
      <c r="E1" s="57" t="s">
        <v>26</v>
      </c>
      <c r="F1" s="13" t="s">
        <v>81</v>
      </c>
    </row>
    <row r="2" spans="1:6" ht="18" x14ac:dyDescent="0.35">
      <c r="A2" s="2" t="s">
        <v>20</v>
      </c>
      <c r="B2" s="2" t="s">
        <v>29</v>
      </c>
      <c r="C2" s="50">
        <f>'Bevel Gear Inputs'!C2/'Bevel Gear Inputs'!E2</f>
        <v>2.5161290322580645</v>
      </c>
      <c r="D2" s="2" t="s">
        <v>29</v>
      </c>
      <c r="E2" s="50">
        <f>C2</f>
        <v>2.5161290322580645</v>
      </c>
      <c r="F2" s="5" t="s">
        <v>78</v>
      </c>
    </row>
    <row r="3" spans="1:6" ht="18" x14ac:dyDescent="0.35">
      <c r="A3" s="2" t="s">
        <v>53</v>
      </c>
      <c r="B3" s="2" t="s">
        <v>30</v>
      </c>
      <c r="C3" s="50">
        <f>'Bevel Gear Inputs'!C2/'Bevel Gear Inputs'!C3</f>
        <v>6.5</v>
      </c>
      <c r="D3" s="2" t="s">
        <v>39</v>
      </c>
      <c r="E3" s="50">
        <f>'Bevel Gear Inputs'!E2/'Bevel Gear Inputs'!C3</f>
        <v>2.5833333333333335</v>
      </c>
      <c r="F3" s="5" t="s">
        <v>79</v>
      </c>
    </row>
    <row r="4" spans="1:6" ht="18.75" x14ac:dyDescent="0.35">
      <c r="A4" s="2" t="s">
        <v>40</v>
      </c>
      <c r="B4" s="8" t="s">
        <v>31</v>
      </c>
      <c r="C4" s="50">
        <f>'Bevel Gear Inputs'!C4-E4</f>
        <v>68.325350880975861</v>
      </c>
      <c r="D4" s="2" t="s">
        <v>38</v>
      </c>
      <c r="E4" s="50">
        <f>DEGREES(IF('Bevel Gear Inputs'!C4=90,ATAN('Bevel Gear Inputs'!E2/'Bevel Gear Inputs'!C2),(IF('Bevel Gear Inputs'!C4&lt;90,ATAN((SIN('Bevel Gear Inputs'!C4))/(C2+COS('Bevel Gear Inputs'!C4))),ATAN((SIN(180-'Bevel Gear Inputs'!C4))/(C2-COS(180-'Bevel Gear Inputs'!C4)))))))</f>
        <v>21.674649119024142</v>
      </c>
      <c r="F4" s="5" t="s">
        <v>94</v>
      </c>
    </row>
    <row r="5" spans="1:6" ht="18.75" x14ac:dyDescent="0.35">
      <c r="A5" s="2" t="s">
        <v>21</v>
      </c>
      <c r="B5" s="2" t="s">
        <v>32</v>
      </c>
      <c r="C5" s="50">
        <f>IF('Bevel Gear Inputs'!C4=90,(SQRT(E3^2+C3^2))/2,C3/2*SIN(C4))</f>
        <v>3.4972707612905491</v>
      </c>
      <c r="D5" s="2" t="s">
        <v>32</v>
      </c>
      <c r="E5" s="50">
        <f>C5</f>
        <v>3.4972707612905491</v>
      </c>
      <c r="F5" s="5" t="s">
        <v>80</v>
      </c>
    </row>
    <row r="6" spans="1:6" ht="18" x14ac:dyDescent="0.35">
      <c r="A6" s="2" t="s">
        <v>22</v>
      </c>
      <c r="B6" s="2" t="s">
        <v>33</v>
      </c>
      <c r="C6" s="50">
        <f>IF(C5/3&lt;10/'Bevel Gear Inputs'!C3,C5/3,10/'Bevel Gear Inputs'!C3)</f>
        <v>0.83333333333333337</v>
      </c>
      <c r="D6" s="2" t="s">
        <v>33</v>
      </c>
      <c r="E6" s="50">
        <f>C6</f>
        <v>0.83333333333333337</v>
      </c>
      <c r="F6" s="5" t="s">
        <v>82</v>
      </c>
    </row>
    <row r="7" spans="1:6" ht="18.75" x14ac:dyDescent="0.35">
      <c r="A7" s="2" t="s">
        <v>23</v>
      </c>
      <c r="B7" s="2" t="s">
        <v>34</v>
      </c>
      <c r="C7" s="50">
        <f>IF('Bevel Gear Inputs'!C4=90,C2,SQRT(C2(COS(E4)/COS(C4))))</f>
        <v>2.5161290322580645</v>
      </c>
      <c r="D7" s="2" t="s">
        <v>34</v>
      </c>
      <c r="E7" s="50">
        <f>C7</f>
        <v>2.5161290322580645</v>
      </c>
      <c r="F7" s="5" t="s">
        <v>83</v>
      </c>
    </row>
    <row r="8" spans="1:6" ht="18" x14ac:dyDescent="0.35">
      <c r="A8" s="2" t="s">
        <v>24</v>
      </c>
      <c r="B8" s="2" t="s">
        <v>35</v>
      </c>
      <c r="C8" s="50">
        <f>2/'Bevel Gear Inputs'!C3</f>
        <v>0.16666666666666666</v>
      </c>
      <c r="D8" s="2" t="s">
        <v>35</v>
      </c>
      <c r="E8" s="50">
        <f>C8</f>
        <v>0.16666666666666666</v>
      </c>
      <c r="F8" s="5" t="s">
        <v>84</v>
      </c>
    </row>
    <row r="9" spans="1:6" ht="18.75" x14ac:dyDescent="0.35">
      <c r="A9" s="2" t="s">
        <v>42</v>
      </c>
      <c r="B9" s="2" t="s">
        <v>36</v>
      </c>
      <c r="C9" s="50">
        <f>(0.54/'Bevel Gear Inputs'!C3)+(0.46/('Bevel Gear Inputs'!C3*(C7^2)))</f>
        <v>5.1054952881875962E-2</v>
      </c>
      <c r="D9" s="2" t="s">
        <v>37</v>
      </c>
      <c r="E9" s="50">
        <f>C8-C9</f>
        <v>0.1156117137847907</v>
      </c>
      <c r="F9" s="5" t="s">
        <v>85</v>
      </c>
    </row>
    <row r="10" spans="1:6" ht="18" x14ac:dyDescent="0.35">
      <c r="A10" s="2" t="s">
        <v>45</v>
      </c>
      <c r="B10" s="2" t="s">
        <v>46</v>
      </c>
      <c r="C10" s="50">
        <f>(2.188/'Bevel Gear Inputs'!C3)+0.002</f>
        <v>0.18433333333333335</v>
      </c>
      <c r="D10" s="2" t="s">
        <v>46</v>
      </c>
      <c r="E10" s="50">
        <f>C10</f>
        <v>0.18433333333333335</v>
      </c>
      <c r="F10" s="5" t="s">
        <v>86</v>
      </c>
    </row>
    <row r="11" spans="1:6" ht="18" x14ac:dyDescent="0.35">
      <c r="A11" s="2" t="s">
        <v>61</v>
      </c>
      <c r="B11" s="2" t="s">
        <v>63</v>
      </c>
      <c r="C11" s="50">
        <f>C10-C9</f>
        <v>0.1332783804514574</v>
      </c>
      <c r="D11" s="2" t="s">
        <v>64</v>
      </c>
      <c r="E11" s="50">
        <f>E10-E9</f>
        <v>6.8721619548542653E-2</v>
      </c>
      <c r="F11" s="5" t="s">
        <v>98</v>
      </c>
    </row>
    <row r="12" spans="1:6" ht="18.75" x14ac:dyDescent="0.35">
      <c r="A12" s="2" t="s">
        <v>60</v>
      </c>
      <c r="B12" s="2" t="s">
        <v>47</v>
      </c>
      <c r="C12" s="50">
        <f>DEGREES(ATAN(C11/C5))</f>
        <v>2.1824433030694719</v>
      </c>
      <c r="D12" s="2" t="s">
        <v>48</v>
      </c>
      <c r="E12" s="50">
        <f>DEGREES(ATAN(E11/C5))</f>
        <v>1.1257212733543234</v>
      </c>
      <c r="F12" s="5" t="s">
        <v>87</v>
      </c>
    </row>
    <row r="13" spans="1:6" ht="18" x14ac:dyDescent="0.35">
      <c r="A13" s="2" t="s">
        <v>51</v>
      </c>
      <c r="B13" s="8" t="s">
        <v>50</v>
      </c>
      <c r="C13" s="50">
        <f>C4+E12</f>
        <v>69.451072154330191</v>
      </c>
      <c r="D13" s="2" t="s">
        <v>49</v>
      </c>
      <c r="E13" s="50">
        <f>E4+C12</f>
        <v>23.857092422093615</v>
      </c>
      <c r="F13" s="5" t="s">
        <v>88</v>
      </c>
    </row>
    <row r="14" spans="1:6" ht="18" x14ac:dyDescent="0.35">
      <c r="A14" s="2" t="s">
        <v>52</v>
      </c>
      <c r="B14" s="2" t="s">
        <v>54</v>
      </c>
      <c r="C14" s="50">
        <f>C3+2*C9*COS(RADIANS(C4))</f>
        <v>6.5377128254041281</v>
      </c>
      <c r="D14" s="2" t="s">
        <v>55</v>
      </c>
      <c r="E14" s="50">
        <f>E3+2*E9*COS(RADIANS(E4))</f>
        <v>2.7982083575719008</v>
      </c>
      <c r="F14" s="5" t="s">
        <v>89</v>
      </c>
    </row>
    <row r="15" spans="1:6" ht="18" x14ac:dyDescent="0.35">
      <c r="A15" s="2" t="s">
        <v>56</v>
      </c>
      <c r="B15" s="2" t="s">
        <v>57</v>
      </c>
      <c r="C15" s="50">
        <f>IF('Bevel Gear Inputs'!C4=90,(E3/2)-C9*SIN(RADIANS(C4)),C5*COS(RADIANS(C4)-C9*SIN(RADIANS(C4))))</f>
        <v>1.2442214992227636</v>
      </c>
      <c r="D15" s="2" t="s">
        <v>58</v>
      </c>
      <c r="E15" s="50">
        <f>IF('Bevel Gear Inputs'!C4=90,(C3/2)-E9*SIN(RADIANS(E4)),C5*COS(RADIANS(E4))-E9*SIN(RADIANS(E4)))</f>
        <v>3.2073004759525925</v>
      </c>
      <c r="F15" s="5" t="s">
        <v>90</v>
      </c>
    </row>
    <row r="16" spans="1:6" ht="18" x14ac:dyDescent="0.35">
      <c r="A16" s="2" t="s">
        <v>59</v>
      </c>
      <c r="B16" s="2" t="s">
        <v>62</v>
      </c>
      <c r="C16" s="50">
        <f>PI()/'Bevel Gear Inputs'!C3</f>
        <v>0.26179938779914941</v>
      </c>
      <c r="D16" s="2" t="s">
        <v>62</v>
      </c>
      <c r="E16" s="50">
        <f>C16</f>
        <v>0.26179938779914941</v>
      </c>
      <c r="F16" s="5" t="s">
        <v>91</v>
      </c>
    </row>
    <row r="17" spans="1:8" ht="18" x14ac:dyDescent="0.35">
      <c r="A17" s="2" t="s">
        <v>65</v>
      </c>
      <c r="B17" s="8" t="s">
        <v>66</v>
      </c>
      <c r="C17" s="50">
        <f>C4-C12</f>
        <v>66.142907577906385</v>
      </c>
      <c r="D17" s="2" t="s">
        <v>67</v>
      </c>
      <c r="E17" s="50">
        <f>E4-E12</f>
        <v>20.548927845669819</v>
      </c>
      <c r="F17" s="5" t="s">
        <v>92</v>
      </c>
    </row>
    <row r="18" spans="1:8" ht="18" x14ac:dyDescent="0.35">
      <c r="A18" s="2" t="s">
        <v>68</v>
      </c>
      <c r="B18" s="8" t="s">
        <v>69</v>
      </c>
      <c r="C18" s="50">
        <f>C5</f>
        <v>3.4972707612905491</v>
      </c>
      <c r="D18" s="2" t="s">
        <v>69</v>
      </c>
      <c r="E18" s="50">
        <f>C5</f>
        <v>3.4972707612905491</v>
      </c>
      <c r="F18" s="5" t="s">
        <v>93</v>
      </c>
    </row>
    <row r="19" spans="1:8" x14ac:dyDescent="0.25">
      <c r="H19" s="53"/>
    </row>
  </sheetData>
  <pageMargins left="0.7" right="0.7" top="0.75" bottom="0.75" header="0.3" footer="0.3"/>
  <pageSetup orientation="portrait" r:id="rId1"/>
  <ignoredErrors>
    <ignoredError sqref="E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6" sqref="D6"/>
    </sheetView>
  </sheetViews>
  <sheetFormatPr defaultRowHeight="15" x14ac:dyDescent="0.25"/>
  <cols>
    <col min="1" max="1" width="33" bestFit="1" customWidth="1"/>
    <col min="2" max="2" width="15.7109375" bestFit="1" customWidth="1"/>
    <col min="3" max="3" width="7.7109375" bestFit="1" customWidth="1"/>
    <col min="4" max="4" width="17.5703125" bestFit="1" customWidth="1"/>
    <col min="5" max="5" width="7.7109375" bestFit="1" customWidth="1"/>
  </cols>
  <sheetData>
    <row r="1" spans="1:5" ht="18.75" x14ac:dyDescent="0.3">
      <c r="A1" s="12" t="s">
        <v>17</v>
      </c>
      <c r="B1" s="12" t="s">
        <v>25</v>
      </c>
      <c r="C1" s="12" t="s">
        <v>26</v>
      </c>
      <c r="D1" s="12" t="s">
        <v>27</v>
      </c>
      <c r="E1" s="12" t="s">
        <v>26</v>
      </c>
    </row>
    <row r="2" spans="1:5" ht="20.25" x14ac:dyDescent="0.35">
      <c r="A2" s="9" t="s">
        <v>18</v>
      </c>
      <c r="B2" s="9" t="s">
        <v>72</v>
      </c>
      <c r="C2" s="42">
        <v>78</v>
      </c>
      <c r="D2" s="9" t="s">
        <v>73</v>
      </c>
      <c r="E2" s="42">
        <v>31</v>
      </c>
    </row>
    <row r="3" spans="1:5" ht="20.25" x14ac:dyDescent="0.35">
      <c r="A3" s="9" t="s">
        <v>19</v>
      </c>
      <c r="B3" s="9" t="s">
        <v>74</v>
      </c>
      <c r="C3" s="42">
        <v>12</v>
      </c>
      <c r="D3" s="9" t="s">
        <v>74</v>
      </c>
      <c r="E3" s="44">
        <f>C3</f>
        <v>12</v>
      </c>
    </row>
    <row r="4" spans="1:5" ht="18.75" x14ac:dyDescent="0.3">
      <c r="A4" s="9" t="s">
        <v>41</v>
      </c>
      <c r="B4" s="14" t="s">
        <v>28</v>
      </c>
      <c r="C4" s="42">
        <v>90</v>
      </c>
      <c r="D4" s="14" t="s">
        <v>28</v>
      </c>
      <c r="E4" s="44">
        <f>C4</f>
        <v>90</v>
      </c>
    </row>
    <row r="6" spans="1:5" ht="18.75" x14ac:dyDescent="0.3">
      <c r="A6" s="9" t="s">
        <v>77</v>
      </c>
      <c r="B6" s="9" t="str">
        <f>IF(ISBLANK(C2),"No",IF(ISBLANK(C3),"No",IF(ISBLANK(C4),"No","Yes")))</f>
        <v>Yes</v>
      </c>
      <c r="C6" s="11"/>
      <c r="D6" s="9" t="str">
        <f>IF(ISBLANK(E2),"No",IF(ISBLANK(E3),"No",IF(ISBLANK(E4),"No","Yes")))</f>
        <v>Yes</v>
      </c>
    </row>
    <row r="9" spans="1:5" ht="18.75" x14ac:dyDescent="0.3">
      <c r="A9" s="12" t="s">
        <v>76</v>
      </c>
      <c r="B9" s="12" t="s">
        <v>25</v>
      </c>
      <c r="C9" s="12" t="s">
        <v>26</v>
      </c>
      <c r="D9" s="12" t="s">
        <v>27</v>
      </c>
      <c r="E9" s="12" t="s">
        <v>26</v>
      </c>
    </row>
    <row r="10" spans="1:5" ht="18.75" x14ac:dyDescent="0.3">
      <c r="A10" s="9" t="s">
        <v>70</v>
      </c>
      <c r="B10" s="9" t="s">
        <v>71</v>
      </c>
      <c r="C10" s="10">
        <v>20</v>
      </c>
      <c r="D10" s="9" t="s">
        <v>71</v>
      </c>
      <c r="E10" s="10">
        <v>20</v>
      </c>
    </row>
  </sheetData>
  <sheetProtection password="CC56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16" sqref="E16"/>
    </sheetView>
  </sheetViews>
  <sheetFormatPr defaultRowHeight="15" x14ac:dyDescent="0.25"/>
  <cols>
    <col min="1" max="1" width="28.28515625" bestFit="1" customWidth="1"/>
    <col min="2" max="2" width="12.28515625" bestFit="1" customWidth="1"/>
    <col min="3" max="3" width="12" style="56" bestFit="1" customWidth="1"/>
    <col min="4" max="4" width="13.85546875" bestFit="1" customWidth="1"/>
    <col min="5" max="5" width="12" style="56" bestFit="1" customWidth="1"/>
    <col min="6" max="6" width="104.5703125" bestFit="1" customWidth="1"/>
  </cols>
  <sheetData>
    <row r="1" spans="1:15" x14ac:dyDescent="0.25">
      <c r="A1" s="13" t="s">
        <v>44</v>
      </c>
      <c r="B1" s="13" t="s">
        <v>25</v>
      </c>
      <c r="C1" s="57" t="s">
        <v>26</v>
      </c>
      <c r="D1" s="13" t="s">
        <v>27</v>
      </c>
      <c r="E1" s="57" t="s">
        <v>26</v>
      </c>
      <c r="F1" s="13" t="s">
        <v>81</v>
      </c>
    </row>
    <row r="2" spans="1:15" ht="18" x14ac:dyDescent="0.35">
      <c r="A2" s="2" t="s">
        <v>20</v>
      </c>
      <c r="B2" s="2" t="s">
        <v>29</v>
      </c>
      <c r="C2" s="50">
        <f>'Spiral Bevel Gear Inputs'!C2/'Spiral Bevel Gear Inputs'!E2</f>
        <v>2.5161290322580645</v>
      </c>
      <c r="D2" s="2" t="s">
        <v>29</v>
      </c>
      <c r="E2" s="50">
        <f>C2</f>
        <v>2.5161290322580645</v>
      </c>
      <c r="F2" s="5" t="s">
        <v>78</v>
      </c>
      <c r="G2" s="2"/>
      <c r="H2" s="2"/>
      <c r="I2" s="2"/>
      <c r="J2" s="2"/>
      <c r="K2" s="2"/>
      <c r="L2" s="2"/>
      <c r="M2" s="2"/>
      <c r="N2" s="2"/>
      <c r="O2" s="2"/>
    </row>
    <row r="3" spans="1:15" ht="18" x14ac:dyDescent="0.35">
      <c r="A3" s="2" t="s">
        <v>53</v>
      </c>
      <c r="B3" s="2" t="s">
        <v>30</v>
      </c>
      <c r="C3" s="50">
        <f>'Spiral Bevel Gear Inputs'!C2/'Spiral Bevel Gear Inputs'!C3</f>
        <v>6.5</v>
      </c>
      <c r="D3" s="2" t="s">
        <v>39</v>
      </c>
      <c r="E3" s="50">
        <f>'Spiral Bevel Gear Inputs'!E2/'Spiral Bevel Gear Inputs'!C3</f>
        <v>2.5833333333333335</v>
      </c>
      <c r="F3" s="5" t="s">
        <v>79</v>
      </c>
    </row>
    <row r="4" spans="1:15" ht="18.75" x14ac:dyDescent="0.35">
      <c r="A4" s="2" t="s">
        <v>40</v>
      </c>
      <c r="B4" s="8" t="s">
        <v>31</v>
      </c>
      <c r="C4" s="50">
        <f>'Spiral Bevel Gear Inputs'!C4-E4</f>
        <v>68.325350880975861</v>
      </c>
      <c r="D4" s="2" t="s">
        <v>38</v>
      </c>
      <c r="E4" s="50">
        <f>DEGREES(IF('Spiral Bevel Gear Inputs'!C4=90,ATAN('Spiral Bevel Gear Inputs'!E2/'Spiral Bevel Gear Inputs'!C2),(IF('Spiral Bevel Gear Inputs'!C4&lt;90,ATAN((SIN('Spiral Bevel Gear Inputs'!C4))/(C2+COS('Spiral Bevel Gear Inputs'!C4))),ATAN((SIN(180-'Spiral Bevel Gear Inputs'!C4))/(C2-COS(180-'Spiral Bevel Gear Inputs'!C4)))))))</f>
        <v>21.674649119024142</v>
      </c>
      <c r="F4" s="5" t="s">
        <v>94</v>
      </c>
    </row>
    <row r="5" spans="1:15" ht="18.75" x14ac:dyDescent="0.35">
      <c r="A5" s="2" t="s">
        <v>21</v>
      </c>
      <c r="B5" s="2" t="s">
        <v>32</v>
      </c>
      <c r="C5" s="50">
        <f>IF('Spiral Bevel Gear Inputs'!C4=90,(SQRT(E3^2+C3^2))/2,C3/2*SIN(C4))</f>
        <v>3.4972707612905491</v>
      </c>
      <c r="D5" s="2" t="s">
        <v>32</v>
      </c>
      <c r="E5" s="50">
        <f>C5</f>
        <v>3.4972707612905491</v>
      </c>
      <c r="F5" s="5" t="s">
        <v>80</v>
      </c>
    </row>
    <row r="6" spans="1:15" ht="18" x14ac:dyDescent="0.35">
      <c r="A6" s="2" t="s">
        <v>22</v>
      </c>
      <c r="B6" s="2" t="s">
        <v>33</v>
      </c>
      <c r="C6" s="50">
        <f>IF(C5/3&lt;10/'Spiral Bevel Gear Inputs'!C3,C5/3,10/'Bevel Gear Inputs'!C3)</f>
        <v>0.83333333333333337</v>
      </c>
      <c r="D6" s="2" t="s">
        <v>33</v>
      </c>
      <c r="E6" s="50">
        <f>C6</f>
        <v>0.83333333333333337</v>
      </c>
      <c r="F6" s="5" t="s">
        <v>82</v>
      </c>
    </row>
    <row r="7" spans="1:15" ht="18.75" x14ac:dyDescent="0.35">
      <c r="A7" s="2" t="s">
        <v>23</v>
      </c>
      <c r="B7" s="2" t="s">
        <v>34</v>
      </c>
      <c r="C7" s="50">
        <f>IF('Spiral Bevel Gear Inputs'!C4=90,C2,SQRT(C2(COS(E4)/COS(C4))))</f>
        <v>2.5161290322580645</v>
      </c>
      <c r="D7" s="2" t="s">
        <v>34</v>
      </c>
      <c r="E7" s="50">
        <f>C7</f>
        <v>2.5161290322580645</v>
      </c>
      <c r="F7" s="5" t="s">
        <v>83</v>
      </c>
    </row>
    <row r="8" spans="1:15" ht="18" x14ac:dyDescent="0.35">
      <c r="A8" s="2" t="s">
        <v>24</v>
      </c>
      <c r="B8" s="2" t="s">
        <v>35</v>
      </c>
      <c r="C8" s="50">
        <f>1.7/'Spiral Bevel Gear Inputs'!C3</f>
        <v>0.14166666666666666</v>
      </c>
      <c r="D8" s="2" t="s">
        <v>35</v>
      </c>
      <c r="E8" s="50">
        <f>C8</f>
        <v>0.14166666666666666</v>
      </c>
      <c r="F8" s="5" t="s">
        <v>95</v>
      </c>
    </row>
    <row r="9" spans="1:15" ht="18.75" x14ac:dyDescent="0.35">
      <c r="A9" s="2" t="s">
        <v>42</v>
      </c>
      <c r="B9" s="2" t="s">
        <v>36</v>
      </c>
      <c r="C9" s="50">
        <f>(0.46/'Spiral Bevel Gear Inputs'!C3)+(0.39/('Spiral Bevel Gear Inputs'!C3*(C2^2)))</f>
        <v>4.3466880341880343E-2</v>
      </c>
      <c r="D9" s="2" t="s">
        <v>37</v>
      </c>
      <c r="E9" s="50">
        <f>C8-C9</f>
        <v>9.819978632478632E-2</v>
      </c>
      <c r="F9" s="5" t="s">
        <v>96</v>
      </c>
    </row>
    <row r="10" spans="1:15" ht="18" x14ac:dyDescent="0.35">
      <c r="A10" s="2" t="s">
        <v>45</v>
      </c>
      <c r="B10" s="2" t="s">
        <v>46</v>
      </c>
      <c r="C10" s="50">
        <f>(1.888/'Spiral Bevel Gear Inputs'!C3)</f>
        <v>0.15733333333333333</v>
      </c>
      <c r="D10" s="2" t="s">
        <v>46</v>
      </c>
      <c r="E10" s="50">
        <f>C10</f>
        <v>0.15733333333333333</v>
      </c>
      <c r="F10" s="5" t="s">
        <v>97</v>
      </c>
    </row>
    <row r="11" spans="1:15" ht="18" x14ac:dyDescent="0.35">
      <c r="A11" s="2" t="s">
        <v>61</v>
      </c>
      <c r="B11" s="2" t="s">
        <v>63</v>
      </c>
      <c r="C11" s="50">
        <f>C10-C9</f>
        <v>0.11386645299145298</v>
      </c>
      <c r="D11" s="2" t="s">
        <v>64</v>
      </c>
      <c r="E11" s="50">
        <f>E10-E9</f>
        <v>5.9133547008547005E-2</v>
      </c>
      <c r="F11" s="5" t="s">
        <v>98</v>
      </c>
    </row>
    <row r="12" spans="1:15" ht="18.75" x14ac:dyDescent="0.35">
      <c r="A12" s="2" t="s">
        <v>60</v>
      </c>
      <c r="B12" s="2" t="s">
        <v>47</v>
      </c>
      <c r="C12" s="50">
        <f>DEGREES(ATAN(C11/C5))</f>
        <v>1.8648151029860192</v>
      </c>
      <c r="D12" s="2" t="s">
        <v>48</v>
      </c>
      <c r="E12" s="50">
        <f>DEGREES(ATAN(E11/C5))</f>
        <v>0.96869246770712147</v>
      </c>
      <c r="F12" s="5" t="s">
        <v>87</v>
      </c>
    </row>
    <row r="13" spans="1:15" ht="18" x14ac:dyDescent="0.35">
      <c r="A13" s="2" t="s">
        <v>51</v>
      </c>
      <c r="B13" s="8" t="s">
        <v>50</v>
      </c>
      <c r="C13" s="50">
        <f>C4+E12</f>
        <v>69.294043348682976</v>
      </c>
      <c r="D13" s="2" t="s">
        <v>49</v>
      </c>
      <c r="E13" s="50">
        <f>E4+C12</f>
        <v>23.53946422201016</v>
      </c>
      <c r="F13" s="5" t="s">
        <v>88</v>
      </c>
    </row>
    <row r="14" spans="1:15" ht="18" x14ac:dyDescent="0.35">
      <c r="A14" s="2" t="s">
        <v>52</v>
      </c>
      <c r="B14" s="2" t="s">
        <v>54</v>
      </c>
      <c r="C14" s="50">
        <f>C3+2*C9*COS(RADIANS(C4))</f>
        <v>6.53210773444426</v>
      </c>
      <c r="D14" s="2" t="s">
        <v>55</v>
      </c>
      <c r="E14" s="50">
        <f>E3+2*E9*COS(RADIANS(E4))</f>
        <v>2.7658466857955171</v>
      </c>
      <c r="F14" s="5" t="s">
        <v>89</v>
      </c>
    </row>
    <row r="15" spans="1:15" ht="18" x14ac:dyDescent="0.35">
      <c r="A15" s="2" t="s">
        <v>56</v>
      </c>
      <c r="B15" s="2" t="s">
        <v>57</v>
      </c>
      <c r="C15" s="50">
        <f>IF('Spiral Bevel Gear Inputs'!C4=90,(E3/2)-C9*SIN(RADIANS(C4)),C5*COS(RADIANS(C4)-C9*SIN(RADIANS(C4))))</f>
        <v>1.2512730652690498</v>
      </c>
      <c r="D15" s="2" t="s">
        <v>58</v>
      </c>
      <c r="E15" s="50">
        <f>IF('Spiral Bevel Gear Inputs'!C4=90,(C3/2)-E9*SIN(RADIANS(E4)),C5*COS(RADIANS(E4))-E9*SIN(RADIANS(E4)))</f>
        <v>3.2137313209850791</v>
      </c>
      <c r="F15" s="5" t="s">
        <v>90</v>
      </c>
    </row>
    <row r="16" spans="1:15" ht="18" x14ac:dyDescent="0.35">
      <c r="A16" s="2" t="s">
        <v>59</v>
      </c>
      <c r="B16" s="2" t="s">
        <v>62</v>
      </c>
      <c r="C16" s="50">
        <f>PI()/'Spiral Bevel Gear Inputs'!C3</f>
        <v>0.26179938779914941</v>
      </c>
      <c r="D16" s="2" t="s">
        <v>62</v>
      </c>
      <c r="E16" s="50">
        <f>C16</f>
        <v>0.26179938779914941</v>
      </c>
      <c r="F16" s="5" t="s">
        <v>91</v>
      </c>
    </row>
    <row r="17" spans="1:6" ht="18" x14ac:dyDescent="0.35">
      <c r="A17" s="2" t="s">
        <v>65</v>
      </c>
      <c r="B17" s="8" t="s">
        <v>66</v>
      </c>
      <c r="C17" s="50">
        <f>C4-C12</f>
        <v>66.460535777989847</v>
      </c>
      <c r="D17" s="2" t="s">
        <v>67</v>
      </c>
      <c r="E17" s="50">
        <f>E4-E12</f>
        <v>20.70595665131702</v>
      </c>
      <c r="F17" s="5" t="s">
        <v>92</v>
      </c>
    </row>
    <row r="18" spans="1:6" ht="18" x14ac:dyDescent="0.35">
      <c r="A18" s="2" t="s">
        <v>68</v>
      </c>
      <c r="B18" s="8" t="s">
        <v>69</v>
      </c>
      <c r="C18" s="50">
        <f>C5</f>
        <v>3.4972707612905491</v>
      </c>
      <c r="D18" s="2" t="s">
        <v>69</v>
      </c>
      <c r="E18" s="50">
        <f>C5</f>
        <v>3.4972707612905491</v>
      </c>
      <c r="F18" s="5" t="s">
        <v>93</v>
      </c>
    </row>
  </sheetData>
  <pageMargins left="0.7" right="0.7" top="0.75" bottom="0.75" header="0.3" footer="0.3"/>
  <ignoredErrors>
    <ignoredError sqref="E9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0" sqref="C30"/>
    </sheetView>
  </sheetViews>
  <sheetFormatPr defaultRowHeight="15" x14ac:dyDescent="0.25"/>
  <cols>
    <col min="1" max="1" width="65.28515625" bestFit="1" customWidth="1"/>
    <col min="2" max="2" width="26.28515625" bestFit="1" customWidth="1"/>
    <col min="3" max="3" width="14.7109375" bestFit="1" customWidth="1"/>
    <col min="4" max="4" width="26.28515625" bestFit="1" customWidth="1"/>
    <col min="5" max="5" width="14.7109375" bestFit="1" customWidth="1"/>
  </cols>
  <sheetData>
    <row r="1" spans="1:5" ht="18.75" x14ac:dyDescent="0.3">
      <c r="A1" s="15" t="s">
        <v>13</v>
      </c>
      <c r="B1" s="16" t="s">
        <v>16</v>
      </c>
      <c r="C1" s="16" t="s">
        <v>75</v>
      </c>
      <c r="D1" s="48"/>
      <c r="E1" s="48"/>
    </row>
    <row r="2" spans="1:5" ht="18.75" x14ac:dyDescent="0.3">
      <c r="A2" s="43">
        <v>1</v>
      </c>
      <c r="B2" s="17">
        <v>0.5</v>
      </c>
      <c r="C2" s="18" t="str">
        <f>IF(A6&gt;B2, "Not Suitable", "Suitable")</f>
        <v>Not Suitable</v>
      </c>
      <c r="D2" s="45"/>
      <c r="E2" s="46"/>
    </row>
    <row r="3" spans="1:5" ht="18.75" x14ac:dyDescent="0.3">
      <c r="A3" s="19" t="s">
        <v>14</v>
      </c>
      <c r="B3" s="17">
        <v>0.625</v>
      </c>
      <c r="C3" s="18" t="str">
        <f>IF(A6&gt;B3, "Not Suitable", "Suitable")</f>
        <v>Not Suitable</v>
      </c>
      <c r="D3" s="45"/>
      <c r="E3" s="46"/>
    </row>
    <row r="4" spans="1:5" ht="18.75" x14ac:dyDescent="0.3">
      <c r="A4" s="43">
        <v>20</v>
      </c>
      <c r="B4" s="17">
        <v>0.75</v>
      </c>
      <c r="C4" s="18" t="str">
        <f>IF(A6&gt;B4, "Not Suitable", "Suitable")</f>
        <v>Not Suitable</v>
      </c>
      <c r="D4" s="45"/>
      <c r="E4" s="46"/>
    </row>
    <row r="5" spans="1:5" ht="18.75" x14ac:dyDescent="0.3">
      <c r="A5" s="15" t="s">
        <v>15</v>
      </c>
      <c r="B5" s="45"/>
      <c r="C5" s="46"/>
      <c r="D5" s="45"/>
      <c r="E5" s="46"/>
    </row>
    <row r="6" spans="1:5" ht="18.75" x14ac:dyDescent="0.3">
      <c r="A6" s="49">
        <f>SQRT((60*A2)/A4)</f>
        <v>1.7320508075688772</v>
      </c>
      <c r="B6" s="45"/>
      <c r="C6" s="46"/>
      <c r="D6" s="45"/>
      <c r="E6" s="46"/>
    </row>
    <row r="7" spans="1:5" ht="18.75" x14ac:dyDescent="0.3">
      <c r="A7" s="11"/>
      <c r="B7" s="47"/>
      <c r="C7" s="47"/>
      <c r="D7" s="45"/>
      <c r="E7" s="46"/>
    </row>
    <row r="8" spans="1:5" ht="18.75" x14ac:dyDescent="0.3">
      <c r="A8" s="11"/>
      <c r="B8" s="47"/>
      <c r="C8" s="47"/>
      <c r="D8" s="45"/>
      <c r="E8" s="46"/>
    </row>
    <row r="9" spans="1:5" ht="18.75" x14ac:dyDescent="0.3">
      <c r="A9" s="11"/>
      <c r="B9" s="47"/>
      <c r="C9" s="47"/>
      <c r="D9" s="45"/>
      <c r="E9" s="46"/>
    </row>
    <row r="26" spans="3:3" x14ac:dyDescent="0.25">
      <c r="C26" s="7"/>
    </row>
    <row r="27" spans="3:3" x14ac:dyDescent="0.25">
      <c r="C27" s="7"/>
    </row>
  </sheetData>
  <sheetProtection password="CC56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9" sqref="A9"/>
    </sheetView>
  </sheetViews>
  <sheetFormatPr defaultRowHeight="15" x14ac:dyDescent="0.25"/>
  <cols>
    <col min="1" max="1" width="37" bestFit="1" customWidth="1"/>
    <col min="4" max="4" width="29.140625" bestFit="1" customWidth="1"/>
    <col min="7" max="7" width="13.140625" customWidth="1"/>
    <col min="8" max="8" width="11.28515625" customWidth="1"/>
  </cols>
  <sheetData>
    <row r="1" spans="1:7" x14ac:dyDescent="0.25">
      <c r="A1" s="3" t="s">
        <v>7</v>
      </c>
    </row>
    <row r="2" spans="1:7" ht="18.75" x14ac:dyDescent="0.35">
      <c r="A2" s="2" t="s">
        <v>0</v>
      </c>
      <c r="D2" s="4" t="s">
        <v>8</v>
      </c>
    </row>
    <row r="3" spans="1:7" x14ac:dyDescent="0.25">
      <c r="A3" s="2" t="s">
        <v>1</v>
      </c>
      <c r="D3" t="s">
        <v>9</v>
      </c>
    </row>
    <row r="4" spans="1:7" x14ac:dyDescent="0.25">
      <c r="A4" s="2" t="s">
        <v>2</v>
      </c>
      <c r="D4" t="s">
        <v>10</v>
      </c>
    </row>
    <row r="5" spans="1:7" x14ac:dyDescent="0.25">
      <c r="A5" s="2" t="s">
        <v>3</v>
      </c>
      <c r="D5" t="s">
        <v>11</v>
      </c>
    </row>
    <row r="6" spans="1:7" x14ac:dyDescent="0.25">
      <c r="A6" s="2" t="s">
        <v>4</v>
      </c>
      <c r="D6" t="s">
        <v>12</v>
      </c>
      <c r="G6" s="6"/>
    </row>
    <row r="7" spans="1:7" x14ac:dyDescent="0.25">
      <c r="A7" s="2" t="s">
        <v>5</v>
      </c>
    </row>
    <row r="8" spans="1:7" x14ac:dyDescent="0.25">
      <c r="A8" s="2" t="s">
        <v>6</v>
      </c>
    </row>
    <row r="13" spans="1:7" x14ac:dyDescent="0.25">
      <c r="G13" s="5"/>
    </row>
    <row r="14" spans="1:7" x14ac:dyDescent="0.25">
      <c r="G1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Spur Gear Inputs</vt:lpstr>
      <vt:lpstr>Spur Gear Outputs</vt:lpstr>
      <vt:lpstr>Bevel Gear Inputs</vt:lpstr>
      <vt:lpstr>Bevel Gear Outputs</vt:lpstr>
      <vt:lpstr>Spiral Bevel Gear Inputs</vt:lpstr>
      <vt:lpstr>Spiral Bevel Gear Outputs</vt:lpstr>
      <vt:lpstr>Shaft Size</vt:lpstr>
      <vt:lpstr>Torque, Stress and Strain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Tecce</dc:creator>
  <cp:lastModifiedBy>CCCLABS</cp:lastModifiedBy>
  <dcterms:created xsi:type="dcterms:W3CDTF">2010-10-07T04:25:44Z</dcterms:created>
  <dcterms:modified xsi:type="dcterms:W3CDTF">2011-02-28T08:29:49Z</dcterms:modified>
</cp:coreProperties>
</file>