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0" yWindow="0" windowWidth="19200" windowHeight="8460" activeTab="1"/>
  </bookViews>
  <sheets>
    <sheet name="Introduction" sheetId="11" r:id="rId1"/>
    <sheet name="Compost Mixture" sheetId="3" r:id="rId2"/>
    <sheet name="Bosque Deadwood" sheetId="2" r:id="rId3"/>
    <sheet name="Composting Area" sheetId="1" r:id="rId4"/>
    <sheet name="Initial Costs" sheetId="7" r:id="rId5"/>
    <sheet name="Ongoing Costs" sheetId="8" r:id="rId6"/>
    <sheet name="Profits" sheetId="9" r:id="rId7"/>
    <sheet name="Cost Summary" sheetId="10" r:id="rId8"/>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5" i="1" l="1"/>
  <c r="B1" i="10" l="1"/>
  <c r="I12" i="9"/>
  <c r="I10" i="9"/>
  <c r="I9" i="9"/>
  <c r="E12" i="9" s="1"/>
  <c r="E14" i="9" s="1"/>
  <c r="B3" i="9" s="1"/>
  <c r="E9" i="9"/>
  <c r="E8" i="9"/>
  <c r="I6" i="9"/>
  <c r="B2" i="9"/>
  <c r="B17" i="9" s="1"/>
  <c r="E25" i="8"/>
  <c r="E21" i="8"/>
  <c r="E18" i="8"/>
  <c r="E17" i="8"/>
  <c r="E7" i="8"/>
  <c r="E9" i="8" s="1"/>
  <c r="E11" i="8" s="1"/>
  <c r="E13" i="8" s="1"/>
  <c r="B5" i="8" s="1"/>
  <c r="B4" i="8"/>
  <c r="B17" i="7"/>
  <c r="A57" i="1"/>
  <c r="A47" i="1"/>
  <c r="A46" i="1"/>
  <c r="A42" i="1"/>
  <c r="A36" i="1"/>
  <c r="A22" i="1"/>
  <c r="A21" i="1"/>
  <c r="A12" i="2"/>
  <c r="A13" i="2" s="1"/>
  <c r="A14" i="2" s="1"/>
  <c r="E6" i="2"/>
  <c r="E7" i="2" s="1"/>
  <c r="A7" i="2" s="1"/>
  <c r="A8" i="2" s="1"/>
  <c r="A6" i="2"/>
  <c r="R19" i="3"/>
  <c r="Q19" i="3"/>
  <c r="P19" i="3"/>
  <c r="O19" i="3"/>
  <c r="S19" i="3" s="1"/>
  <c r="N19" i="3"/>
  <c r="M19" i="3"/>
  <c r="T19" i="3" s="1"/>
  <c r="R18" i="3"/>
  <c r="O18" i="3"/>
  <c r="N18" i="3"/>
  <c r="M18" i="3"/>
  <c r="T18" i="3" s="1"/>
  <c r="T17" i="3"/>
  <c r="O17" i="3"/>
  <c r="R17" i="3" s="1"/>
  <c r="N17" i="3"/>
  <c r="M17" i="3"/>
  <c r="T16" i="3"/>
  <c r="P16" i="3"/>
  <c r="O16" i="3"/>
  <c r="S16" i="3" s="1"/>
  <c r="N16" i="3"/>
  <c r="M16" i="3"/>
  <c r="R15" i="3"/>
  <c r="Q15" i="3"/>
  <c r="O15" i="3"/>
  <c r="P15" i="3" s="1"/>
  <c r="N15" i="3"/>
  <c r="M15" i="3"/>
  <c r="T15" i="3" s="1"/>
  <c r="T14" i="3"/>
  <c r="P14" i="3"/>
  <c r="O14" i="3"/>
  <c r="S14" i="3" s="1"/>
  <c r="N14" i="3"/>
  <c r="M14" i="3"/>
  <c r="R13" i="3"/>
  <c r="Q13" i="3"/>
  <c r="P13" i="3"/>
  <c r="O13" i="3"/>
  <c r="S13" i="3" s="1"/>
  <c r="N13" i="3"/>
  <c r="M13" i="3"/>
  <c r="T13" i="3" s="1"/>
  <c r="T12" i="3"/>
  <c r="O12" i="3"/>
  <c r="R12" i="3" s="1"/>
  <c r="N12" i="3"/>
  <c r="M12" i="3"/>
  <c r="T11" i="3"/>
  <c r="P11" i="3"/>
  <c r="O11" i="3"/>
  <c r="S11" i="3" s="1"/>
  <c r="N11" i="3"/>
  <c r="M11" i="3"/>
  <c r="R10" i="3"/>
  <c r="Q10" i="3"/>
  <c r="O10" i="3"/>
  <c r="P10" i="3" s="1"/>
  <c r="N10" i="3"/>
  <c r="M10" i="3"/>
  <c r="T10" i="3" s="1"/>
  <c r="T9" i="3"/>
  <c r="P9" i="3"/>
  <c r="O9" i="3"/>
  <c r="S9" i="3" s="1"/>
  <c r="N9" i="3"/>
  <c r="M9" i="3"/>
  <c r="R8" i="3"/>
  <c r="Q8" i="3"/>
  <c r="P8" i="3"/>
  <c r="O8" i="3"/>
  <c r="S8" i="3" s="1"/>
  <c r="N8" i="3"/>
  <c r="M8" i="3"/>
  <c r="T8" i="3" s="1"/>
  <c r="R7" i="3"/>
  <c r="Q7" i="3"/>
  <c r="O7" i="3"/>
  <c r="P7" i="3" s="1"/>
  <c r="N7" i="3"/>
  <c r="M7" i="3"/>
  <c r="T7" i="3" s="1"/>
  <c r="H7" i="3"/>
  <c r="R6" i="3"/>
  <c r="Q6" i="3"/>
  <c r="P6" i="3"/>
  <c r="O6" i="3"/>
  <c r="S6" i="3" s="1"/>
  <c r="N6" i="3"/>
  <c r="M6" i="3"/>
  <c r="T6" i="3" s="1"/>
  <c r="H6" i="3"/>
  <c r="O5" i="3"/>
  <c r="R5" i="3" s="1"/>
  <c r="N5" i="3"/>
  <c r="H5" i="3"/>
  <c r="M5" i="3" s="1"/>
  <c r="T5" i="3" s="1"/>
  <c r="T20" i="3" s="1"/>
  <c r="A48" i="1" l="1"/>
  <c r="A23" i="1"/>
  <c r="U18" i="3"/>
  <c r="U15" i="3"/>
  <c r="U10" i="3"/>
  <c r="U7" i="3"/>
  <c r="U6" i="3"/>
  <c r="A15" i="3"/>
  <c r="U19" i="3"/>
  <c r="U13" i="3"/>
  <c r="U8" i="3"/>
  <c r="S17" i="3"/>
  <c r="P5" i="3"/>
  <c r="S7" i="3"/>
  <c r="Q9" i="3"/>
  <c r="U9" i="3"/>
  <c r="S10" i="3"/>
  <c r="Q11" i="3"/>
  <c r="U11" i="3"/>
  <c r="P12" i="3"/>
  <c r="Q14" i="3"/>
  <c r="U14" i="3"/>
  <c r="S15" i="3"/>
  <c r="Q16" i="3"/>
  <c r="U16" i="3"/>
  <c r="P17" i="3"/>
  <c r="S18" i="3"/>
  <c r="Q5" i="3"/>
  <c r="U5" i="3"/>
  <c r="R9" i="3"/>
  <c r="R20" i="3" s="1"/>
  <c r="R11" i="3"/>
  <c r="Q12" i="3"/>
  <c r="U12" i="3"/>
  <c r="R14" i="3"/>
  <c r="R16" i="3"/>
  <c r="Q17" i="3"/>
  <c r="U17" i="3"/>
  <c r="P18" i="3"/>
  <c r="S5" i="3"/>
  <c r="S20" i="3" s="1"/>
  <c r="A10" i="3" s="1"/>
  <c r="A11" i="3" s="1"/>
  <c r="S12" i="3"/>
  <c r="Q18" i="3"/>
  <c r="U20" i="3" l="1"/>
  <c r="A16" i="3" s="1"/>
  <c r="P20" i="3"/>
  <c r="A7" i="3" s="1"/>
  <c r="A7" i="1" s="1"/>
  <c r="Q20" i="3"/>
  <c r="A5" i="3" s="1"/>
  <c r="A13" i="3" l="1"/>
  <c r="E23" i="8" s="1"/>
  <c r="A16" i="2"/>
  <c r="A17" i="2" s="1"/>
  <c r="A6" i="1"/>
  <c r="A8" i="1" s="1"/>
  <c r="A10" i="1" l="1"/>
  <c r="I11" i="9" s="1"/>
  <c r="I13" i="9" s="1"/>
  <c r="A13" i="1"/>
  <c r="A15" i="1" s="1"/>
  <c r="E20" i="8" l="1"/>
  <c r="E22" i="8" s="1"/>
  <c r="E24" i="8" s="1"/>
  <c r="E26" i="8" s="1"/>
  <c r="B3" i="8" s="1"/>
  <c r="B17" i="8" s="1"/>
  <c r="B2" i="10" s="1"/>
  <c r="B3" i="10" s="1"/>
  <c r="B4" i="10" s="1"/>
  <c r="A43" i="1"/>
  <c r="A49" i="1" s="1"/>
  <c r="A50" i="1" s="1"/>
  <c r="A26" i="1"/>
  <c r="A31" i="1" l="1"/>
  <c r="A33" i="1" s="1"/>
  <c r="A30" i="1"/>
  <c r="A51" i="1"/>
  <c r="A52" i="1"/>
  <c r="A54" i="1" s="1"/>
  <c r="A56" i="1" l="1"/>
  <c r="A58" i="1" s="1"/>
  <c r="A35" i="1"/>
  <c r="A37" i="1" s="1"/>
</calcChain>
</file>

<file path=xl/sharedStrings.xml><?xml version="1.0" encoding="utf-8"?>
<sst xmlns="http://schemas.openxmlformats.org/spreadsheetml/2006/main" count="201" uniqueCount="171">
  <si>
    <t>volume reduction</t>
  </si>
  <si>
    <t>% blending shrink factor</t>
  </si>
  <si>
    <t>ft windrow length</t>
  </si>
  <si>
    <t>ft windrow height</t>
  </si>
  <si>
    <t>ft windrow width</t>
  </si>
  <si>
    <t>cross sectional area</t>
  </si>
  <si>
    <r>
      <t>avg ft</t>
    </r>
    <r>
      <rPr>
        <sz val="11"/>
        <color theme="1"/>
        <rFont val="Calibri"/>
        <family val="2"/>
      </rPr>
      <t>³/windrow</t>
    </r>
  </si>
  <si>
    <t># of windrows</t>
  </si>
  <si>
    <t>ft combined width of windrows</t>
  </si>
  <si>
    <t># of work alleys</t>
  </si>
  <si>
    <t>ft width of work alleys</t>
  </si>
  <si>
    <t>ft combined width of work alleys</t>
  </si>
  <si>
    <t>ft total pad width</t>
  </si>
  <si>
    <t>ft width of additional perimeter</t>
  </si>
  <si>
    <t>ft total pad length</t>
  </si>
  <si>
    <r>
      <t>ft</t>
    </r>
    <r>
      <rPr>
        <b/>
        <sz val="11"/>
        <color theme="1"/>
        <rFont val="Calibri"/>
        <family val="2"/>
      </rPr>
      <t>² total pad area</t>
    </r>
  </si>
  <si>
    <r>
      <t>avg ft</t>
    </r>
    <r>
      <rPr>
        <b/>
        <sz val="11"/>
        <color theme="1"/>
        <rFont val="Calibri"/>
        <family val="2"/>
      </rPr>
      <t>³/windrow</t>
    </r>
  </si>
  <si>
    <t># of windrows (rounded up)</t>
  </si>
  <si>
    <t>lbs/yd³ material bulk density</t>
  </si>
  <si>
    <t>total yd³ material/wk</t>
  </si>
  <si>
    <t>total yd³ finished compost/wk</t>
  </si>
  <si>
    <r>
      <t>total yd</t>
    </r>
    <r>
      <rPr>
        <sz val="11"/>
        <color theme="1"/>
        <rFont val="Calibri"/>
        <family val="2"/>
      </rPr>
      <t>³ material processed</t>
    </r>
  </si>
  <si>
    <t>trees</t>
  </si>
  <si>
    <t>lbs/tree</t>
  </si>
  <si>
    <t>ac deadwood</t>
  </si>
  <si>
    <t>yd² deadwood</t>
  </si>
  <si>
    <r>
      <t>ft</t>
    </r>
    <r>
      <rPr>
        <sz val="11"/>
        <color theme="1"/>
        <rFont val="Calibri"/>
        <family val="2"/>
      </rPr>
      <t>³</t>
    </r>
    <r>
      <rPr>
        <sz val="11"/>
        <color theme="1"/>
        <rFont val="Calibri"/>
        <family val="2"/>
        <scheme val="minor"/>
      </rPr>
      <t>/tree</t>
    </r>
  </si>
  <si>
    <t>ft tree height</t>
  </si>
  <si>
    <t>ft tree span</t>
  </si>
  <si>
    <t>tree volume</t>
  </si>
  <si>
    <t>ton deadwood in bosque</t>
  </si>
  <si>
    <t>C:N ratio</t>
  </si>
  <si>
    <t>Cottonwood</t>
  </si>
  <si>
    <t>Horse Manure</t>
  </si>
  <si>
    <t>Food Waste</t>
  </si>
  <si>
    <t>ton cottonwood/wk</t>
  </si>
  <si>
    <t>ton material/wk</t>
  </si>
  <si>
    <t>yr to use all cottonwood</t>
  </si>
  <si>
    <t>wk in active composting</t>
  </si>
  <si>
    <t>lbs/yd³ bulk density</t>
  </si>
  <si>
    <t>weight %</t>
  </si>
  <si>
    <t>carbon contribution</t>
  </si>
  <si>
    <t>nitrogen contribution</t>
  </si>
  <si>
    <t>density contribution</t>
  </si>
  <si>
    <t>C:N ratio of mixture</t>
  </si>
  <si>
    <t>lbs/yd³ mixture bulk density</t>
  </si>
  <si>
    <t>Bosque Deadwood Utilization</t>
  </si>
  <si>
    <t>Compost Material Production Rate</t>
  </si>
  <si>
    <t>Windrow Size and Count</t>
  </si>
  <si>
    <t>Composting Pad Size</t>
  </si>
  <si>
    <t>Mixture Properties</t>
  </si>
  <si>
    <t>Composting Area Calculation</t>
  </si>
  <si>
    <t>Material</t>
  </si>
  <si>
    <t>relative weight in mixture</t>
  </si>
  <si>
    <t>material would have to come in all at once</t>
  </si>
  <si>
    <t>windrows will all be different ages</t>
  </si>
  <si>
    <t>Compost Mixture Properties</t>
  </si>
  <si>
    <t>trees/ac</t>
  </si>
  <si>
    <r>
      <t>ft</t>
    </r>
    <r>
      <rPr>
        <sz val="11"/>
        <color theme="1"/>
        <rFont val="Calibri"/>
        <family val="2"/>
      </rPr>
      <t>² count area</t>
    </r>
  </si>
  <si>
    <t>moisture content</t>
  </si>
  <si>
    <t>dry carbon content</t>
  </si>
  <si>
    <t>dry nitrogen content</t>
  </si>
  <si>
    <t>moisture contribution</t>
  </si>
  <si>
    <t>moisture content of mixture</t>
  </si>
  <si>
    <t>target moisture content</t>
  </si>
  <si>
    <t>lbs water/lbs mixture needed</t>
  </si>
  <si>
    <t>lbs/gal of water</t>
  </si>
  <si>
    <t>gal water/yd³ of mixture</t>
  </si>
  <si>
    <t>Bagger</t>
  </si>
  <si>
    <t>Sifter</t>
  </si>
  <si>
    <t>Compost Turner</t>
  </si>
  <si>
    <t>Include things such as equipment costs, setup costs, or any other one-time costs from the start of the operation.</t>
  </si>
  <si>
    <t>Notes</t>
  </si>
  <si>
    <t>Cost</t>
  </si>
  <si>
    <t>Item</t>
  </si>
  <si>
    <t>Total</t>
  </si>
  <si>
    <t>Cost/Week</t>
  </si>
  <si>
    <t>Machine Upkeep</t>
  </si>
  <si>
    <t>Water Supply</t>
  </si>
  <si>
    <t>Labor</t>
  </si>
  <si>
    <t>Material Grinding</t>
  </si>
  <si>
    <t>mi to SC Landfill</t>
  </si>
  <si>
    <t>mi roundtrip</t>
  </si>
  <si>
    <t>mpg of trucks</t>
  </si>
  <si>
    <t>$/trip</t>
  </si>
  <si>
    <t>trip/wk</t>
  </si>
  <si>
    <t>$/wk</t>
  </si>
  <si>
    <t>$/hr for labor</t>
  </si>
  <si>
    <t>employees</t>
  </si>
  <si>
    <t>hr/wk/employee</t>
  </si>
  <si>
    <t>gal/wk</t>
  </si>
  <si>
    <t>$/gal</t>
  </si>
  <si>
    <t>Haul to Sandoval County Landfill</t>
  </si>
  <si>
    <r>
      <t>yd</t>
    </r>
    <r>
      <rPr>
        <sz val="11"/>
        <color theme="1"/>
        <rFont val="Calibri"/>
        <family val="2"/>
      </rPr>
      <t>³ on active windrow pad</t>
    </r>
  </si>
  <si>
    <t>yd³/wk material processed</t>
  </si>
  <si>
    <t>Include upkeep costs, material costs, labor costs, utility costs, and any other periodic costs.</t>
  </si>
  <si>
    <t>Include any kind of profits made from the facility, such as sales.</t>
  </si>
  <si>
    <t>Profit/Week</t>
  </si>
  <si>
    <t>$/ft³</t>
  </si>
  <si>
    <t>loads/wk</t>
  </si>
  <si>
    <t>Compost Bag Sales</t>
  </si>
  <si>
    <t>Bulk Compost Sales</t>
  </si>
  <si>
    <t>Initial Cost</t>
  </si>
  <si>
    <t>Gross/Week</t>
  </si>
  <si>
    <t>Payback Period (weeks)</t>
  </si>
  <si>
    <t>Payback Period (years)</t>
  </si>
  <si>
    <t>Used for moisturizing compost</t>
  </si>
  <si>
    <t>Recommended Values</t>
  </si>
  <si>
    <t>between 20 and 40</t>
  </si>
  <si>
    <t>between 40 and 65</t>
  </si>
  <si>
    <t>amount of active composting material</t>
  </si>
  <si>
    <t>amount of finished product</t>
  </si>
  <si>
    <t>Curing Pad Size</t>
  </si>
  <si>
    <t>This sheet will help you determine what kind of ground area will be needed to fit raw material, composting windrows, curing compost, and finished compost in your composting center.</t>
  </si>
  <si>
    <t>figure out how much compost will be produced</t>
  </si>
  <si>
    <t>figure out how many windrows are needed</t>
  </si>
  <si>
    <t>figure out how large the main composting pad needs to be</t>
  </si>
  <si>
    <t>figure out how large the curing pad needs to be</t>
  </si>
  <si>
    <t>wk in curing &amp; storage</t>
  </si>
  <si>
    <t>% shrink factor</t>
  </si>
  <si>
    <t>less than 1300</t>
  </si>
  <si>
    <t>This sheet is specifically for the Pueblo of Santa Ana. It calculates the amount of dead cottonwood material in the Rio Grande bosque that could be used for compost.</t>
  </si>
  <si>
    <t>trees in count area</t>
  </si>
  <si>
    <t>compost bags/wk sold</t>
  </si>
  <si>
    <t>$/compost bag</t>
  </si>
  <si>
    <r>
      <t>avg ft</t>
    </r>
    <r>
      <rPr>
        <sz val="11"/>
        <color theme="1"/>
        <rFont val="Calibri"/>
        <family val="2"/>
      </rPr>
      <t>³/compost load</t>
    </r>
  </si>
  <si>
    <t>lbs/compost bag</t>
  </si>
  <si>
    <r>
      <t>lbs/yd</t>
    </r>
    <r>
      <rPr>
        <sz val="11"/>
        <color theme="1"/>
        <rFont val="Calibri"/>
        <family val="2"/>
      </rPr>
      <t>³ bag density</t>
    </r>
  </si>
  <si>
    <r>
      <t>yd</t>
    </r>
    <r>
      <rPr>
        <sz val="11"/>
        <color theme="1"/>
        <rFont val="Calibri"/>
        <family val="2"/>
      </rPr>
      <t xml:space="preserve">³ </t>
    </r>
    <r>
      <rPr>
        <sz val="11"/>
        <color theme="1"/>
        <rFont val="Calibri"/>
        <family val="2"/>
        <scheme val="minor"/>
      </rPr>
      <t>compost from bulk</t>
    </r>
  </si>
  <si>
    <r>
      <t>yd</t>
    </r>
    <r>
      <rPr>
        <sz val="11"/>
        <color theme="1"/>
        <rFont val="Calibri"/>
        <family val="2"/>
      </rPr>
      <t xml:space="preserve">³ </t>
    </r>
    <r>
      <rPr>
        <sz val="11"/>
        <color theme="1"/>
        <rFont val="Calibri"/>
        <family val="2"/>
        <scheme val="minor"/>
      </rPr>
      <t>compost from bags</t>
    </r>
  </si>
  <si>
    <r>
      <t>yd</t>
    </r>
    <r>
      <rPr>
        <sz val="11"/>
        <color theme="1"/>
        <rFont val="Calibri"/>
        <family val="2"/>
      </rPr>
      <t>³/wk compost produced</t>
    </r>
  </si>
  <si>
    <r>
      <t>yd</t>
    </r>
    <r>
      <rPr>
        <b/>
        <sz val="11"/>
        <color theme="1"/>
        <rFont val="Calibri"/>
        <family val="2"/>
      </rPr>
      <t xml:space="preserve">³/wk </t>
    </r>
    <r>
      <rPr>
        <b/>
        <sz val="11"/>
        <color theme="1"/>
        <rFont val="Calibri"/>
        <family val="2"/>
        <scheme val="minor"/>
      </rPr>
      <t>compost sold</t>
    </r>
  </si>
  <si>
    <r>
      <t>yd</t>
    </r>
    <r>
      <rPr>
        <b/>
        <sz val="11"/>
        <color theme="1"/>
        <rFont val="Calibri"/>
        <family val="2"/>
      </rPr>
      <t xml:space="preserve">³/wk </t>
    </r>
    <r>
      <rPr>
        <b/>
        <sz val="11"/>
        <color theme="1"/>
        <rFont val="Calibri"/>
        <family val="2"/>
        <scheme val="minor"/>
      </rPr>
      <t>compost excess</t>
    </r>
  </si>
  <si>
    <t>For moving materials</t>
  </si>
  <si>
    <r>
      <t>ft</t>
    </r>
    <r>
      <rPr>
        <sz val="11"/>
        <color theme="1"/>
        <rFont val="Calibri"/>
        <family val="2"/>
      </rPr>
      <t>³ bag volume</t>
    </r>
  </si>
  <si>
    <t>gal gas used</t>
  </si>
  <si>
    <t>$/gal gas</t>
  </si>
  <si>
    <r>
      <t>yd</t>
    </r>
    <r>
      <rPr>
        <sz val="11"/>
        <color theme="1"/>
        <rFont val="Calibri"/>
        <family val="2"/>
      </rPr>
      <t>³/yr intake</t>
    </r>
  </si>
  <si>
    <t>limiting factor</t>
  </si>
  <si>
    <t>ton/yr intake</t>
  </si>
  <si>
    <t>weight ratio limit</t>
  </si>
  <si>
    <t>ton/yr total material intake</t>
  </si>
  <si>
    <t>will be balanced by adding extra water</t>
  </si>
  <si>
    <t>limited by yearly intake potential</t>
  </si>
  <si>
    <t>ton/yr limited weight intake</t>
  </si>
  <si>
    <t>Front-end loader</t>
  </si>
  <si>
    <t>This sheet will help you determine what materials will go into the compost and the resulting properties of the raw material mixture. Note that except when specified, all weights are by wet weight (they include moisture content).</t>
  </si>
  <si>
    <t>$/compost bag supply cost</t>
  </si>
  <si>
    <r>
      <t>total yd</t>
    </r>
    <r>
      <rPr>
        <b/>
        <sz val="11"/>
        <color theme="1"/>
        <rFont val="Calibri"/>
        <family val="2"/>
      </rPr>
      <t>³ on active windrow pad</t>
    </r>
  </si>
  <si>
    <r>
      <t>total yd</t>
    </r>
    <r>
      <rPr>
        <sz val="11"/>
        <color theme="1"/>
        <rFont val="Calibri"/>
        <family val="2"/>
      </rPr>
      <t>³ in curing &amp; storage</t>
    </r>
  </si>
  <si>
    <t>Composting Calculations</t>
  </si>
  <si>
    <t>for the Pueblo of Santa Ana Department of Natural Resources</t>
  </si>
  <si>
    <t>Compost Mixture</t>
  </si>
  <si>
    <t>This sheet allows the user to create a custom compost recipe by adding any number of ingredients and providing information about their properties. Some overall properties of the resulting mixture are shown in this sheet as well.</t>
  </si>
  <si>
    <t>Bosque Deadwood</t>
  </si>
  <si>
    <t>How to Use this Spreadsheet</t>
  </si>
  <si>
    <t>In each sheet, you'll see both calculation cells and input cells. They are colored to indicate which is which:</t>
  </si>
  <si>
    <t>Input Cell</t>
  </si>
  <si>
    <t>Calculation Cell</t>
  </si>
  <si>
    <t>Table of Contents</t>
  </si>
  <si>
    <t>Input cells usually require a number. A plain number can be entered, but you are also free to enter Excel formulas into input cells. Calculation cells cannot be edited.</t>
  </si>
  <si>
    <t>This sheet is intended to give the DNR a sense of the amount of available cottonwood material currently available in the Rio Grande bosque due to the die-off.</t>
  </si>
  <si>
    <t>Composting Area</t>
  </si>
  <si>
    <t>This sheet allows the user to calculate the needed area for the composting facility in order to fit active composting windrows, curing windrows, and storage for final compost.</t>
  </si>
  <si>
    <t>Adapted from Vermont Agency of Natural Resources Department of Environmental Conservation's "Turned Windrow Composting: Sizing Your Composting Pad".</t>
  </si>
  <si>
    <t>Authors:</t>
  </si>
  <si>
    <t>Daniel Beckwith, Computer Science 2017</t>
  </si>
  <si>
    <t>Sierra Fowler, Chemical Engineering 2017</t>
  </si>
  <si>
    <t>Anna Schab, Civil Engineering &amp; Technical Writing 2017</t>
  </si>
  <si>
    <t>The Cornell Waste Management Institute's website was extremely helpful in making this spreadsheet: http://cwmi.css.cornell.edu/composting.htm</t>
  </si>
  <si>
    <r>
      <t xml:space="preserve">This spreadsheet was developed by a team of students from </t>
    </r>
    <r>
      <rPr>
        <b/>
        <i/>
        <sz val="11"/>
        <color theme="1"/>
        <rFont val="Calibri"/>
        <family val="2"/>
        <scheme val="minor"/>
      </rPr>
      <t>Worcester Polytechinic Institute</t>
    </r>
    <r>
      <rPr>
        <i/>
        <sz val="11"/>
        <color theme="1"/>
        <rFont val="Calibri"/>
        <family val="2"/>
        <scheme val="minor"/>
      </rPr>
      <t xml:space="preserve"> for the the </t>
    </r>
    <r>
      <rPr>
        <b/>
        <i/>
        <sz val="11"/>
        <color theme="1"/>
        <rFont val="Calibri"/>
        <family val="2"/>
        <scheme val="minor"/>
      </rPr>
      <t>Pueblo of Santa Ana Department of Natural Resources</t>
    </r>
    <r>
      <rPr>
        <i/>
        <sz val="11"/>
        <color theme="1"/>
        <rFont val="Calibri"/>
        <family val="2"/>
        <scheme val="minor"/>
      </rPr>
      <t xml:space="preserve"> to use in planning operations for their upcoming </t>
    </r>
    <r>
      <rPr>
        <b/>
        <i/>
        <sz val="11"/>
        <color theme="1"/>
        <rFont val="Calibri"/>
        <family val="2"/>
        <scheme val="minor"/>
      </rPr>
      <t>composting project</t>
    </r>
    <r>
      <rPr>
        <i/>
        <sz val="11"/>
        <color theme="1"/>
        <rFont val="Calibri"/>
        <family val="2"/>
        <scheme val="minor"/>
      </rPr>
      <t>. It was developed as part of a larger report to the DNR available at https://sites.google.com/site/sf16compost/. The report can also be found by searching WPI's Gordon Library at https://www.wpi.edu/academics/library.html.</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</si>
</sst>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0.00_);_(&quot;$&quot;* \(#,##0.00\);_(&quot;$&quot;* &quot;-&quot;??_);_(@_)"/>
    <numFmt numFmtId="43" formatCode="_(* #,##0.00_);_(* \(#,##0.00\);_(* &quot;-&quot;??_);_(@_)"/>
    <numFmt numFmtId="164" formatCode="_(* #,##0_);_(* \(#,##0\);_(* &quot;-&quot;??_);_(@_)"/>
    <numFmt numFmtId="165" formatCode="_(&quot;$&quot;* #,##0.00_);_(&quot;$&quot;* \-#,##0.00_);_(&quot;$&quot;* &quot;-&quot;??_);_(@_)"/>
    <numFmt numFmtId="166" formatCode="_(&quot;$&quot;* #,##0.0000_);_(&quot;$&quot;* \(#,##0.0000\);_(&quot;$&quot;* &quot;-&quot;??_);_(@_)"/>
    <numFmt numFmtId="167" formatCode="_(* #,##0.0_);_(* \(#,##0.0\);_(* &quot;-&quot;??_);_(@_)"/>
    <numFmt numFmtId="168" formatCode="_(* #,##0.000_);_(* \(#,##0.000\);_(* &quot;-&quot;??_);_(@_)"/>
    <numFmt numFmtId="169" formatCode="_(* #,##0.0000_);_(* \(#,##0.0000\);_(* &quot;-&quot;??_);_(@_)"/>
  </numFmts>
  <fonts count="16" x14ac:knownFonts="1">
    <font>
      <sz val="11"/>
      <color theme="1"/>
      <name val="Calibri"/>
      <family val="2"/>
      <scheme val="minor"/>
    </font>
    <font>
      <sz val="11"/>
      <color theme="1"/>
      <name val="Calibri"/>
      <family val="2"/>
      <scheme val="minor"/>
    </font>
    <font>
      <sz val="11"/>
      <color rgb="FF3F3F76"/>
      <name val="Calibri"/>
      <family val="2"/>
      <scheme val="minor"/>
    </font>
    <font>
      <b/>
      <sz val="11"/>
      <color rgb="FFFA7D00"/>
      <name val="Calibri"/>
      <family val="2"/>
      <scheme val="minor"/>
    </font>
    <font>
      <b/>
      <sz val="11"/>
      <color theme="1"/>
      <name val="Calibri"/>
      <family val="2"/>
      <scheme val="minor"/>
    </font>
    <font>
      <sz val="11"/>
      <color theme="1"/>
      <name val="Calibri"/>
      <family val="2"/>
    </font>
    <font>
      <b/>
      <sz val="11"/>
      <color theme="1"/>
      <name val="Calibri"/>
      <family val="2"/>
    </font>
    <font>
      <b/>
      <sz val="15"/>
      <color theme="3"/>
      <name val="Calibri"/>
      <family val="2"/>
      <scheme val="minor"/>
    </font>
    <font>
      <b/>
      <sz val="11"/>
      <color theme="3"/>
      <name val="Calibri"/>
      <family val="2"/>
      <scheme val="minor"/>
    </font>
    <font>
      <i/>
      <sz val="11"/>
      <color rgb="FF7F7F7F"/>
      <name val="Calibri"/>
      <family val="2"/>
      <scheme val="minor"/>
    </font>
    <font>
      <sz val="18"/>
      <color theme="3"/>
      <name val="Calibri Light"/>
      <family val="2"/>
      <scheme val="major"/>
    </font>
    <font>
      <b/>
      <sz val="13"/>
      <color theme="3"/>
      <name val="Calibri"/>
      <family val="2"/>
      <scheme val="minor"/>
    </font>
    <font>
      <i/>
      <sz val="11"/>
      <color theme="1"/>
      <name val="Calibri"/>
      <family val="2"/>
      <scheme val="minor"/>
    </font>
    <font>
      <b/>
      <i/>
      <sz val="11"/>
      <color theme="1"/>
      <name val="Calibri"/>
      <family val="2"/>
      <scheme val="minor"/>
    </font>
    <font>
      <u/>
      <sz val="11"/>
      <color theme="10"/>
      <name val="Calibri"/>
      <family val="2"/>
      <scheme val="minor"/>
    </font>
    <font>
      <i/>
      <u/>
      <sz val="11"/>
      <color theme="10"/>
      <name val="Calibri"/>
      <family val="2"/>
      <scheme val="minor"/>
    </font>
  </fonts>
  <fills count="5">
    <fill>
      <patternFill patternType="none"/>
    </fill>
    <fill>
      <patternFill patternType="gray125"/>
    </fill>
    <fill>
      <patternFill patternType="solid">
        <fgColor rgb="FFFFCC99"/>
      </patternFill>
    </fill>
    <fill>
      <patternFill patternType="solid">
        <fgColor rgb="FFF2F2F2"/>
      </patternFill>
    </fill>
    <fill>
      <patternFill patternType="solid">
        <fgColor theme="0"/>
        <bgColor indexed="64"/>
      </patternFill>
    </fill>
  </fills>
  <borders count="8">
    <border>
      <left/>
      <right/>
      <top/>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medium">
        <color theme="4" tint="0.39997558519241921"/>
      </bottom>
      <diagonal/>
    </border>
    <border>
      <left style="thin">
        <color rgb="FF7F7F7F"/>
      </left>
      <right/>
      <top/>
      <bottom/>
      <diagonal/>
    </border>
    <border>
      <left/>
      <right/>
      <top style="thick">
        <color theme="4"/>
      </top>
      <bottom/>
      <diagonal/>
    </border>
    <border>
      <left/>
      <right/>
      <top/>
      <bottom style="thick">
        <color theme="4" tint="0.499984740745262"/>
      </bottom>
      <diagonal/>
    </border>
    <border>
      <left/>
      <right/>
      <top style="thick">
        <color theme="4" tint="0.499984740745262"/>
      </top>
      <bottom/>
      <diagonal/>
    </border>
  </borders>
  <cellStyleXfs count="14">
    <xf numFmtId="0" fontId="0" fillId="4" borderId="0"/>
    <xf numFmtId="43" fontId="1" fillId="0" borderId="0" applyFont="0" applyFill="0" applyBorder="0" applyAlignment="0" applyProtection="0"/>
    <xf numFmtId="9" fontId="1" fillId="0" borderId="0" applyFont="0" applyFill="0" applyBorder="0" applyAlignment="0" applyProtection="0"/>
    <xf numFmtId="0" fontId="2" fillId="2" borderId="1" applyNumberFormat="0" applyAlignment="0">
      <protection locked="0"/>
    </xf>
    <xf numFmtId="0" fontId="3" fillId="3" borderId="1" applyNumberFormat="0" applyAlignment="0" applyProtection="0"/>
    <xf numFmtId="0" fontId="7" fillId="0" borderId="2" applyNumberFormat="0" applyFill="0" applyAlignment="0" applyProtection="0"/>
    <xf numFmtId="0" fontId="8" fillId="0" borderId="3" applyNumberFormat="0" applyFill="0" applyAlignment="0" applyProtection="0"/>
    <xf numFmtId="44" fontId="1"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 fillId="0" borderId="0"/>
    <xf numFmtId="0" fontId="10" fillId="0" borderId="0" applyNumberFormat="0" applyFill="0" applyBorder="0" applyAlignment="0" applyProtection="0"/>
    <xf numFmtId="0" fontId="11" fillId="0" borderId="6" applyNumberFormat="0" applyFill="0" applyAlignment="0" applyProtection="0"/>
    <xf numFmtId="0" fontId="14" fillId="4" borderId="0" applyNumberFormat="0" applyFill="0" applyBorder="0" applyAlignment="0" applyProtection="0"/>
  </cellStyleXfs>
  <cellXfs count="88">
    <xf numFmtId="0" fontId="0" fillId="4" borderId="0" xfId="0"/>
    <xf numFmtId="43" fontId="2" fillId="2" borderId="1" xfId="3" applyNumberFormat="1">
      <protection locked="0"/>
    </xf>
    <xf numFmtId="9" fontId="2" fillId="2" borderId="1" xfId="3" applyNumberFormat="1">
      <protection locked="0"/>
    </xf>
    <xf numFmtId="43" fontId="3" fillId="3" borderId="1" xfId="4" applyNumberFormat="1"/>
    <xf numFmtId="43" fontId="3" fillId="3" borderId="1" xfId="1" applyFont="1" applyFill="1" applyBorder="1"/>
    <xf numFmtId="43" fontId="2" fillId="2" borderId="1" xfId="1" applyFont="1" applyFill="1" applyBorder="1"/>
    <xf numFmtId="9" fontId="3" fillId="3" borderId="1" xfId="2" applyFont="1" applyFill="1" applyBorder="1"/>
    <xf numFmtId="0" fontId="4" fillId="4" borderId="0" xfId="0" applyFont="1"/>
    <xf numFmtId="0" fontId="0" fillId="4" borderId="0" xfId="0" applyFont="1"/>
    <xf numFmtId="9" fontId="2" fillId="2" borderId="1" xfId="2" applyFont="1" applyFill="1" applyBorder="1"/>
    <xf numFmtId="0" fontId="2" fillId="2" borderId="1" xfId="3">
      <protection locked="0"/>
    </xf>
    <xf numFmtId="0" fontId="0" fillId="4" borderId="0" xfId="0"/>
    <xf numFmtId="0" fontId="0" fillId="4" borderId="0" xfId="0"/>
    <xf numFmtId="0" fontId="0" fillId="4" borderId="0" xfId="0" applyFont="1" applyBorder="1"/>
    <xf numFmtId="44" fontId="0" fillId="4" borderId="0" xfId="0" applyNumberFormat="1"/>
    <xf numFmtId="49" fontId="0" fillId="4" borderId="0" xfId="0" applyNumberFormat="1"/>
    <xf numFmtId="44" fontId="2" fillId="2" borderId="1" xfId="7" applyNumberFormat="1" applyFont="1" applyFill="1" applyBorder="1"/>
    <xf numFmtId="44" fontId="3" fillId="3" borderId="1" xfId="7" applyNumberFormat="1" applyFont="1" applyFill="1" applyBorder="1"/>
    <xf numFmtId="44" fontId="2" fillId="2" borderId="1" xfId="3" applyNumberFormat="1">
      <protection locked="0"/>
    </xf>
    <xf numFmtId="164" fontId="2" fillId="2" borderId="1" xfId="1" applyNumberFormat="1" applyFont="1" applyFill="1" applyBorder="1"/>
    <xf numFmtId="44" fontId="3" fillId="3" borderId="1" xfId="7" applyFont="1" applyFill="1" applyBorder="1"/>
    <xf numFmtId="44" fontId="2" fillId="2" borderId="1" xfId="7" applyFont="1" applyFill="1" applyBorder="1"/>
    <xf numFmtId="44" fontId="3" fillId="3" borderId="1" xfId="4" applyNumberFormat="1"/>
    <xf numFmtId="0" fontId="0" fillId="4" borderId="0" xfId="0" applyAlignment="1">
      <alignment wrapText="1"/>
    </xf>
    <xf numFmtId="44" fontId="0" fillId="0" borderId="0" xfId="7" applyNumberFormat="1" applyFont="1"/>
    <xf numFmtId="0" fontId="0" fillId="4" borderId="4" xfId="0" applyFont="1" applyBorder="1" applyAlignment="1"/>
    <xf numFmtId="0" fontId="0" fillId="4" borderId="0" xfId="0" applyFont="1" applyBorder="1" applyAlignment="1"/>
    <xf numFmtId="165" fontId="3" fillId="3" borderId="1" xfId="4" applyNumberFormat="1"/>
    <xf numFmtId="0" fontId="8" fillId="4" borderId="0" xfId="8" applyFill="1"/>
    <xf numFmtId="1" fontId="3" fillId="3" borderId="1" xfId="4" applyNumberFormat="1"/>
    <xf numFmtId="2" fontId="3" fillId="3" borderId="1" xfId="4" applyNumberFormat="1"/>
    <xf numFmtId="166" fontId="2" fillId="2" borderId="1" xfId="7" applyNumberFormat="1" applyFont="1" applyFill="1" applyBorder="1"/>
    <xf numFmtId="0" fontId="9" fillId="4" borderId="0" xfId="9" applyFill="1"/>
    <xf numFmtId="43" fontId="0" fillId="4" borderId="0" xfId="0" applyNumberFormat="1"/>
    <xf numFmtId="0" fontId="0" fillId="4" borderId="0" xfId="0" applyBorder="1"/>
    <xf numFmtId="0" fontId="9" fillId="4" borderId="0" xfId="9" applyFill="1" applyAlignment="1"/>
    <xf numFmtId="164" fontId="3" fillId="3" borderId="1" xfId="4" applyNumberFormat="1"/>
    <xf numFmtId="9" fontId="3" fillId="3" borderId="1" xfId="4" applyNumberFormat="1"/>
    <xf numFmtId="0" fontId="0" fillId="4" borderId="0" xfId="0"/>
    <xf numFmtId="9" fontId="0" fillId="4" borderId="0" xfId="0" applyNumberFormat="1" applyFont="1" applyFill="1"/>
    <xf numFmtId="0" fontId="3" fillId="3" borderId="1" xfId="4" applyNumberFormat="1"/>
    <xf numFmtId="43" fontId="0" fillId="4" borderId="0" xfId="0" applyNumberFormat="1" applyFont="1" applyFill="1"/>
    <xf numFmtId="0" fontId="0" fillId="4" borderId="0" xfId="0"/>
    <xf numFmtId="0" fontId="0" fillId="4" borderId="0" xfId="0"/>
    <xf numFmtId="0" fontId="10" fillId="4" borderId="0" xfId="11" applyFill="1" applyAlignment="1">
      <alignment horizontal="center"/>
    </xf>
    <xf numFmtId="0" fontId="8" fillId="4" borderId="0" xfId="8" applyFill="1" applyAlignment="1">
      <alignment horizontal="center"/>
    </xf>
    <xf numFmtId="0" fontId="0" fillId="4" borderId="0" xfId="0" applyAlignment="1">
      <alignment horizontal="left" vertical="top" wrapText="1"/>
    </xf>
    <xf numFmtId="0" fontId="0" fillId="4" borderId="0" xfId="0"/>
    <xf numFmtId="0" fontId="0" fillId="4" borderId="0" xfId="0" applyAlignment="1">
      <alignment horizontal="left" vertical="top" wrapText="1"/>
    </xf>
    <xf numFmtId="43" fontId="2" fillId="2" borderId="1" xfId="1" applyNumberFormat="1" applyFont="1" applyFill="1" applyBorder="1"/>
    <xf numFmtId="167" fontId="2" fillId="2" borderId="1" xfId="1" applyNumberFormat="1" applyFont="1" applyFill="1" applyBorder="1"/>
    <xf numFmtId="167" fontId="3" fillId="3" borderId="1" xfId="4" applyNumberFormat="1"/>
    <xf numFmtId="167" fontId="3" fillId="3" borderId="1" xfId="1" applyNumberFormat="1" applyFont="1" applyFill="1" applyBorder="1"/>
    <xf numFmtId="164" fontId="3" fillId="3" borderId="1" xfId="1" applyNumberFormat="1" applyFont="1" applyFill="1" applyBorder="1"/>
    <xf numFmtId="168" fontId="3" fillId="3" borderId="1" xfId="1" applyNumberFormat="1" applyFont="1" applyFill="1" applyBorder="1"/>
    <xf numFmtId="164" fontId="0" fillId="4" borderId="0" xfId="0" applyNumberFormat="1"/>
    <xf numFmtId="169" fontId="0" fillId="4" borderId="0" xfId="0" applyNumberFormat="1"/>
    <xf numFmtId="167" fontId="2" fillId="2" borderId="1" xfId="3" applyNumberFormat="1">
      <protection locked="0"/>
    </xf>
    <xf numFmtId="10" fontId="2" fillId="2" borderId="1" xfId="3" applyNumberFormat="1">
      <protection locked="0"/>
    </xf>
    <xf numFmtId="164" fontId="2" fillId="2" borderId="1" xfId="3" applyNumberFormat="1">
      <protection locked="0"/>
    </xf>
    <xf numFmtId="0" fontId="0" fillId="4" borderId="0" xfId="0" applyBorder="1" applyAlignment="1">
      <alignment horizontal="left" vertical="top" wrapText="1"/>
    </xf>
    <xf numFmtId="0" fontId="0" fillId="4" borderId="0" xfId="0" applyAlignment="1">
      <alignment horizontal="left" vertical="top" wrapText="1"/>
    </xf>
    <xf numFmtId="0" fontId="7" fillId="4" borderId="2" xfId="5" applyFill="1" applyAlignment="1">
      <alignment horizontal="left" vertical="top" wrapText="1"/>
    </xf>
    <xf numFmtId="0" fontId="0" fillId="4" borderId="7" xfId="0" applyBorder="1" applyAlignment="1">
      <alignment horizontal="left" vertical="top" wrapText="1"/>
    </xf>
    <xf numFmtId="0" fontId="3" fillId="3" borderId="1" xfId="4" applyAlignment="1">
      <alignment horizontal="left" vertical="top" wrapText="1"/>
    </xf>
    <xf numFmtId="0" fontId="2" fillId="2" borderId="1" xfId="3" applyAlignment="1" applyProtection="1">
      <alignment horizontal="left" vertical="top" wrapText="1"/>
    </xf>
    <xf numFmtId="0" fontId="11" fillId="4" borderId="6" xfId="12" applyFill="1" applyAlignment="1">
      <alignment horizontal="left" vertical="top" wrapText="1"/>
    </xf>
    <xf numFmtId="0" fontId="10" fillId="4" borderId="0" xfId="11" applyFill="1" applyAlignment="1">
      <alignment horizontal="center" vertical="top" wrapText="1"/>
    </xf>
    <xf numFmtId="0" fontId="8" fillId="4" borderId="0" xfId="8" applyFill="1" applyAlignment="1">
      <alignment horizontal="center" vertical="top" wrapText="1"/>
    </xf>
    <xf numFmtId="0" fontId="12" fillId="4" borderId="0" xfId="0" applyFont="1" applyAlignment="1">
      <alignment horizontal="left" vertical="top" wrapText="1"/>
    </xf>
    <xf numFmtId="0" fontId="9" fillId="4" borderId="0" xfId="9" applyFill="1" applyAlignment="1">
      <alignment vertical="top" wrapText="1"/>
    </xf>
    <xf numFmtId="0" fontId="8" fillId="4" borderId="3" xfId="6" applyFill="1"/>
    <xf numFmtId="0" fontId="7" fillId="4" borderId="2" xfId="5" applyFill="1" applyAlignment="1"/>
    <xf numFmtId="49" fontId="0" fillId="4" borderId="5" xfId="0" applyNumberFormat="1" applyBorder="1" applyAlignment="1">
      <alignment vertical="top" wrapText="1"/>
    </xf>
    <xf numFmtId="0" fontId="7" fillId="4" borderId="2" xfId="5" applyFill="1"/>
    <xf numFmtId="49" fontId="0" fillId="4" borderId="5" xfId="0" applyNumberFormat="1" applyBorder="1" applyAlignment="1">
      <alignment horizontal="left" vertical="top" wrapText="1"/>
    </xf>
    <xf numFmtId="0" fontId="4" fillId="4" borderId="4" xfId="0" applyFont="1" applyBorder="1"/>
    <xf numFmtId="0" fontId="4" fillId="4" borderId="0" xfId="0" applyFont="1" applyBorder="1"/>
    <xf numFmtId="0" fontId="0" fillId="4" borderId="4" xfId="0" applyBorder="1"/>
    <xf numFmtId="0" fontId="0" fillId="4" borderId="0" xfId="0" applyBorder="1"/>
    <xf numFmtId="0" fontId="0" fillId="4" borderId="0" xfId="0"/>
    <xf numFmtId="0" fontId="15" fillId="4" borderId="0" xfId="13" applyFont="1" applyFill="1" applyAlignment="1">
      <alignment vertical="top" wrapText="1"/>
    </xf>
    <xf numFmtId="0" fontId="1" fillId="0" borderId="0" xfId="10" applyAlignment="1">
      <alignment vertical="top" wrapText="1"/>
    </xf>
    <xf numFmtId="0" fontId="0" fillId="4" borderId="0" xfId="0" applyAlignment="1">
      <alignment vertical="top" wrapText="1"/>
    </xf>
    <xf numFmtId="169" fontId="3" fillId="3" borderId="1" xfId="4" applyNumberFormat="1"/>
    <xf numFmtId="0" fontId="0" fillId="4" borderId="0" xfId="0" applyFont="1" applyAlignment="1">
      <alignment horizontal="left" vertical="top" wrapText="1"/>
    </xf>
    <xf numFmtId="0" fontId="4" fillId="4" borderId="0" xfId="0" applyFont="1" applyAlignment="1">
      <alignment horizontal="left" vertical="top" wrapText="1"/>
    </xf>
    <xf numFmtId="0" fontId="13" fillId="4" borderId="0" xfId="0" applyFont="1" applyAlignment="1">
      <alignment horizontal="left" vertical="top" wrapText="1"/>
    </xf>
  </cellXfs>
  <cellStyles count="14">
    <cellStyle name="Calculation" xfId="4" builtinId="22"/>
    <cellStyle name="Comma" xfId="1" builtinId="3"/>
    <cellStyle name="Currency" xfId="7" builtinId="4"/>
    <cellStyle name="Explanatory Text" xfId="9" builtinId="53"/>
    <cellStyle name="Heading 1" xfId="5" builtinId="16"/>
    <cellStyle name="Heading 2" xfId="12" builtinId="17"/>
    <cellStyle name="Heading 3" xfId="6" builtinId="18"/>
    <cellStyle name="Heading 4" xfId="8" builtinId="19"/>
    <cellStyle name="Hyperlink" xfId="13" builtinId="8"/>
    <cellStyle name="Input" xfId="3" builtinId="20" customBuiltin="1"/>
    <cellStyle name="Normal" xfId="0" builtinId="0" customBuiltin="1"/>
    <cellStyle name="Normal 2" xfId="10"/>
    <cellStyle name="Percent" xfId="2" builtinId="5"/>
    <cellStyle name="Title" xfId="11" builtinId="15"/>
  </cellStyles>
  <dxfs count="30">
    <dxf>
      <numFmt numFmtId="167" formatCode="_(* #,##0.0_);_(* \(#,##0.0\);_(* &quot;-&quot;??_);_(@_)"/>
    </dxf>
    <dxf>
      <numFmt numFmtId="164" formatCode="_(* #,##0_);_(* \(#,##0\);_(* &quot;-&quot;??_);_(@_)"/>
    </dxf>
    <dxf>
      <numFmt numFmtId="164" formatCode="_(* #,##0_);_(* \(#,##0\);_(* &quot;-&quot;??_);_(@_)"/>
    </dxf>
    <dxf>
      <numFmt numFmtId="30" formatCode="@"/>
    </dxf>
    <dxf>
      <numFmt numFmtId="30" formatCode="@"/>
    </dxf>
    <dxf>
      <numFmt numFmtId="34" formatCode="_(&quot;$&quot;* #,##0.00_);_(&quot;$&quot;* \(#,##0.00\);_(&quot;$&quot;* &quot;-&quot;??_);_(@_)"/>
    </dxf>
    <dxf>
      <numFmt numFmtId="34" formatCode="_(&quot;$&quot;* #,##0.00_);_(&quot;$&quot;* \(#,##0.00\);_(&quot;$&quot;* &quot;-&quot;??_);_(@_)"/>
    </dxf>
    <dxf>
      <numFmt numFmtId="30" formatCode="@"/>
    </dxf>
    <dxf>
      <numFmt numFmtId="30" formatCode="@"/>
    </dxf>
    <dxf>
      <numFmt numFmtId="34" formatCode="_(&quot;$&quot;* #,##0.00_);_(&quot;$&quot;* \(#,##0.00\);_(&quot;$&quot;* &quot;-&quot;??_);_(@_)"/>
    </dxf>
    <dxf>
      <numFmt numFmtId="34" formatCode="_(&quot;$&quot;* #,##0.00_);_(&quot;$&quot;* \(#,##0.00\);_(&quot;$&quot;* &quot;-&quot;??_);_(@_)"/>
    </dxf>
    <dxf>
      <numFmt numFmtId="30" formatCode="@"/>
    </dxf>
    <dxf>
      <numFmt numFmtId="30" formatCode="@"/>
    </dxf>
    <dxf>
      <numFmt numFmtId="34" formatCode="_(&quot;$&quot;* #,##0.00_);_(&quot;$&quot;* \(#,##0.00\);_(&quot;$&quot;* &quot;-&quot;??_);_(@_)"/>
    </dxf>
    <dxf>
      <numFmt numFmtId="34" formatCode="_(&quot;$&quot;* #,##0.00_);_(&quot;$&quot;* \(#,##0.00\);_(&quot;$&quot;* &quot;-&quot;??_);_(@_)"/>
    </dxf>
    <dxf>
      <numFmt numFmtId="164" formatCode="_(* #,##0_);_(* \(#,##0\);_(* &quot;-&quot;??_);_(@_)"/>
    </dxf>
    <dxf>
      <numFmt numFmtId="164" formatCode="_(* #,##0_);_(* \(#,##0\);_(* &quot;-&quot;??_);_(@_)"/>
    </dxf>
    <dxf>
      <numFmt numFmtId="164" formatCode="_(* #,##0_);_(* \(#,##0\);_(* &quot;-&quot;??_);_(@_)"/>
    </dxf>
    <dxf>
      <numFmt numFmtId="164" formatCode="_(* #,##0_);_(* \(#,##0\);_(* &quot;-&quot;??_);_(@_)"/>
    </dxf>
    <dxf>
      <font>
        <b val="0"/>
        <i val="0"/>
        <strike val="0"/>
        <condense val="0"/>
        <extend val="0"/>
        <outline val="0"/>
        <shadow val="0"/>
        <u val="none"/>
        <vertAlign val="baseline"/>
        <sz val="11"/>
        <color theme="1"/>
        <name val="Calibri"/>
        <scheme val="minor"/>
      </font>
      <numFmt numFmtId="13" formatCode="0%"/>
      <fill>
        <patternFill patternType="solid">
          <fgColor indexed="64"/>
          <bgColor theme="0"/>
        </patternFill>
      </fill>
    </dxf>
    <dxf>
      <numFmt numFmtId="169" formatCode="_(* #,##0.0000_);_(* \(#,##0.0000\);_(* &quot;-&quot;??_);_(@_)"/>
    </dxf>
    <dxf>
      <numFmt numFmtId="169" formatCode="_(* #,##0.0000_);_(* \(#,##0.0000\);_(* &quot;-&quot;??_);_(@_)"/>
    </dxf>
    <dxf>
      <numFmt numFmtId="35" formatCode="_(* #,##0.00_);_(* \(#,##0.00\);_(* &quot;-&quot;??_);_(@_)"/>
    </dxf>
    <dxf>
      <numFmt numFmtId="35" formatCode="_(* #,##0.00_);_(* \(#,##0.00\);_(* &quot;-&quot;??_);_(@_)"/>
    </dxf>
    <dxf>
      <numFmt numFmtId="164" formatCode="_(* #,##0_);_(* \(#,##0\);_(* &quot;-&quot;??_);_(@_)"/>
    </dxf>
    <dxf>
      <numFmt numFmtId="164" formatCode="_(* #,##0_);_(* \(#,##0\);_(* &quot;-&quot;??_);_(@_)"/>
    </dxf>
    <dxf>
      <numFmt numFmtId="13" formatCode="0%"/>
    </dxf>
    <dxf>
      <numFmt numFmtId="164" formatCode="_(* #,##0_);_(* \(#,##0\);_(* &quot;-&quot;??_);_(@_)"/>
    </dxf>
    <dxf>
      <font>
        <b val="0"/>
        <i val="0"/>
        <strike val="0"/>
        <condense val="0"/>
        <extend val="0"/>
        <outline val="0"/>
        <shadow val="0"/>
        <u val="none"/>
        <vertAlign val="baseline"/>
        <sz val="11"/>
        <color theme="1"/>
        <name val="Calibri"/>
        <scheme val="minor"/>
      </font>
      <numFmt numFmtId="35" formatCode="_(* #,##0.00_);_(* \(#,##0.00\);_(* &quot;-&quot;??_);_(@_)"/>
      <fill>
        <patternFill patternType="solid">
          <fgColor indexed="64"/>
          <bgColor theme="0"/>
        </patternFill>
      </fill>
    </dxf>
    <dxf>
      <numFmt numFmtId="167" formatCode="_(* #,##0.0_);_(* \(#,##0.0\);_(*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r>
              <a:rPr lang="en-US"/>
              <a:t>Bulk</a:t>
            </a:r>
            <a:r>
              <a:rPr lang="en-US" baseline="0"/>
              <a:t> Density</a:t>
            </a:r>
            <a:endParaRPr lang="en-US"/>
          </a:p>
        </c:rich>
      </c:tx>
      <c:layout/>
      <c:overlay val="0"/>
      <c:spPr>
        <a:noFill/>
        <a:ln>
          <a:noFill/>
        </a:ln>
        <a:effectLst/>
      </c:spPr>
      <c:txPr>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endParaRPr lang="en-US"/>
        </a:p>
      </c:txPr>
    </c:title>
    <c:autoTitleDeleted val="0"/>
    <c:plotArea>
      <c:layout/>
      <c:barChart>
        <c:barDir val="col"/>
        <c:grouping val="clustered"/>
        <c:varyColors val="1"/>
        <c:ser>
          <c:idx val="0"/>
          <c:order val="0"/>
          <c:tx>
            <c:strRef>
              <c:f>'Compost Mixture'!$G$4</c:f>
              <c:strCache>
                <c:ptCount val="1"/>
                <c:pt idx="0">
                  <c:v>lbs/yd³ bulk density</c:v>
                </c:pt>
              </c:strCache>
            </c:strRef>
          </c:tx>
          <c:invertIfNegative val="0"/>
          <c:dPt>
            <c:idx val="0"/>
            <c:invertIfNegative val="0"/>
            <c:bubble3D val="0"/>
            <c:spPr>
              <a:pattFill prst="narHorz">
                <a:fgClr>
                  <a:schemeClr val="accent1"/>
                </a:fgClr>
                <a:bgClr>
                  <a:schemeClr val="accent1">
                    <a:lumMod val="20000"/>
                    <a:lumOff val="80000"/>
                  </a:schemeClr>
                </a:bgClr>
              </a:pattFill>
              <a:ln>
                <a:noFill/>
              </a:ln>
              <a:effectLst>
                <a:innerShdw blurRad="114300">
                  <a:schemeClr val="accent1"/>
                </a:innerShdw>
              </a:effectLst>
            </c:spPr>
          </c:dPt>
          <c:dPt>
            <c:idx val="1"/>
            <c:invertIfNegative val="0"/>
            <c:bubble3D val="0"/>
            <c:spPr>
              <a:pattFill prst="narHorz">
                <a:fgClr>
                  <a:schemeClr val="accent2"/>
                </a:fgClr>
                <a:bgClr>
                  <a:schemeClr val="accent2">
                    <a:lumMod val="20000"/>
                    <a:lumOff val="80000"/>
                  </a:schemeClr>
                </a:bgClr>
              </a:pattFill>
              <a:ln>
                <a:noFill/>
              </a:ln>
              <a:effectLst>
                <a:innerShdw blurRad="114300">
                  <a:schemeClr val="accent2"/>
                </a:innerShdw>
              </a:effectLst>
            </c:spPr>
          </c:dPt>
          <c:dPt>
            <c:idx val="2"/>
            <c:invertIfNegative val="0"/>
            <c:bubble3D val="0"/>
            <c:spPr>
              <a:pattFill prst="narHorz">
                <a:fgClr>
                  <a:schemeClr val="accent3"/>
                </a:fgClr>
                <a:bgClr>
                  <a:schemeClr val="accent3">
                    <a:lumMod val="20000"/>
                    <a:lumOff val="80000"/>
                  </a:schemeClr>
                </a:bgClr>
              </a:pattFill>
              <a:ln>
                <a:noFill/>
              </a:ln>
              <a:effectLst>
                <a:innerShdw blurRad="114300">
                  <a:schemeClr val="accent3"/>
                </a:innerShdw>
              </a:effectLst>
            </c:spPr>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'Compost Mixture'!$F$5:$F$7</c:f>
              <c:strCache>
                <c:ptCount val="3"/>
                <c:pt idx="0">
                  <c:v>Cottonwood</c:v>
                </c:pt>
                <c:pt idx="1">
                  <c:v>Horse Manure</c:v>
                </c:pt>
                <c:pt idx="2">
                  <c:v>Food Waste</c:v>
                </c:pt>
              </c:strCache>
            </c:strRef>
          </c:cat>
          <c:val>
            <c:numRef>
              <c:f>'Compost Mixture'!$G$5:$G$7</c:f>
              <c:numCache>
                <c:formatCode>_(* #,##0_);_(* \(#,##0\);_(* "-"??_);_(@_)</c:formatCode>
                <c:ptCount val="3"/>
                <c:pt idx="0">
                  <c:v>600</c:v>
                </c:pt>
                <c:pt idx="1">
                  <c:v>1215</c:v>
                </c:pt>
                <c:pt idx="2">
                  <c:v>1400</c:v>
                </c:pt>
              </c:numCache>
            </c:numRef>
          </c:val>
        </c:ser>
        <c:dLbls>
          <c:dLblPos val="inEnd"/>
          <c:showLegendKey val="0"/>
          <c:showVal val="1"/>
          <c:showCatName val="0"/>
          <c:showSerName val="0"/>
          <c:showPercent val="0"/>
          <c:showBubbleSize val="0"/>
        </c:dLbls>
        <c:gapWidth val="164"/>
        <c:overlap val="-22"/>
        <c:axId val="227492928"/>
        <c:axId val="227496848"/>
      </c:barChart>
      <c:catAx>
        <c:axId val="227492928"/>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227496848"/>
        <c:crosses val="autoZero"/>
        <c:auto val="1"/>
        <c:lblAlgn val="ctr"/>
        <c:lblOffset val="100"/>
        <c:noMultiLvlLbl val="0"/>
      </c:catAx>
      <c:valAx>
        <c:axId val="227496848"/>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2274929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r>
              <a:rPr lang="en-US"/>
              <a:t>Yearly Intake (yd³/Yr)</a:t>
            </a:r>
          </a:p>
        </c:rich>
      </c:tx>
      <c:layout>
        <c:manualLayout>
          <c:xMode val="edge"/>
          <c:yMode val="edge"/>
          <c:x val="0.20997222222222223"/>
          <c:y val="4.1666666666666664E-2"/>
        </c:manualLayout>
      </c:layout>
      <c:overlay val="0"/>
      <c:spPr>
        <a:noFill/>
        <a:ln>
          <a:noFill/>
        </a:ln>
        <a:effectLst/>
      </c:spPr>
      <c:txPr>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endParaRPr lang="en-US"/>
        </a:p>
      </c:txPr>
    </c:title>
    <c:autoTitleDeleted val="0"/>
    <c:plotArea>
      <c:layout/>
      <c:barChart>
        <c:barDir val="col"/>
        <c:grouping val="clustered"/>
        <c:varyColors val="1"/>
        <c:ser>
          <c:idx val="0"/>
          <c:order val="0"/>
          <c:tx>
            <c:strRef>
              <c:f>'Compost Mixture'!$H$4</c:f>
              <c:strCache>
                <c:ptCount val="1"/>
                <c:pt idx="0">
                  <c:v>yd³/yr intake</c:v>
                </c:pt>
              </c:strCache>
            </c:strRef>
          </c:tx>
          <c:invertIfNegative val="0"/>
          <c:dPt>
            <c:idx val="0"/>
            <c:invertIfNegative val="0"/>
            <c:bubble3D val="0"/>
            <c:spPr>
              <a:pattFill prst="narHorz">
                <a:fgClr>
                  <a:schemeClr val="accent1"/>
                </a:fgClr>
                <a:bgClr>
                  <a:schemeClr val="accent1">
                    <a:lumMod val="20000"/>
                    <a:lumOff val="80000"/>
                  </a:schemeClr>
                </a:bgClr>
              </a:pattFill>
              <a:ln>
                <a:noFill/>
              </a:ln>
              <a:effectLst>
                <a:innerShdw blurRad="114300">
                  <a:schemeClr val="accent1"/>
                </a:innerShdw>
              </a:effectLst>
            </c:spPr>
          </c:dPt>
          <c:dPt>
            <c:idx val="1"/>
            <c:invertIfNegative val="0"/>
            <c:bubble3D val="0"/>
            <c:spPr>
              <a:pattFill prst="narHorz">
                <a:fgClr>
                  <a:schemeClr val="accent2"/>
                </a:fgClr>
                <a:bgClr>
                  <a:schemeClr val="accent2">
                    <a:lumMod val="20000"/>
                    <a:lumOff val="80000"/>
                  </a:schemeClr>
                </a:bgClr>
              </a:pattFill>
              <a:ln>
                <a:noFill/>
              </a:ln>
              <a:effectLst>
                <a:innerShdw blurRad="114300">
                  <a:schemeClr val="accent2"/>
                </a:innerShdw>
              </a:effectLst>
            </c:spPr>
          </c:dPt>
          <c:dPt>
            <c:idx val="2"/>
            <c:invertIfNegative val="0"/>
            <c:bubble3D val="0"/>
            <c:spPr>
              <a:pattFill prst="narHorz">
                <a:fgClr>
                  <a:schemeClr val="accent3"/>
                </a:fgClr>
                <a:bgClr>
                  <a:schemeClr val="accent3">
                    <a:lumMod val="20000"/>
                    <a:lumOff val="80000"/>
                  </a:schemeClr>
                </a:bgClr>
              </a:pattFill>
              <a:ln>
                <a:noFill/>
              </a:ln>
              <a:effectLst>
                <a:innerShdw blurRad="114300">
                  <a:schemeClr val="accent3"/>
                </a:innerShdw>
              </a:effectLst>
            </c:spPr>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'Compost Mixture'!$F$5:$F$7</c:f>
              <c:strCache>
                <c:ptCount val="3"/>
                <c:pt idx="0">
                  <c:v>Cottonwood</c:v>
                </c:pt>
                <c:pt idx="1">
                  <c:v>Horse Manure</c:v>
                </c:pt>
                <c:pt idx="2">
                  <c:v>Food Waste</c:v>
                </c:pt>
              </c:strCache>
            </c:strRef>
          </c:cat>
          <c:val>
            <c:numRef>
              <c:f>'Compost Mixture'!$H$5:$H$7</c:f>
              <c:numCache>
                <c:formatCode>_(* #,##0_);_(* \(#,##0\);_(* "-"??_);_(@_)</c:formatCode>
                <c:ptCount val="3"/>
                <c:pt idx="0">
                  <c:v>927.61904761904759</c:v>
                </c:pt>
                <c:pt idx="1">
                  <c:v>961.97530864197529</c:v>
                </c:pt>
                <c:pt idx="2">
                  <c:v>229.3</c:v>
                </c:pt>
              </c:numCache>
            </c:numRef>
          </c:val>
        </c:ser>
        <c:dLbls>
          <c:dLblPos val="inEnd"/>
          <c:showLegendKey val="0"/>
          <c:showVal val="1"/>
          <c:showCatName val="0"/>
          <c:showSerName val="0"/>
          <c:showPercent val="0"/>
          <c:showBubbleSize val="0"/>
        </c:dLbls>
        <c:gapWidth val="164"/>
        <c:overlap val="-22"/>
        <c:axId val="227495672"/>
        <c:axId val="227496064"/>
      </c:barChart>
      <c:catAx>
        <c:axId val="227495672"/>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7496064"/>
        <c:crosses val="autoZero"/>
        <c:auto val="1"/>
        <c:lblAlgn val="ctr"/>
        <c:lblOffset val="100"/>
        <c:noMultiLvlLbl val="0"/>
      </c:catAx>
      <c:valAx>
        <c:axId val="227496064"/>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74956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r>
              <a:rPr lang="en-US"/>
              <a:t>Carbon to Nitrogen Ratio</a:t>
            </a:r>
          </a:p>
        </c:rich>
      </c:tx>
      <c:layout/>
      <c:overlay val="0"/>
      <c:spPr>
        <a:noFill/>
        <a:ln>
          <a:noFill/>
        </a:ln>
        <a:effectLst/>
      </c:spPr>
      <c:txPr>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endParaRPr lang="en-US"/>
        </a:p>
      </c:txPr>
    </c:title>
    <c:autoTitleDeleted val="0"/>
    <c:plotArea>
      <c:layout/>
      <c:barChart>
        <c:barDir val="col"/>
        <c:grouping val="clustered"/>
        <c:varyColors val="1"/>
        <c:ser>
          <c:idx val="0"/>
          <c:order val="0"/>
          <c:tx>
            <c:strRef>
              <c:f>'Compost Mixture'!$N$4</c:f>
              <c:strCache>
                <c:ptCount val="1"/>
                <c:pt idx="0">
                  <c:v>C:N ratio</c:v>
                </c:pt>
              </c:strCache>
            </c:strRef>
          </c:tx>
          <c:invertIfNegative val="0"/>
          <c:dPt>
            <c:idx val="0"/>
            <c:invertIfNegative val="0"/>
            <c:bubble3D val="0"/>
            <c:spPr>
              <a:pattFill prst="narHorz">
                <a:fgClr>
                  <a:schemeClr val="accent1"/>
                </a:fgClr>
                <a:bgClr>
                  <a:schemeClr val="accent1">
                    <a:lumMod val="20000"/>
                    <a:lumOff val="80000"/>
                  </a:schemeClr>
                </a:bgClr>
              </a:pattFill>
              <a:ln>
                <a:noFill/>
              </a:ln>
              <a:effectLst>
                <a:innerShdw blurRad="114300">
                  <a:schemeClr val="accent1"/>
                </a:innerShdw>
              </a:effectLst>
            </c:spPr>
          </c:dPt>
          <c:dPt>
            <c:idx val="1"/>
            <c:invertIfNegative val="0"/>
            <c:bubble3D val="0"/>
            <c:spPr>
              <a:pattFill prst="narHorz">
                <a:fgClr>
                  <a:schemeClr val="accent2"/>
                </a:fgClr>
                <a:bgClr>
                  <a:schemeClr val="accent2">
                    <a:lumMod val="20000"/>
                    <a:lumOff val="80000"/>
                  </a:schemeClr>
                </a:bgClr>
              </a:pattFill>
              <a:ln>
                <a:noFill/>
              </a:ln>
              <a:effectLst>
                <a:innerShdw blurRad="114300">
                  <a:schemeClr val="accent2"/>
                </a:innerShdw>
              </a:effectLst>
            </c:spPr>
          </c:dPt>
          <c:dPt>
            <c:idx val="2"/>
            <c:invertIfNegative val="0"/>
            <c:bubble3D val="0"/>
            <c:spPr>
              <a:pattFill prst="narHorz">
                <a:fgClr>
                  <a:schemeClr val="accent3"/>
                </a:fgClr>
                <a:bgClr>
                  <a:schemeClr val="accent3">
                    <a:lumMod val="20000"/>
                    <a:lumOff val="80000"/>
                  </a:schemeClr>
                </a:bgClr>
              </a:pattFill>
              <a:ln>
                <a:noFill/>
              </a:ln>
              <a:effectLst>
                <a:innerShdw blurRad="114300">
                  <a:schemeClr val="accent3"/>
                </a:innerShdw>
              </a:effectLst>
            </c:spPr>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'Compost Mixture'!$F$5:$F$7</c:f>
              <c:strCache>
                <c:ptCount val="3"/>
                <c:pt idx="0">
                  <c:v>Cottonwood</c:v>
                </c:pt>
                <c:pt idx="1">
                  <c:v>Horse Manure</c:v>
                </c:pt>
                <c:pt idx="2">
                  <c:v>Food Waste</c:v>
                </c:pt>
              </c:strCache>
            </c:strRef>
          </c:cat>
          <c:val>
            <c:numRef>
              <c:f>'Compost Mixture'!$N$5:$N$7</c:f>
              <c:numCache>
                <c:formatCode>_(* #,##0_);_(* \(#,##0\);_(* "-"??_);_(@_)</c:formatCode>
                <c:ptCount val="3"/>
                <c:pt idx="0">
                  <c:v>496</c:v>
                </c:pt>
                <c:pt idx="1">
                  <c:v>45.000000000000007</c:v>
                </c:pt>
                <c:pt idx="2">
                  <c:v>15.2</c:v>
                </c:pt>
              </c:numCache>
            </c:numRef>
          </c:val>
        </c:ser>
        <c:dLbls>
          <c:dLblPos val="inEnd"/>
          <c:showLegendKey val="0"/>
          <c:showVal val="1"/>
          <c:showCatName val="0"/>
          <c:showSerName val="0"/>
          <c:showPercent val="0"/>
          <c:showBubbleSize val="0"/>
        </c:dLbls>
        <c:gapWidth val="164"/>
        <c:overlap val="-22"/>
        <c:axId val="406217568"/>
        <c:axId val="406529400"/>
      </c:barChart>
      <c:catAx>
        <c:axId val="406217568"/>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6529400"/>
        <c:crosses val="autoZero"/>
        <c:auto val="1"/>
        <c:lblAlgn val="ctr"/>
        <c:lblOffset val="100"/>
        <c:noMultiLvlLbl val="0"/>
      </c:catAx>
      <c:valAx>
        <c:axId val="406529400"/>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62175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20</xdr:row>
      <xdr:rowOff>114300</xdr:rowOff>
    </xdr:from>
    <xdr:to>
      <xdr:col>3</xdr:col>
      <xdr:colOff>219075</xdr:colOff>
      <xdr:row>35</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285750</xdr:colOff>
      <xdr:row>20</xdr:row>
      <xdr:rowOff>114300</xdr:rowOff>
    </xdr:from>
    <xdr:to>
      <xdr:col>7</xdr:col>
      <xdr:colOff>266700</xdr:colOff>
      <xdr:row>35</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333375</xdr:colOff>
      <xdr:row>20</xdr:row>
      <xdr:rowOff>114300</xdr:rowOff>
    </xdr:from>
    <xdr:to>
      <xdr:col>10</xdr:col>
      <xdr:colOff>1133475</xdr:colOff>
      <xdr:row>35</xdr:row>
      <xdr:rowOff>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ables/table1.xml><?xml version="1.0" encoding="utf-8"?>
<table xmlns="http://schemas.openxmlformats.org/spreadsheetml/2006/main" id="2" name="MaterialsTable" displayName="MaterialsTable" ref="F4:U20" totalsRowCount="1">
  <autoFilter ref="F4:U19"/>
  <tableColumns count="16">
    <tableColumn id="1" name="Material" totalsRowLabel="Total" dataCellStyle="Input"/>
    <tableColumn id="2" name="lbs/yd³ bulk density" dataDxfId="2" dataCellStyle="Input"/>
    <tableColumn id="13" name="yd³/yr intake" dataDxfId="1" dataCellStyle="Input"/>
    <tableColumn id="3" name="dry carbon content" dataCellStyle="Input"/>
    <tableColumn id="4" name="dry nitrogen content" dataCellStyle="Input"/>
    <tableColumn id="11" name="moisture content" dataCellStyle="Input"/>
    <tableColumn id="6" name="relative weight in mixture" dataDxfId="0" dataCellStyle="Input"/>
    <tableColumn id="14" name="ton/yr intake" dataDxfId="29" totalsRowDxfId="28" dataCellStyle="Calculation">
      <calculatedColumnFormula>MaterialsTable[[#This Row],[yd³/yr intake]]*MaterialsTable[[#This Row],[lbs/yd³ bulk density]]/2000</calculatedColumnFormula>
    </tableColumn>
    <tableColumn id="5" name="C:N ratio" dataDxfId="27" dataCellStyle="Calculation">
      <calculatedColumnFormula>IFERROR(MaterialsTable[dry carbon content]/MaterialsTable[dry nitrogen content],"")</calculatedColumnFormula>
    </tableColumn>
    <tableColumn id="7" name="weight %" dataDxfId="26" dataCellStyle="Calculation">
      <calculatedColumnFormula>MaterialsTable[[#This Row],[relative weight in mixture]]/SUM(MaterialsTable[relative weight in mixture])</calculatedColumnFormula>
    </tableColumn>
    <tableColumn id="10" name="density contribution" totalsRowFunction="sum" dataDxfId="25" totalsRowDxfId="24" dataCellStyle="Calculation">
      <calculatedColumnFormula>MaterialsTable[[#This Row],[lbs/yd³ bulk density]]*MaterialsTable[[#This Row],[weight %]]</calculatedColumnFormula>
    </tableColumn>
    <tableColumn id="8" name="carbon contribution" totalsRowFunction="sum" dataDxfId="23" totalsRowDxfId="22" dataCellStyle="Calculation">
      <calculatedColumnFormula>MaterialsTable[[#This Row],[dry carbon content]]*MaterialsTable[[#This Row],[weight %]]*(1-MaterialsTable[[#This Row],[moisture content]])</calculatedColumnFormula>
    </tableColumn>
    <tableColumn id="9" name="nitrogen contribution" totalsRowFunction="sum" dataDxfId="21" totalsRowDxfId="20" dataCellStyle="Calculation">
      <calculatedColumnFormula>MaterialsTable[[#This Row],[dry nitrogen content]]*MaterialsTable[[#This Row],[weight %]]*(1-MaterialsTable[[#This Row],[moisture content]])</calculatedColumnFormula>
    </tableColumn>
    <tableColumn id="12" name="moisture contribution" totalsRowFunction="sum" totalsRowDxfId="19" dataCellStyle="Calculation">
      <calculatedColumnFormula>MaterialsTable[[#This Row],[moisture content]]*MaterialsTable[[#This Row],[weight %]]</calculatedColumnFormula>
    </tableColumn>
    <tableColumn id="15" name="weight ratio limit" totalsRowFunction="min" dataDxfId="18" totalsRowDxfId="17" dataCellStyle="Calculation">
      <calculatedColumnFormula>IF(MaterialsTable[[#This Row],[ton/yr intake]]=0," ",MaterialsTable[[#This Row],[ton/yr intake]]/MaterialsTable[[#This Row],[weight %]])</calculatedColumnFormula>
    </tableColumn>
    <tableColumn id="16" name="ton/yr limited weight intake" totalsRowFunction="sum" dataDxfId="16" totalsRowDxfId="15" dataCellStyle="Calculation">
      <calculatedColumnFormula>MaterialsTable[[#This Row],[weight %]]*MaterialsTable[[#Totals],[weight ratio limit]]</calculatedColumnFormula>
    </tableColumn>
  </tableColumns>
  <tableStyleInfo name="TableStyleMedium2" showFirstColumn="0" showLastColumn="0" showRowStripes="1" showColumnStripes="0"/>
</table>
</file>

<file path=xl/tables/table2.xml><?xml version="1.0" encoding="utf-8"?>
<table xmlns="http://schemas.openxmlformats.org/spreadsheetml/2006/main" id="10" name="InitialCosts" displayName="InitialCosts" ref="A1:C17" totalsRowCount="1">
  <autoFilter ref="A1:C16"/>
  <tableColumns count="3">
    <tableColumn id="1" name="Item" totalsRowLabel="Total"/>
    <tableColumn id="2" name="Cost" totalsRowFunction="sum" dataDxfId="14" totalsRowDxfId="13"/>
    <tableColumn id="3" name="Notes" dataDxfId="12" totalsRowDxfId="11"/>
  </tableColumns>
  <tableStyleInfo name="TableStyleMedium2" showFirstColumn="0" showLastColumn="0" showRowStripes="1" showColumnStripes="0"/>
</table>
</file>

<file path=xl/tables/table3.xml><?xml version="1.0" encoding="utf-8"?>
<table xmlns="http://schemas.openxmlformats.org/spreadsheetml/2006/main" id="11" name="OngoingCosts" displayName="OngoingCosts" ref="A1:C17" totalsRowCount="1">
  <autoFilter ref="A1:C16"/>
  <tableColumns count="3">
    <tableColumn id="1" name="Item" totalsRowLabel="Total"/>
    <tableColumn id="2" name="Cost/Week" totalsRowFunction="sum" dataDxfId="10" totalsRowDxfId="9"/>
    <tableColumn id="3" name="Notes" dataDxfId="8" totalsRowDxfId="7"/>
  </tableColumns>
  <tableStyleInfo name="TableStyleMedium2" showFirstColumn="0" showLastColumn="0" showRowStripes="1" showColumnStripes="0"/>
</table>
</file>

<file path=xl/tables/table4.xml><?xml version="1.0" encoding="utf-8"?>
<table xmlns="http://schemas.openxmlformats.org/spreadsheetml/2006/main" id="12" name="Profits" displayName="Profits" ref="A1:C17" totalsRowCount="1">
  <autoFilter ref="A1:C16"/>
  <tableColumns count="3">
    <tableColumn id="1" name="Item" totalsRowLabel="Total"/>
    <tableColumn id="2" name="Profit/Week" totalsRowFunction="sum" dataDxfId="6" totalsRowDxfId="5"/>
    <tableColumn id="3" name="Notes" dataDxfId="4" totalsRowDxfId="3"/>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anr.state.vt.us/dec/wastediv/compost/documents/ANR%20Sizing%20Your%20Composting%20Pad.pdf" TargetMode="External"/></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J68"/>
  <sheetViews>
    <sheetView zoomScaleNormal="100" zoomScaleSheetLayoutView="100" workbookViewId="0">
      <selection activeCell="A5" sqref="A5:I5"/>
    </sheetView>
  </sheetViews>
  <sheetFormatPr defaultRowHeight="15" x14ac:dyDescent="0.25"/>
  <cols>
    <col min="1" max="9" width="9.140625" style="46"/>
  </cols>
  <sheetData>
    <row r="1" spans="1:10" s="42" customFormat="1" x14ac:dyDescent="0.25">
      <c r="A1" s="61"/>
      <c r="B1" s="61"/>
      <c r="C1" s="61"/>
      <c r="D1" s="61"/>
      <c r="E1" s="61"/>
      <c r="F1" s="61"/>
      <c r="G1" s="61"/>
      <c r="H1" s="61"/>
      <c r="I1" s="61"/>
    </row>
    <row r="2" spans="1:10" ht="23.25" customHeight="1" x14ac:dyDescent="0.35">
      <c r="A2" s="67" t="s">
        <v>150</v>
      </c>
      <c r="B2" s="67"/>
      <c r="C2" s="67"/>
      <c r="D2" s="67"/>
      <c r="E2" s="67"/>
      <c r="F2" s="67"/>
      <c r="G2" s="67"/>
      <c r="H2" s="67"/>
      <c r="I2" s="67"/>
      <c r="J2" s="44"/>
    </row>
    <row r="3" spans="1:10" ht="15" customHeight="1" x14ac:dyDescent="0.25">
      <c r="A3" s="68" t="s">
        <v>151</v>
      </c>
      <c r="B3" s="68"/>
      <c r="C3" s="68"/>
      <c r="D3" s="68"/>
      <c r="E3" s="68"/>
      <c r="F3" s="68"/>
      <c r="G3" s="68"/>
      <c r="H3" s="68"/>
      <c r="I3" s="68"/>
      <c r="J3" s="45"/>
    </row>
    <row r="4" spans="1:10" x14ac:dyDescent="0.25">
      <c r="A4" s="61"/>
      <c r="B4" s="61"/>
      <c r="C4" s="61"/>
      <c r="D4" s="61"/>
      <c r="E4" s="61"/>
      <c r="F4" s="61"/>
      <c r="G4" s="61"/>
      <c r="H4" s="61"/>
      <c r="I4" s="61"/>
      <c r="J4" s="43"/>
    </row>
    <row r="5" spans="1:10" ht="90" customHeight="1" x14ac:dyDescent="0.25">
      <c r="A5" s="69" t="s">
        <v>170</v>
      </c>
      <c r="B5" s="69"/>
      <c r="C5" s="69"/>
      <c r="D5" s="69"/>
      <c r="E5" s="69"/>
      <c r="F5" s="69"/>
      <c r="G5" s="69"/>
      <c r="H5" s="69"/>
      <c r="I5" s="69"/>
      <c r="J5" s="46"/>
    </row>
    <row r="6" spans="1:10" s="47" customFormat="1" x14ac:dyDescent="0.25">
      <c r="A6" s="85"/>
      <c r="B6" s="85"/>
      <c r="C6" s="85"/>
      <c r="D6" s="85"/>
      <c r="E6" s="85"/>
      <c r="F6" s="85"/>
      <c r="G6" s="85"/>
      <c r="H6" s="85"/>
      <c r="I6" s="85"/>
      <c r="J6" s="48"/>
    </row>
    <row r="7" spans="1:10" s="47" customFormat="1" x14ac:dyDescent="0.25">
      <c r="A7" s="69" t="s">
        <v>165</v>
      </c>
      <c r="B7" s="69"/>
      <c r="C7" s="69"/>
      <c r="D7" s="69"/>
      <c r="E7" s="69"/>
      <c r="F7" s="69"/>
      <c r="G7" s="69"/>
      <c r="H7" s="69"/>
      <c r="I7" s="69"/>
      <c r="J7" s="48"/>
    </row>
    <row r="8" spans="1:10" s="47" customFormat="1" x14ac:dyDescent="0.25">
      <c r="A8" s="86" t="s">
        <v>166</v>
      </c>
      <c r="B8" s="86"/>
      <c r="C8" s="86"/>
      <c r="D8" s="86"/>
      <c r="E8" s="86"/>
      <c r="F8" s="86"/>
      <c r="G8" s="86"/>
      <c r="H8" s="86"/>
      <c r="I8" s="86"/>
      <c r="J8" s="48"/>
    </row>
    <row r="9" spans="1:10" s="47" customFormat="1" x14ac:dyDescent="0.25">
      <c r="A9" s="86" t="s">
        <v>167</v>
      </c>
      <c r="B9" s="87"/>
      <c r="C9" s="87"/>
      <c r="D9" s="87"/>
      <c r="E9" s="87"/>
      <c r="F9" s="87"/>
      <c r="G9" s="87"/>
      <c r="H9" s="87"/>
      <c r="I9" s="87"/>
      <c r="J9" s="48"/>
    </row>
    <row r="10" spans="1:10" s="47" customFormat="1" x14ac:dyDescent="0.25">
      <c r="A10" s="86" t="s">
        <v>168</v>
      </c>
      <c r="B10" s="86"/>
      <c r="C10" s="86"/>
      <c r="D10" s="86"/>
      <c r="E10" s="86"/>
      <c r="F10" s="86"/>
      <c r="G10" s="86"/>
      <c r="H10" s="86"/>
      <c r="I10" s="86"/>
      <c r="J10" s="48"/>
    </row>
    <row r="11" spans="1:10" s="47" customFormat="1" x14ac:dyDescent="0.25">
      <c r="A11" s="85"/>
      <c r="B11" s="85"/>
      <c r="C11" s="85"/>
      <c r="D11" s="85"/>
      <c r="E11" s="85"/>
      <c r="F11" s="85"/>
      <c r="G11" s="85"/>
      <c r="H11" s="85"/>
      <c r="I11" s="85"/>
      <c r="J11" s="48"/>
    </row>
    <row r="12" spans="1:10" s="47" customFormat="1" ht="30" customHeight="1" x14ac:dyDescent="0.25">
      <c r="A12" s="69" t="s">
        <v>169</v>
      </c>
      <c r="B12" s="69"/>
      <c r="C12" s="69"/>
      <c r="D12" s="69"/>
      <c r="E12" s="69"/>
      <c r="F12" s="69"/>
      <c r="G12" s="69"/>
      <c r="H12" s="69"/>
      <c r="I12" s="69"/>
      <c r="J12" s="48"/>
    </row>
    <row r="13" spans="1:10" x14ac:dyDescent="0.25">
      <c r="A13" s="85"/>
      <c r="B13" s="85"/>
      <c r="C13" s="85"/>
      <c r="D13" s="85"/>
      <c r="E13" s="85"/>
      <c r="F13" s="85"/>
      <c r="G13" s="85"/>
      <c r="H13" s="85"/>
      <c r="I13" s="85"/>
    </row>
    <row r="14" spans="1:10" ht="18" customHeight="1" thickBot="1" x14ac:dyDescent="0.3">
      <c r="A14" s="62" t="s">
        <v>155</v>
      </c>
      <c r="B14" s="62"/>
      <c r="C14" s="62"/>
      <c r="D14" s="62"/>
      <c r="E14" s="62"/>
      <c r="F14" s="62"/>
      <c r="G14" s="62"/>
      <c r="H14" s="62"/>
      <c r="I14" s="62"/>
    </row>
    <row r="15" spans="1:10" ht="30" customHeight="1" thickTop="1" x14ac:dyDescent="0.25">
      <c r="A15" s="63" t="s">
        <v>156</v>
      </c>
      <c r="B15" s="63"/>
      <c r="C15" s="63"/>
      <c r="D15" s="63"/>
      <c r="E15" s="63"/>
      <c r="F15" s="63"/>
      <c r="G15" s="63"/>
      <c r="H15" s="63"/>
      <c r="I15" s="63"/>
    </row>
    <row r="16" spans="1:10" x14ac:dyDescent="0.25">
      <c r="A16" s="60"/>
      <c r="B16" s="60"/>
      <c r="C16" s="65" t="s">
        <v>157</v>
      </c>
      <c r="D16" s="65"/>
      <c r="E16" s="60"/>
      <c r="F16" s="64" t="s">
        <v>158</v>
      </c>
      <c r="G16" s="64"/>
      <c r="H16" s="60"/>
      <c r="I16" s="60"/>
    </row>
    <row r="17" spans="1:9" ht="30" customHeight="1" x14ac:dyDescent="0.25">
      <c r="A17" s="61" t="s">
        <v>160</v>
      </c>
      <c r="B17" s="61"/>
      <c r="C17" s="61"/>
      <c r="D17" s="61"/>
      <c r="E17" s="61"/>
      <c r="F17" s="61"/>
      <c r="G17" s="61"/>
      <c r="H17" s="61"/>
      <c r="I17" s="61"/>
    </row>
    <row r="18" spans="1:9" x14ac:dyDescent="0.25">
      <c r="A18" s="61"/>
      <c r="B18" s="61"/>
      <c r="C18" s="61"/>
      <c r="D18" s="61"/>
      <c r="E18" s="61"/>
      <c r="F18" s="61"/>
      <c r="G18" s="61"/>
      <c r="H18" s="61"/>
      <c r="I18" s="61"/>
    </row>
    <row r="19" spans="1:9" ht="20.25" thickBot="1" x14ac:dyDescent="0.3">
      <c r="A19" s="62" t="s">
        <v>159</v>
      </c>
      <c r="B19" s="62"/>
      <c r="C19" s="62"/>
      <c r="D19" s="62"/>
      <c r="E19" s="62"/>
      <c r="F19" s="62"/>
      <c r="G19" s="62"/>
      <c r="H19" s="62"/>
      <c r="I19" s="62"/>
    </row>
    <row r="20" spans="1:9" ht="15.75" customHeight="1" thickTop="1" x14ac:dyDescent="0.25">
      <c r="A20" s="61"/>
      <c r="B20" s="61"/>
      <c r="C20" s="61"/>
      <c r="D20" s="61"/>
      <c r="E20" s="61"/>
      <c r="F20" s="61"/>
      <c r="G20" s="61"/>
      <c r="H20" s="61"/>
      <c r="I20" s="61"/>
    </row>
    <row r="21" spans="1:9" ht="18" thickBot="1" x14ac:dyDescent="0.3">
      <c r="A21" s="66" t="s">
        <v>152</v>
      </c>
      <c r="B21" s="66"/>
      <c r="C21" s="66"/>
      <c r="D21" s="66"/>
      <c r="E21" s="66"/>
      <c r="F21" s="66"/>
      <c r="G21" s="66"/>
      <c r="H21" s="66"/>
      <c r="I21" s="66"/>
    </row>
    <row r="22" spans="1:9" ht="18" customHeight="1" thickTop="1" x14ac:dyDescent="0.25">
      <c r="A22" s="63" t="s">
        <v>153</v>
      </c>
      <c r="B22" s="63"/>
      <c r="C22" s="63"/>
      <c r="D22" s="63"/>
      <c r="E22" s="63"/>
      <c r="F22" s="63"/>
      <c r="G22" s="63"/>
      <c r="H22" s="63"/>
      <c r="I22" s="63"/>
    </row>
    <row r="23" spans="1:9" ht="15.75" customHeight="1" x14ac:dyDescent="0.25">
      <c r="A23" s="61"/>
      <c r="B23" s="61"/>
      <c r="C23" s="61"/>
      <c r="D23" s="61"/>
      <c r="E23" s="61"/>
      <c r="F23" s="61"/>
      <c r="G23" s="61"/>
      <c r="H23" s="61"/>
      <c r="I23" s="61"/>
    </row>
    <row r="24" spans="1:9" ht="18" thickBot="1" x14ac:dyDescent="0.3">
      <c r="A24" s="66" t="s">
        <v>154</v>
      </c>
      <c r="B24" s="66"/>
      <c r="C24" s="66"/>
      <c r="D24" s="66"/>
      <c r="E24" s="66"/>
      <c r="F24" s="66"/>
      <c r="G24" s="66"/>
      <c r="H24" s="66"/>
      <c r="I24" s="66"/>
    </row>
    <row r="25" spans="1:9" ht="30" customHeight="1" thickTop="1" x14ac:dyDescent="0.25">
      <c r="A25" s="63" t="s">
        <v>161</v>
      </c>
      <c r="B25" s="63"/>
      <c r="C25" s="63"/>
      <c r="D25" s="63"/>
      <c r="E25" s="63"/>
      <c r="F25" s="63"/>
      <c r="G25" s="63"/>
      <c r="H25" s="63"/>
      <c r="I25" s="63"/>
    </row>
    <row r="26" spans="1:9" x14ac:dyDescent="0.25">
      <c r="A26" s="61"/>
      <c r="B26" s="61"/>
      <c r="C26" s="61"/>
      <c r="D26" s="61"/>
      <c r="E26" s="61"/>
      <c r="F26" s="61"/>
      <c r="G26" s="61"/>
      <c r="H26" s="61"/>
      <c r="I26" s="61"/>
    </row>
    <row r="27" spans="1:9" ht="18" thickBot="1" x14ac:dyDescent="0.3">
      <c r="A27" s="66" t="s">
        <v>162</v>
      </c>
      <c r="B27" s="66"/>
      <c r="C27" s="66"/>
      <c r="D27" s="66"/>
      <c r="E27" s="66"/>
      <c r="F27" s="66"/>
      <c r="G27" s="66"/>
      <c r="H27" s="66"/>
      <c r="I27" s="66"/>
    </row>
    <row r="28" spans="1:9" ht="30" customHeight="1" thickTop="1" x14ac:dyDescent="0.25">
      <c r="A28" s="61" t="s">
        <v>163</v>
      </c>
      <c r="B28" s="61"/>
      <c r="C28" s="61"/>
      <c r="D28" s="61"/>
      <c r="E28" s="61"/>
      <c r="F28" s="61"/>
      <c r="G28" s="61"/>
      <c r="H28" s="61"/>
      <c r="I28" s="61"/>
    </row>
    <row r="29" spans="1:9" x14ac:dyDescent="0.25">
      <c r="A29" s="61"/>
      <c r="B29" s="61"/>
      <c r="C29" s="61"/>
      <c r="D29" s="61"/>
      <c r="E29" s="61"/>
      <c r="F29" s="61"/>
      <c r="G29" s="61"/>
      <c r="H29" s="61"/>
      <c r="I29" s="61"/>
    </row>
    <row r="30" spans="1:9" x14ac:dyDescent="0.25">
      <c r="A30" s="61"/>
      <c r="B30" s="61"/>
      <c r="C30" s="61"/>
      <c r="D30" s="61"/>
      <c r="E30" s="61"/>
      <c r="F30" s="61"/>
      <c r="G30" s="61"/>
      <c r="H30" s="61"/>
      <c r="I30" s="61"/>
    </row>
    <row r="31" spans="1:9" x14ac:dyDescent="0.25">
      <c r="A31" s="61"/>
      <c r="B31" s="61"/>
      <c r="C31" s="61"/>
      <c r="D31" s="61"/>
      <c r="E31" s="61"/>
      <c r="F31" s="61"/>
      <c r="G31" s="61"/>
      <c r="H31" s="61"/>
      <c r="I31" s="61"/>
    </row>
    <row r="32" spans="1:9" x14ac:dyDescent="0.25">
      <c r="A32" s="61"/>
      <c r="B32" s="61"/>
      <c r="C32" s="61"/>
      <c r="D32" s="61"/>
      <c r="E32" s="61"/>
      <c r="F32" s="61"/>
      <c r="G32" s="61"/>
      <c r="H32" s="61"/>
      <c r="I32" s="61"/>
    </row>
    <row r="33" spans="1:9" x14ac:dyDescent="0.25">
      <c r="A33" s="61"/>
      <c r="B33" s="61"/>
      <c r="C33" s="61"/>
      <c r="D33" s="61"/>
      <c r="E33" s="61"/>
      <c r="F33" s="61"/>
      <c r="G33" s="61"/>
      <c r="H33" s="61"/>
      <c r="I33" s="61"/>
    </row>
    <row r="34" spans="1:9" x14ac:dyDescent="0.25">
      <c r="A34" s="61"/>
      <c r="B34" s="61"/>
      <c r="C34" s="61"/>
      <c r="D34" s="61"/>
      <c r="E34" s="61"/>
      <c r="F34" s="61"/>
      <c r="G34" s="61"/>
      <c r="H34" s="61"/>
      <c r="I34" s="61"/>
    </row>
    <row r="35" spans="1:9" x14ac:dyDescent="0.25">
      <c r="A35" s="61"/>
      <c r="B35" s="61"/>
      <c r="C35" s="61"/>
      <c r="D35" s="61"/>
      <c r="E35" s="61"/>
      <c r="F35" s="61"/>
      <c r="G35" s="61"/>
      <c r="H35" s="61"/>
      <c r="I35" s="61"/>
    </row>
    <row r="36" spans="1:9" x14ac:dyDescent="0.25">
      <c r="A36" s="61"/>
      <c r="B36" s="61"/>
      <c r="C36" s="61"/>
      <c r="D36" s="61"/>
      <c r="E36" s="61"/>
      <c r="F36" s="61"/>
      <c r="G36" s="61"/>
      <c r="H36" s="61"/>
      <c r="I36" s="61"/>
    </row>
    <row r="37" spans="1:9" x14ac:dyDescent="0.25">
      <c r="A37" s="61"/>
      <c r="B37" s="61"/>
      <c r="C37" s="61"/>
      <c r="D37" s="61"/>
      <c r="E37" s="61"/>
      <c r="F37" s="61"/>
      <c r="G37" s="61"/>
      <c r="H37" s="61"/>
      <c r="I37" s="61"/>
    </row>
    <row r="38" spans="1:9" x14ac:dyDescent="0.25">
      <c r="A38" s="61"/>
      <c r="B38" s="61"/>
      <c r="C38" s="61"/>
      <c r="D38" s="61"/>
      <c r="E38" s="61"/>
      <c r="F38" s="61"/>
      <c r="G38" s="61"/>
      <c r="H38" s="61"/>
      <c r="I38" s="61"/>
    </row>
    <row r="39" spans="1:9" x14ac:dyDescent="0.25">
      <c r="A39" s="61"/>
      <c r="B39" s="61"/>
      <c r="C39" s="61"/>
      <c r="D39" s="61"/>
      <c r="E39" s="61"/>
      <c r="F39" s="61"/>
      <c r="G39" s="61"/>
      <c r="H39" s="61"/>
      <c r="I39" s="61"/>
    </row>
    <row r="40" spans="1:9" x14ac:dyDescent="0.25">
      <c r="A40" s="61"/>
      <c r="B40" s="61"/>
      <c r="C40" s="61"/>
      <c r="D40" s="61"/>
      <c r="E40" s="61"/>
      <c r="F40" s="61"/>
      <c r="G40" s="61"/>
      <c r="H40" s="61"/>
      <c r="I40" s="61"/>
    </row>
    <row r="41" spans="1:9" x14ac:dyDescent="0.25">
      <c r="A41" s="61"/>
      <c r="B41" s="61"/>
      <c r="C41" s="61"/>
      <c r="D41" s="61"/>
      <c r="E41" s="61"/>
      <c r="F41" s="61"/>
      <c r="G41" s="61"/>
      <c r="H41" s="61"/>
      <c r="I41" s="61"/>
    </row>
    <row r="42" spans="1:9" x14ac:dyDescent="0.25">
      <c r="A42" s="61"/>
      <c r="B42" s="61"/>
      <c r="C42" s="61"/>
      <c r="D42" s="61"/>
      <c r="E42" s="61"/>
      <c r="F42" s="61"/>
      <c r="G42" s="61"/>
      <c r="H42" s="61"/>
      <c r="I42" s="61"/>
    </row>
    <row r="43" spans="1:9" x14ac:dyDescent="0.25">
      <c r="A43" s="61"/>
      <c r="B43" s="61"/>
      <c r="C43" s="61"/>
      <c r="D43" s="61"/>
      <c r="E43" s="61"/>
      <c r="F43" s="61"/>
      <c r="G43" s="61"/>
      <c r="H43" s="61"/>
      <c r="I43" s="61"/>
    </row>
    <row r="44" spans="1:9" x14ac:dyDescent="0.25">
      <c r="A44" s="61"/>
      <c r="B44" s="61"/>
      <c r="C44" s="61"/>
      <c r="D44" s="61"/>
      <c r="E44" s="61"/>
      <c r="F44" s="61"/>
      <c r="G44" s="61"/>
      <c r="H44" s="61"/>
      <c r="I44" s="61"/>
    </row>
    <row r="45" spans="1:9" x14ac:dyDescent="0.25">
      <c r="A45" s="61"/>
      <c r="B45" s="61"/>
      <c r="C45" s="61"/>
      <c r="D45" s="61"/>
      <c r="E45" s="61"/>
      <c r="F45" s="61"/>
      <c r="G45" s="61"/>
      <c r="H45" s="61"/>
      <c r="I45" s="61"/>
    </row>
    <row r="46" spans="1:9" x14ac:dyDescent="0.25">
      <c r="A46" s="61"/>
      <c r="B46" s="61"/>
      <c r="C46" s="61"/>
      <c r="D46" s="61"/>
      <c r="E46" s="61"/>
      <c r="F46" s="61"/>
      <c r="G46" s="61"/>
      <c r="H46" s="61"/>
      <c r="I46" s="61"/>
    </row>
    <row r="47" spans="1:9" x14ac:dyDescent="0.25">
      <c r="A47" s="61"/>
      <c r="B47" s="61"/>
      <c r="C47" s="61"/>
      <c r="D47" s="61"/>
      <c r="E47" s="61"/>
      <c r="F47" s="61"/>
      <c r="G47" s="61"/>
      <c r="H47" s="61"/>
      <c r="I47" s="61"/>
    </row>
    <row r="48" spans="1:9" x14ac:dyDescent="0.25">
      <c r="A48" s="61"/>
      <c r="B48" s="61"/>
      <c r="C48" s="61"/>
      <c r="D48" s="61"/>
      <c r="E48" s="61"/>
      <c r="F48" s="61"/>
      <c r="G48" s="61"/>
      <c r="H48" s="61"/>
      <c r="I48" s="61"/>
    </row>
    <row r="49" spans="1:9" x14ac:dyDescent="0.25">
      <c r="A49" s="61"/>
      <c r="B49" s="61"/>
      <c r="C49" s="61"/>
      <c r="D49" s="61"/>
      <c r="E49" s="61"/>
      <c r="F49" s="61"/>
      <c r="G49" s="61"/>
      <c r="H49" s="61"/>
      <c r="I49" s="61"/>
    </row>
    <row r="50" spans="1:9" x14ac:dyDescent="0.25">
      <c r="A50" s="61"/>
      <c r="B50" s="61"/>
      <c r="C50" s="61"/>
      <c r="D50" s="61"/>
      <c r="E50" s="61"/>
      <c r="F50" s="61"/>
      <c r="G50" s="61"/>
      <c r="H50" s="61"/>
      <c r="I50" s="61"/>
    </row>
    <row r="51" spans="1:9" x14ac:dyDescent="0.25">
      <c r="A51" s="61"/>
      <c r="B51" s="61"/>
      <c r="C51" s="61"/>
      <c r="D51" s="61"/>
      <c r="E51" s="61"/>
      <c r="F51" s="61"/>
      <c r="G51" s="61"/>
      <c r="H51" s="61"/>
      <c r="I51" s="61"/>
    </row>
    <row r="52" spans="1:9" x14ac:dyDescent="0.25">
      <c r="A52" s="61"/>
      <c r="B52" s="61"/>
      <c r="C52" s="61"/>
      <c r="D52" s="61"/>
      <c r="E52" s="61"/>
      <c r="F52" s="61"/>
      <c r="G52" s="61"/>
      <c r="H52" s="61"/>
      <c r="I52" s="61"/>
    </row>
    <row r="53" spans="1:9" x14ac:dyDescent="0.25">
      <c r="A53" s="61"/>
      <c r="B53" s="61"/>
      <c r="C53" s="61"/>
      <c r="D53" s="61"/>
      <c r="E53" s="61"/>
      <c r="F53" s="61"/>
      <c r="G53" s="61"/>
      <c r="H53" s="61"/>
      <c r="I53" s="61"/>
    </row>
    <row r="54" spans="1:9" x14ac:dyDescent="0.25">
      <c r="A54" s="61"/>
      <c r="B54" s="61"/>
      <c r="C54" s="61"/>
      <c r="D54" s="61"/>
      <c r="E54" s="61"/>
      <c r="F54" s="61"/>
      <c r="G54" s="61"/>
      <c r="H54" s="61"/>
      <c r="I54" s="61"/>
    </row>
    <row r="55" spans="1:9" x14ac:dyDescent="0.25">
      <c r="A55" s="61"/>
      <c r="B55" s="61"/>
      <c r="C55" s="61"/>
      <c r="D55" s="61"/>
      <c r="E55" s="61"/>
      <c r="F55" s="61"/>
      <c r="G55" s="61"/>
      <c r="H55" s="61"/>
      <c r="I55" s="61"/>
    </row>
    <row r="56" spans="1:9" x14ac:dyDescent="0.25">
      <c r="A56" s="61"/>
      <c r="B56" s="61"/>
      <c r="C56" s="61"/>
      <c r="D56" s="61"/>
      <c r="E56" s="61"/>
      <c r="F56" s="61"/>
      <c r="G56" s="61"/>
      <c r="H56" s="61"/>
      <c r="I56" s="61"/>
    </row>
    <row r="57" spans="1:9" x14ac:dyDescent="0.25">
      <c r="A57" s="61"/>
      <c r="B57" s="61"/>
      <c r="C57" s="61"/>
      <c r="D57" s="61"/>
      <c r="E57" s="61"/>
      <c r="F57" s="61"/>
      <c r="G57" s="61"/>
      <c r="H57" s="61"/>
      <c r="I57" s="61"/>
    </row>
    <row r="58" spans="1:9" x14ac:dyDescent="0.25">
      <c r="A58" s="61"/>
      <c r="B58" s="61"/>
      <c r="C58" s="61"/>
      <c r="D58" s="61"/>
      <c r="E58" s="61"/>
      <c r="F58" s="61"/>
      <c r="G58" s="61"/>
      <c r="H58" s="61"/>
      <c r="I58" s="61"/>
    </row>
    <row r="59" spans="1:9" x14ac:dyDescent="0.25">
      <c r="A59" s="61"/>
      <c r="B59" s="61"/>
      <c r="C59" s="61"/>
      <c r="D59" s="61"/>
      <c r="E59" s="61"/>
      <c r="F59" s="61"/>
      <c r="G59" s="61"/>
      <c r="H59" s="61"/>
      <c r="I59" s="61"/>
    </row>
    <row r="60" spans="1:9" x14ac:dyDescent="0.25">
      <c r="A60" s="61"/>
      <c r="B60" s="61"/>
      <c r="C60" s="61"/>
      <c r="D60" s="61"/>
      <c r="E60" s="61"/>
      <c r="F60" s="61"/>
      <c r="G60" s="61"/>
      <c r="H60" s="61"/>
      <c r="I60" s="61"/>
    </row>
    <row r="61" spans="1:9" x14ac:dyDescent="0.25">
      <c r="A61" s="61"/>
      <c r="B61" s="61"/>
      <c r="C61" s="61"/>
      <c r="D61" s="61"/>
      <c r="E61" s="61"/>
      <c r="F61" s="61"/>
      <c r="G61" s="61"/>
      <c r="H61" s="61"/>
      <c r="I61" s="61"/>
    </row>
    <row r="62" spans="1:9" x14ac:dyDescent="0.25">
      <c r="A62" s="61"/>
      <c r="B62" s="61"/>
      <c r="C62" s="61"/>
      <c r="D62" s="61"/>
      <c r="E62" s="61"/>
      <c r="F62" s="61"/>
      <c r="G62" s="61"/>
      <c r="H62" s="61"/>
      <c r="I62" s="61"/>
    </row>
    <row r="63" spans="1:9" x14ac:dyDescent="0.25">
      <c r="A63" s="61"/>
      <c r="B63" s="61"/>
      <c r="C63" s="61"/>
      <c r="D63" s="61"/>
      <c r="E63" s="61"/>
      <c r="F63" s="61"/>
      <c r="G63" s="61"/>
      <c r="H63" s="61"/>
      <c r="I63" s="61"/>
    </row>
    <row r="64" spans="1:9" x14ac:dyDescent="0.25">
      <c r="A64" s="61"/>
      <c r="B64" s="61"/>
      <c r="C64" s="61"/>
      <c r="D64" s="61"/>
      <c r="E64" s="61"/>
      <c r="F64" s="61"/>
      <c r="G64" s="61"/>
      <c r="H64" s="61"/>
      <c r="I64" s="61"/>
    </row>
    <row r="65" spans="1:9" x14ac:dyDescent="0.25">
      <c r="A65" s="61"/>
      <c r="B65" s="61"/>
      <c r="C65" s="61"/>
      <c r="D65" s="61"/>
      <c r="E65" s="61"/>
      <c r="F65" s="61"/>
      <c r="G65" s="61"/>
      <c r="H65" s="61"/>
      <c r="I65" s="61"/>
    </row>
    <row r="66" spans="1:9" x14ac:dyDescent="0.25">
      <c r="A66" s="61"/>
      <c r="B66" s="61"/>
      <c r="C66" s="61"/>
      <c r="D66" s="61"/>
      <c r="E66" s="61"/>
      <c r="F66" s="61"/>
      <c r="G66" s="61"/>
      <c r="H66" s="61"/>
      <c r="I66" s="61"/>
    </row>
    <row r="67" spans="1:9" x14ac:dyDescent="0.25">
      <c r="A67" s="61"/>
      <c r="B67" s="61"/>
      <c r="C67" s="61"/>
      <c r="D67" s="61"/>
      <c r="E67" s="61"/>
      <c r="F67" s="61"/>
      <c r="G67" s="61"/>
      <c r="H67" s="61"/>
      <c r="I67" s="61"/>
    </row>
    <row r="68" spans="1:9" x14ac:dyDescent="0.25">
      <c r="A68" s="61"/>
      <c r="B68" s="61"/>
      <c r="C68" s="61"/>
      <c r="D68" s="61"/>
      <c r="E68" s="61"/>
      <c r="F68" s="61"/>
      <c r="G68" s="61"/>
      <c r="H68" s="61"/>
      <c r="I68" s="61"/>
    </row>
  </sheetData>
  <mergeCells count="69">
    <mergeCell ref="A6:I6"/>
    <mergeCell ref="A11:I11"/>
    <mergeCell ref="A12:I12"/>
    <mergeCell ref="A24:I24"/>
    <mergeCell ref="A25:I25"/>
    <mergeCell ref="A1:I1"/>
    <mergeCell ref="A4:I4"/>
    <mergeCell ref="A20:I20"/>
    <mergeCell ref="A23:I23"/>
    <mergeCell ref="A2:I2"/>
    <mergeCell ref="A3:I3"/>
    <mergeCell ref="A5:I5"/>
    <mergeCell ref="A19:I19"/>
    <mergeCell ref="A21:I21"/>
    <mergeCell ref="A22:I22"/>
    <mergeCell ref="A10:I10"/>
    <mergeCell ref="A7:I7"/>
    <mergeCell ref="A8:I8"/>
    <mergeCell ref="A9:I9"/>
    <mergeCell ref="A37:I37"/>
    <mergeCell ref="A26:I26"/>
    <mergeCell ref="A27:I27"/>
    <mergeCell ref="A28:I28"/>
    <mergeCell ref="A29:I29"/>
    <mergeCell ref="A30:I30"/>
    <mergeCell ref="A31:I31"/>
    <mergeCell ref="A32:I32"/>
    <mergeCell ref="A33:I33"/>
    <mergeCell ref="A34:I34"/>
    <mergeCell ref="A35:I35"/>
    <mergeCell ref="A36:I36"/>
    <mergeCell ref="A49:I49"/>
    <mergeCell ref="A38:I38"/>
    <mergeCell ref="A39:I39"/>
    <mergeCell ref="A40:I40"/>
    <mergeCell ref="A41:I41"/>
    <mergeCell ref="A42:I42"/>
    <mergeCell ref="A43:I43"/>
    <mergeCell ref="A44:I44"/>
    <mergeCell ref="A45:I45"/>
    <mergeCell ref="A46:I46"/>
    <mergeCell ref="A47:I47"/>
    <mergeCell ref="A48:I48"/>
    <mergeCell ref="A58:I58"/>
    <mergeCell ref="A59:I59"/>
    <mergeCell ref="A60:I60"/>
    <mergeCell ref="A61:I61"/>
    <mergeCell ref="A50:I50"/>
    <mergeCell ref="A51:I51"/>
    <mergeCell ref="A52:I52"/>
    <mergeCell ref="A53:I53"/>
    <mergeCell ref="A54:I54"/>
    <mergeCell ref="A55:I55"/>
    <mergeCell ref="A68:I68"/>
    <mergeCell ref="A13:I13"/>
    <mergeCell ref="A14:I14"/>
    <mergeCell ref="A15:I15"/>
    <mergeCell ref="A18:I18"/>
    <mergeCell ref="F16:G16"/>
    <mergeCell ref="C16:D16"/>
    <mergeCell ref="A17:I17"/>
    <mergeCell ref="A62:I62"/>
    <mergeCell ref="A63:I63"/>
    <mergeCell ref="A64:I64"/>
    <mergeCell ref="A65:I65"/>
    <mergeCell ref="A66:I66"/>
    <mergeCell ref="A67:I67"/>
    <mergeCell ref="A56:I56"/>
    <mergeCell ref="A57:I5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
  <sheetViews>
    <sheetView tabSelected="1" topLeftCell="D1" workbookViewId="0">
      <selection activeCell="J6" sqref="J6"/>
    </sheetView>
  </sheetViews>
  <sheetFormatPr defaultRowHeight="15" x14ac:dyDescent="0.25"/>
  <cols>
    <col min="1" max="1" width="12.140625" customWidth="1"/>
    <col min="2" max="2" width="26.5703125" customWidth="1"/>
    <col min="3" max="3" width="26.5703125" style="11" customWidth="1"/>
    <col min="4" max="4" width="26.5703125" style="38" customWidth="1"/>
    <col min="5" max="5" width="4.28515625" customWidth="1"/>
    <col min="6" max="6" width="16.85546875" customWidth="1"/>
    <col min="7" max="7" width="21.140625" customWidth="1"/>
    <col min="8" max="8" width="14.7109375" style="38" customWidth="1"/>
    <col min="9" max="9" width="20.140625" customWidth="1"/>
    <col min="10" max="10" width="21.7109375" customWidth="1"/>
    <col min="11" max="11" width="18.7109375" style="11" customWidth="1"/>
    <col min="12" max="12" width="26.7109375" customWidth="1"/>
    <col min="13" max="13" width="14.85546875" style="38" customWidth="1"/>
    <col min="14" max="14" width="11" customWidth="1"/>
    <col min="15" max="15" width="11.42578125" customWidth="1"/>
    <col min="16" max="16" width="21.5703125" customWidth="1"/>
    <col min="17" max="17" width="21" customWidth="1"/>
    <col min="18" max="18" width="22.5703125" customWidth="1"/>
    <col min="19" max="19" width="23" style="11" customWidth="1"/>
    <col min="20" max="20" width="18.7109375" customWidth="1"/>
    <col min="21" max="21" width="28.85546875" customWidth="1"/>
  </cols>
  <sheetData>
    <row r="1" spans="1:21" s="11" customFormat="1" ht="20.25" thickBot="1" x14ac:dyDescent="0.35">
      <c r="A1" s="72" t="s">
        <v>56</v>
      </c>
      <c r="B1" s="72"/>
      <c r="C1" s="72"/>
      <c r="F1" s="38"/>
      <c r="K1" s="38"/>
    </row>
    <row r="2" spans="1:21" s="12" customFormat="1" ht="60" customHeight="1" thickTop="1" x14ac:dyDescent="0.25">
      <c r="A2" s="73" t="s">
        <v>146</v>
      </c>
      <c r="B2" s="73"/>
      <c r="C2" s="73"/>
      <c r="F2" s="38"/>
      <c r="K2" s="38"/>
    </row>
    <row r="3" spans="1:21" s="11" customFormat="1" ht="22.5" customHeight="1" x14ac:dyDescent="0.25">
      <c r="D3" s="38"/>
      <c r="H3" s="38"/>
      <c r="M3" s="38"/>
    </row>
    <row r="4" spans="1:21" ht="15.75" thickBot="1" x14ac:dyDescent="0.3">
      <c r="A4" s="71" t="s">
        <v>50</v>
      </c>
      <c r="B4" s="71"/>
      <c r="C4" s="28" t="s">
        <v>107</v>
      </c>
      <c r="D4" s="28" t="s">
        <v>72</v>
      </c>
      <c r="F4" t="s">
        <v>52</v>
      </c>
      <c r="G4" s="8" t="s">
        <v>39</v>
      </c>
      <c r="H4" s="8" t="s">
        <v>137</v>
      </c>
      <c r="I4" t="s">
        <v>60</v>
      </c>
      <c r="J4" t="s">
        <v>61</v>
      </c>
      <c r="K4" s="11" t="s">
        <v>59</v>
      </c>
      <c r="L4" t="s">
        <v>53</v>
      </c>
      <c r="M4" s="38" t="s">
        <v>139</v>
      </c>
      <c r="N4" t="s">
        <v>31</v>
      </c>
      <c r="O4" t="s">
        <v>40</v>
      </c>
      <c r="P4" t="s">
        <v>43</v>
      </c>
      <c r="Q4" t="s">
        <v>41</v>
      </c>
      <c r="R4" t="s">
        <v>42</v>
      </c>
      <c r="S4" s="11" t="s">
        <v>62</v>
      </c>
      <c r="T4" t="s">
        <v>140</v>
      </c>
      <c r="U4" t="s">
        <v>144</v>
      </c>
    </row>
    <row r="5" spans="1:21" x14ac:dyDescent="0.25">
      <c r="A5" s="52">
        <f>MaterialsTable[[#Totals],[carbon contribution]]/MaterialsTable[[#Totals],[nitrogen contribution]]</f>
        <v>39.585185185185189</v>
      </c>
      <c r="B5" s="7" t="s">
        <v>44</v>
      </c>
      <c r="C5" s="32" t="s">
        <v>108</v>
      </c>
      <c r="D5" s="32"/>
      <c r="F5" s="10" t="s">
        <v>32</v>
      </c>
      <c r="G5" s="59">
        <v>600</v>
      </c>
      <c r="H5" s="59">
        <f>4*8*3*365.25*5/7/27</f>
        <v>927.61904761904759</v>
      </c>
      <c r="I5" s="2">
        <v>0.69440000000000002</v>
      </c>
      <c r="J5" s="2">
        <v>1.4E-3</v>
      </c>
      <c r="K5" s="2">
        <v>0</v>
      </c>
      <c r="L5" s="57">
        <v>1</v>
      </c>
      <c r="M5" s="51">
        <f>MaterialsTable[[#This Row],[yd³/yr intake]]*MaterialsTable[[#This Row],[lbs/yd³ bulk density]]/2000</f>
        <v>278.28571428571428</v>
      </c>
      <c r="N5" s="36">
        <f>IFERROR(MaterialsTable[dry carbon content]/MaterialsTable[dry nitrogen content],"")</f>
        <v>496</v>
      </c>
      <c r="O5" s="37">
        <f>MaterialsTable[[#This Row],[relative weight in mixture]]/SUM(MaterialsTable[relative weight in mixture])</f>
        <v>0.1111111111111111</v>
      </c>
      <c r="P5" s="36">
        <f>MaterialsTable[[#This Row],[lbs/yd³ bulk density]]*MaterialsTable[[#This Row],[weight %]]</f>
        <v>66.666666666666657</v>
      </c>
      <c r="Q5" s="3">
        <f>MaterialsTable[[#This Row],[dry carbon content]]*MaterialsTable[[#This Row],[weight %]]*(1-MaterialsTable[[#This Row],[moisture content]])</f>
        <v>7.7155555555555547E-2</v>
      </c>
      <c r="R5" s="84">
        <f>MaterialsTable[[#This Row],[dry nitrogen content]]*MaterialsTable[[#This Row],[weight %]]*(1-MaterialsTable[[#This Row],[moisture content]])</f>
        <v>1.5555555555555554E-4</v>
      </c>
      <c r="S5" s="37">
        <f>MaterialsTable[[#This Row],[moisture content]]*MaterialsTable[[#This Row],[weight %]]</f>
        <v>0</v>
      </c>
      <c r="T5" s="36">
        <f>IF(MaterialsTable[[#This Row],[ton/yr intake]]=0," ",MaterialsTable[[#This Row],[ton/yr intake]]/MaterialsTable[[#This Row],[weight %]])</f>
        <v>2504.5714285714284</v>
      </c>
      <c r="U5" s="36">
        <f>MaterialsTable[[#This Row],[weight %]]*MaterialsTable[[#Totals],[weight ratio limit]]</f>
        <v>40.127499999999998</v>
      </c>
    </row>
    <row r="6" spans="1:21" x14ac:dyDescent="0.25">
      <c r="F6" s="10" t="s">
        <v>33</v>
      </c>
      <c r="G6" s="59">
        <v>1215</v>
      </c>
      <c r="H6" s="59">
        <f>64*50*365.25/MaterialsTable[[#This Row],[lbs/yd³ bulk density]]</f>
        <v>961.97530864197529</v>
      </c>
      <c r="I6" s="2">
        <v>0.81</v>
      </c>
      <c r="J6" s="2">
        <v>1.7999999999999999E-2</v>
      </c>
      <c r="K6" s="2">
        <v>0.7</v>
      </c>
      <c r="L6" s="57">
        <v>4</v>
      </c>
      <c r="M6" s="51">
        <f>MaterialsTable[[#This Row],[yd³/yr intake]]*MaterialsTable[[#This Row],[lbs/yd³ bulk density]]/2000</f>
        <v>584.4</v>
      </c>
      <c r="N6" s="36">
        <f>IFERROR(MaterialsTable[dry carbon content]/MaterialsTable[dry nitrogen content],"")</f>
        <v>45.000000000000007</v>
      </c>
      <c r="O6" s="37">
        <f>MaterialsTable[[#This Row],[relative weight in mixture]]/SUM(MaterialsTable[relative weight in mixture])</f>
        <v>0.44444444444444442</v>
      </c>
      <c r="P6" s="36">
        <f>MaterialsTable[[#This Row],[lbs/yd³ bulk density]]*MaterialsTable[[#This Row],[weight %]]</f>
        <v>540</v>
      </c>
      <c r="Q6" s="3">
        <f>MaterialsTable[[#This Row],[dry carbon content]]*MaterialsTable[[#This Row],[weight %]]*(1-MaterialsTable[[#This Row],[moisture content]])</f>
        <v>0.10800000000000001</v>
      </c>
      <c r="R6" s="84">
        <f>MaterialsTable[[#This Row],[dry nitrogen content]]*MaterialsTable[[#This Row],[weight %]]*(1-MaterialsTable[[#This Row],[moisture content]])</f>
        <v>2.3999999999999998E-3</v>
      </c>
      <c r="S6" s="37">
        <f>MaterialsTable[[#This Row],[moisture content]]*MaterialsTable[[#This Row],[weight %]]</f>
        <v>0.31111111111111106</v>
      </c>
      <c r="T6" s="36">
        <f>IF(MaterialsTable[[#This Row],[ton/yr intake]]=0," ",MaterialsTable[[#This Row],[ton/yr intake]]/MaterialsTable[[#This Row],[weight %]])</f>
        <v>1314.9</v>
      </c>
      <c r="U6" s="36">
        <f>MaterialsTable[[#This Row],[weight %]]*MaterialsTable[[#Totals],[weight ratio limit]]</f>
        <v>160.51</v>
      </c>
    </row>
    <row r="7" spans="1:21" x14ac:dyDescent="0.25">
      <c r="A7" s="36">
        <f>MaterialsTable[[#Totals],[density contribution]]</f>
        <v>1228.8888888888887</v>
      </c>
      <c r="B7" s="7" t="s">
        <v>45</v>
      </c>
      <c r="C7" s="32" t="s">
        <v>120</v>
      </c>
      <c r="D7" s="32"/>
      <c r="F7" s="10" t="s">
        <v>34</v>
      </c>
      <c r="G7" s="59">
        <v>1400</v>
      </c>
      <c r="H7" s="59">
        <f>AVERAGE(218,240.6)</f>
        <v>229.3</v>
      </c>
      <c r="I7" s="2">
        <v>0.38</v>
      </c>
      <c r="J7" s="2">
        <v>2.5000000000000001E-2</v>
      </c>
      <c r="K7" s="2">
        <v>0.69</v>
      </c>
      <c r="L7" s="57">
        <v>4</v>
      </c>
      <c r="M7" s="51">
        <f>MaterialsTable[[#This Row],[yd³/yr intake]]*MaterialsTable[[#This Row],[lbs/yd³ bulk density]]/2000</f>
        <v>160.51</v>
      </c>
      <c r="N7" s="36">
        <f>IFERROR(MaterialsTable[dry carbon content]/MaterialsTable[dry nitrogen content],"")</f>
        <v>15.2</v>
      </c>
      <c r="O7" s="37">
        <f>MaterialsTable[[#This Row],[relative weight in mixture]]/SUM(MaterialsTable[relative weight in mixture])</f>
        <v>0.44444444444444442</v>
      </c>
      <c r="P7" s="36">
        <f>MaterialsTable[[#This Row],[lbs/yd³ bulk density]]*MaterialsTable[[#This Row],[weight %]]</f>
        <v>622.22222222222217</v>
      </c>
      <c r="Q7" s="3">
        <f>MaterialsTable[[#This Row],[dry carbon content]]*MaterialsTable[[#This Row],[weight %]]*(1-MaterialsTable[[#This Row],[moisture content]])</f>
        <v>5.2355555555555565E-2</v>
      </c>
      <c r="R7" s="84">
        <f>MaterialsTable[[#This Row],[dry nitrogen content]]*MaterialsTable[[#This Row],[weight %]]*(1-MaterialsTable[[#This Row],[moisture content]])</f>
        <v>3.4444444444444453E-3</v>
      </c>
      <c r="S7" s="37">
        <f>MaterialsTable[[#This Row],[moisture content]]*MaterialsTable[[#This Row],[weight %]]</f>
        <v>0.30666666666666664</v>
      </c>
      <c r="T7" s="36">
        <f>IF(MaterialsTable[[#This Row],[ton/yr intake]]=0," ",MaterialsTable[[#This Row],[ton/yr intake]]/MaterialsTable[[#This Row],[weight %]])</f>
        <v>361.14749999999998</v>
      </c>
      <c r="U7" s="36">
        <f>MaterialsTable[[#This Row],[weight %]]*MaterialsTable[[#Totals],[weight ratio limit]]</f>
        <v>160.51</v>
      </c>
    </row>
    <row r="8" spans="1:21" x14ac:dyDescent="0.25">
      <c r="F8" s="10"/>
      <c r="G8" s="59"/>
      <c r="H8" s="59"/>
      <c r="I8" s="2"/>
      <c r="J8" s="2"/>
      <c r="K8" s="2"/>
      <c r="L8" s="57"/>
      <c r="M8" s="51">
        <f>MaterialsTable[[#This Row],[yd³/yr intake]]*MaterialsTable[[#This Row],[lbs/yd³ bulk density]]/2000</f>
        <v>0</v>
      </c>
      <c r="N8" s="36" t="str">
        <f>IFERROR(MaterialsTable[dry carbon content]/MaterialsTable[dry nitrogen content],"")</f>
        <v/>
      </c>
      <c r="O8" s="37">
        <f>MaterialsTable[[#This Row],[relative weight in mixture]]/SUM(MaterialsTable[relative weight in mixture])</f>
        <v>0</v>
      </c>
      <c r="P8" s="36">
        <f>MaterialsTable[[#This Row],[lbs/yd³ bulk density]]*MaterialsTable[[#This Row],[weight %]]</f>
        <v>0</v>
      </c>
      <c r="Q8" s="3">
        <f>MaterialsTable[[#This Row],[dry carbon content]]*MaterialsTable[[#This Row],[weight %]]*(1-MaterialsTable[[#This Row],[moisture content]])</f>
        <v>0</v>
      </c>
      <c r="R8" s="84">
        <f>MaterialsTable[[#This Row],[dry nitrogen content]]*MaterialsTable[[#This Row],[weight %]]*(1-MaterialsTable[[#This Row],[moisture content]])</f>
        <v>0</v>
      </c>
      <c r="S8" s="37">
        <f>MaterialsTable[[#This Row],[moisture content]]*MaterialsTable[[#This Row],[weight %]]</f>
        <v>0</v>
      </c>
      <c r="T8" s="36" t="str">
        <f>IF(MaterialsTable[[#This Row],[ton/yr intake]]=0," ",MaterialsTable[[#This Row],[ton/yr intake]]/MaterialsTable[[#This Row],[weight %]])</f>
        <v xml:space="preserve"> </v>
      </c>
      <c r="U8" s="36">
        <f>MaterialsTable[[#This Row],[weight %]]*MaterialsTable[[#Totals],[weight ratio limit]]</f>
        <v>0</v>
      </c>
    </row>
    <row r="9" spans="1:21" x14ac:dyDescent="0.25">
      <c r="A9" s="9">
        <v>0.65</v>
      </c>
      <c r="B9" s="13" t="s">
        <v>64</v>
      </c>
      <c r="C9" s="32" t="s">
        <v>109</v>
      </c>
      <c r="D9" s="70" t="s">
        <v>142</v>
      </c>
      <c r="E9" s="8"/>
      <c r="F9" s="10"/>
      <c r="G9" s="59"/>
      <c r="H9" s="59"/>
      <c r="I9" s="2"/>
      <c r="J9" s="2"/>
      <c r="K9" s="2"/>
      <c r="L9" s="57"/>
      <c r="M9" s="51">
        <f>MaterialsTable[[#This Row],[yd³/yr intake]]*MaterialsTable[[#This Row],[lbs/yd³ bulk density]]/2000</f>
        <v>0</v>
      </c>
      <c r="N9" s="36" t="str">
        <f>IFERROR(MaterialsTable[dry carbon content]/MaterialsTable[dry nitrogen content],"")</f>
        <v/>
      </c>
      <c r="O9" s="37">
        <f>MaterialsTable[[#This Row],[relative weight in mixture]]/SUM(MaterialsTable[relative weight in mixture])</f>
        <v>0</v>
      </c>
      <c r="P9" s="36">
        <f>MaterialsTable[[#This Row],[lbs/yd³ bulk density]]*MaterialsTable[[#This Row],[weight %]]</f>
        <v>0</v>
      </c>
      <c r="Q9" s="3">
        <f>MaterialsTable[[#This Row],[dry carbon content]]*MaterialsTable[[#This Row],[weight %]]*(1-MaterialsTable[[#This Row],[moisture content]])</f>
        <v>0</v>
      </c>
      <c r="R9" s="84">
        <f>MaterialsTable[[#This Row],[dry nitrogen content]]*MaterialsTable[[#This Row],[weight %]]*(1-MaterialsTable[[#This Row],[moisture content]])</f>
        <v>0</v>
      </c>
      <c r="S9" s="37">
        <f>MaterialsTable[[#This Row],[moisture content]]*MaterialsTable[[#This Row],[weight %]]</f>
        <v>0</v>
      </c>
      <c r="T9" s="36" t="str">
        <f>IF(MaterialsTable[[#This Row],[ton/yr intake]]=0," ",MaterialsTable[[#This Row],[ton/yr intake]]/MaterialsTable[[#This Row],[weight %]])</f>
        <v xml:space="preserve"> </v>
      </c>
      <c r="U9" s="36">
        <f>MaterialsTable[[#This Row],[weight %]]*MaterialsTable[[#Totals],[weight ratio limit]]</f>
        <v>0</v>
      </c>
    </row>
    <row r="10" spans="1:21" x14ac:dyDescent="0.25">
      <c r="A10" s="6">
        <f>MaterialsTable[[#Totals],[moisture contribution]]</f>
        <v>0.61777777777777776</v>
      </c>
      <c r="B10" s="7" t="s">
        <v>63</v>
      </c>
      <c r="D10" s="70"/>
      <c r="E10" s="8"/>
      <c r="F10" s="10"/>
      <c r="G10" s="59"/>
      <c r="H10" s="59"/>
      <c r="I10" s="2"/>
      <c r="J10" s="2"/>
      <c r="K10" s="2"/>
      <c r="L10" s="57"/>
      <c r="M10" s="51">
        <f>MaterialsTable[[#This Row],[yd³/yr intake]]*MaterialsTable[[#This Row],[lbs/yd³ bulk density]]/2000</f>
        <v>0</v>
      </c>
      <c r="N10" s="36" t="str">
        <f>IFERROR(MaterialsTable[dry carbon content]/MaterialsTable[dry nitrogen content],"")</f>
        <v/>
      </c>
      <c r="O10" s="37">
        <f>MaterialsTable[[#This Row],[relative weight in mixture]]/SUM(MaterialsTable[relative weight in mixture])</f>
        <v>0</v>
      </c>
      <c r="P10" s="36">
        <f>MaterialsTable[[#This Row],[lbs/yd³ bulk density]]*MaterialsTable[[#This Row],[weight %]]</f>
        <v>0</v>
      </c>
      <c r="Q10" s="3">
        <f>MaterialsTable[[#This Row],[dry carbon content]]*MaterialsTable[[#This Row],[weight %]]*(1-MaterialsTable[[#This Row],[moisture content]])</f>
        <v>0</v>
      </c>
      <c r="R10" s="84">
        <f>MaterialsTable[[#This Row],[dry nitrogen content]]*MaterialsTable[[#This Row],[weight %]]*(1-MaterialsTable[[#This Row],[moisture content]])</f>
        <v>0</v>
      </c>
      <c r="S10" s="37">
        <f>MaterialsTable[[#This Row],[moisture content]]*MaterialsTable[[#This Row],[weight %]]</f>
        <v>0</v>
      </c>
      <c r="T10" s="36" t="str">
        <f>IF(MaterialsTable[[#This Row],[ton/yr intake]]=0," ",MaterialsTable[[#This Row],[ton/yr intake]]/MaterialsTable[[#This Row],[weight %]])</f>
        <v xml:space="preserve"> </v>
      </c>
      <c r="U10" s="36">
        <f>MaterialsTable[[#This Row],[weight %]]*MaterialsTable[[#Totals],[weight ratio limit]]</f>
        <v>0</v>
      </c>
    </row>
    <row r="11" spans="1:21" x14ac:dyDescent="0.25">
      <c r="A11" s="54">
        <f>IF(A10&gt;A9,0,A9-A10)</f>
        <v>3.2222222222222263E-2</v>
      </c>
      <c r="B11" s="13" t="s">
        <v>65</v>
      </c>
      <c r="C11" s="13"/>
      <c r="D11" s="13"/>
      <c r="F11" s="10"/>
      <c r="G11" s="59"/>
      <c r="H11" s="59"/>
      <c r="I11" s="2"/>
      <c r="J11" s="2"/>
      <c r="K11" s="2"/>
      <c r="L11" s="57"/>
      <c r="M11" s="51">
        <f>MaterialsTable[[#This Row],[yd³/yr intake]]*MaterialsTable[[#This Row],[lbs/yd³ bulk density]]/2000</f>
        <v>0</v>
      </c>
      <c r="N11" s="36" t="str">
        <f>IFERROR(MaterialsTable[dry carbon content]/MaterialsTable[dry nitrogen content],"")</f>
        <v/>
      </c>
      <c r="O11" s="37">
        <f>MaterialsTable[[#This Row],[relative weight in mixture]]/SUM(MaterialsTable[relative weight in mixture])</f>
        <v>0</v>
      </c>
      <c r="P11" s="36">
        <f>MaterialsTable[[#This Row],[lbs/yd³ bulk density]]*MaterialsTable[[#This Row],[weight %]]</f>
        <v>0</v>
      </c>
      <c r="Q11" s="3">
        <f>MaterialsTable[[#This Row],[dry carbon content]]*MaterialsTable[[#This Row],[weight %]]*(1-MaterialsTable[[#This Row],[moisture content]])</f>
        <v>0</v>
      </c>
      <c r="R11" s="84">
        <f>MaterialsTable[[#This Row],[dry nitrogen content]]*MaterialsTable[[#This Row],[weight %]]*(1-MaterialsTable[[#This Row],[moisture content]])</f>
        <v>0</v>
      </c>
      <c r="S11" s="37">
        <f>MaterialsTable[[#This Row],[moisture content]]*MaterialsTable[[#This Row],[weight %]]</f>
        <v>0</v>
      </c>
      <c r="T11" s="36" t="str">
        <f>IF(MaterialsTable[[#This Row],[ton/yr intake]]=0," ",MaterialsTable[[#This Row],[ton/yr intake]]/MaterialsTable[[#This Row],[weight %]])</f>
        <v xml:space="preserve"> </v>
      </c>
      <c r="U11" s="36">
        <f>MaterialsTable[[#This Row],[weight %]]*MaterialsTable[[#Totals],[weight ratio limit]]</f>
        <v>0</v>
      </c>
    </row>
    <row r="12" spans="1:21" x14ac:dyDescent="0.25">
      <c r="A12" s="3">
        <v>8.3450000000000006</v>
      </c>
      <c r="B12" s="13" t="s">
        <v>66</v>
      </c>
      <c r="C12" s="13"/>
      <c r="D12" s="13"/>
      <c r="F12" s="10"/>
      <c r="G12" s="59"/>
      <c r="H12" s="59"/>
      <c r="I12" s="2"/>
      <c r="J12" s="2"/>
      <c r="K12" s="2"/>
      <c r="L12" s="57"/>
      <c r="M12" s="51">
        <f>MaterialsTable[[#This Row],[yd³/yr intake]]*MaterialsTable[[#This Row],[lbs/yd³ bulk density]]/2000</f>
        <v>0</v>
      </c>
      <c r="N12" s="36" t="str">
        <f>IFERROR(MaterialsTable[dry carbon content]/MaterialsTable[dry nitrogen content],"")</f>
        <v/>
      </c>
      <c r="O12" s="37">
        <f>MaterialsTable[[#This Row],[relative weight in mixture]]/SUM(MaterialsTable[relative weight in mixture])</f>
        <v>0</v>
      </c>
      <c r="P12" s="36">
        <f>MaterialsTable[[#This Row],[lbs/yd³ bulk density]]*MaterialsTable[[#This Row],[weight %]]</f>
        <v>0</v>
      </c>
      <c r="Q12" s="3">
        <f>MaterialsTable[[#This Row],[dry carbon content]]*MaterialsTable[[#This Row],[weight %]]*(1-MaterialsTable[[#This Row],[moisture content]])</f>
        <v>0</v>
      </c>
      <c r="R12" s="84">
        <f>MaterialsTable[[#This Row],[dry nitrogen content]]*MaterialsTable[[#This Row],[weight %]]*(1-MaterialsTable[[#This Row],[moisture content]])</f>
        <v>0</v>
      </c>
      <c r="S12" s="37">
        <f>MaterialsTable[[#This Row],[moisture content]]*MaterialsTable[[#This Row],[weight %]]</f>
        <v>0</v>
      </c>
      <c r="T12" s="36" t="str">
        <f>IF(MaterialsTable[[#This Row],[ton/yr intake]]=0," ",MaterialsTable[[#This Row],[ton/yr intake]]/MaterialsTable[[#This Row],[weight %]])</f>
        <v xml:space="preserve"> </v>
      </c>
      <c r="U12" s="36">
        <f>MaterialsTable[[#This Row],[weight %]]*MaterialsTable[[#Totals],[weight ratio limit]]</f>
        <v>0</v>
      </c>
    </row>
    <row r="13" spans="1:21" x14ac:dyDescent="0.25">
      <c r="A13" s="4">
        <f>A11/A12*A7</f>
        <v>4.7450606188373365</v>
      </c>
      <c r="B13" s="7" t="s">
        <v>67</v>
      </c>
      <c r="C13" s="7"/>
      <c r="D13" s="7"/>
      <c r="F13" s="10"/>
      <c r="G13" s="59"/>
      <c r="H13" s="59"/>
      <c r="I13" s="2"/>
      <c r="J13" s="2"/>
      <c r="K13" s="2"/>
      <c r="L13" s="57"/>
      <c r="M13" s="51">
        <f>MaterialsTable[[#This Row],[yd³/yr intake]]*MaterialsTable[[#This Row],[lbs/yd³ bulk density]]/2000</f>
        <v>0</v>
      </c>
      <c r="N13" s="36" t="str">
        <f>IFERROR(MaterialsTable[dry carbon content]/MaterialsTable[dry nitrogen content],"")</f>
        <v/>
      </c>
      <c r="O13" s="37">
        <f>MaterialsTable[[#This Row],[relative weight in mixture]]/SUM(MaterialsTable[relative weight in mixture])</f>
        <v>0</v>
      </c>
      <c r="P13" s="36">
        <f>MaterialsTable[[#This Row],[lbs/yd³ bulk density]]*MaterialsTable[[#This Row],[weight %]]</f>
        <v>0</v>
      </c>
      <c r="Q13" s="3">
        <f>MaterialsTable[[#This Row],[dry carbon content]]*MaterialsTable[[#This Row],[weight %]]*(1-MaterialsTable[[#This Row],[moisture content]])</f>
        <v>0</v>
      </c>
      <c r="R13" s="84">
        <f>MaterialsTable[[#This Row],[dry nitrogen content]]*MaterialsTable[[#This Row],[weight %]]*(1-MaterialsTable[[#This Row],[moisture content]])</f>
        <v>0</v>
      </c>
      <c r="S13" s="37">
        <f>MaterialsTable[[#This Row],[moisture content]]*MaterialsTable[[#This Row],[weight %]]</f>
        <v>0</v>
      </c>
      <c r="T13" s="36" t="str">
        <f>IF(MaterialsTable[[#This Row],[ton/yr intake]]=0," ",MaterialsTable[[#This Row],[ton/yr intake]]/MaterialsTable[[#This Row],[weight %]])</f>
        <v xml:space="preserve"> </v>
      </c>
      <c r="U13" s="36">
        <f>MaterialsTable[[#This Row],[weight %]]*MaterialsTable[[#Totals],[weight ratio limit]]</f>
        <v>0</v>
      </c>
    </row>
    <row r="14" spans="1:21" x14ac:dyDescent="0.25">
      <c r="F14" s="10"/>
      <c r="G14" s="59"/>
      <c r="H14" s="59"/>
      <c r="I14" s="2"/>
      <c r="J14" s="2"/>
      <c r="K14" s="2"/>
      <c r="L14" s="57"/>
      <c r="M14" s="51">
        <f>MaterialsTable[[#This Row],[yd³/yr intake]]*MaterialsTable[[#This Row],[lbs/yd³ bulk density]]/2000</f>
        <v>0</v>
      </c>
      <c r="N14" s="36" t="str">
        <f>IFERROR(MaterialsTable[dry carbon content]/MaterialsTable[dry nitrogen content],"")</f>
        <v/>
      </c>
      <c r="O14" s="37">
        <f>MaterialsTable[[#This Row],[relative weight in mixture]]/SUM(MaterialsTable[relative weight in mixture])</f>
        <v>0</v>
      </c>
      <c r="P14" s="36">
        <f>MaterialsTable[[#This Row],[lbs/yd³ bulk density]]*MaterialsTable[[#This Row],[weight %]]</f>
        <v>0</v>
      </c>
      <c r="Q14" s="3">
        <f>MaterialsTable[[#This Row],[dry carbon content]]*MaterialsTable[[#This Row],[weight %]]*(1-MaterialsTable[[#This Row],[moisture content]])</f>
        <v>0</v>
      </c>
      <c r="R14" s="84">
        <f>MaterialsTable[[#This Row],[dry nitrogen content]]*MaterialsTable[[#This Row],[weight %]]*(1-MaterialsTable[[#This Row],[moisture content]])</f>
        <v>0</v>
      </c>
      <c r="S14" s="37">
        <f>MaterialsTable[[#This Row],[moisture content]]*MaterialsTable[[#This Row],[weight %]]</f>
        <v>0</v>
      </c>
      <c r="T14" s="36" t="str">
        <f>IF(MaterialsTable[[#This Row],[ton/yr intake]]=0," ",MaterialsTable[[#This Row],[ton/yr intake]]/MaterialsTable[[#This Row],[weight %]])</f>
        <v xml:space="preserve"> </v>
      </c>
      <c r="U14" s="36">
        <f>MaterialsTable[[#This Row],[weight %]]*MaterialsTable[[#Totals],[weight ratio limit]]</f>
        <v>0</v>
      </c>
    </row>
    <row r="15" spans="1:21" x14ac:dyDescent="0.25">
      <c r="A15" s="40" t="str">
        <f ca="1">OFFSET(F4,MATCH(MaterialsTable[[#Totals],[weight ratio limit]],MaterialsTable[weight ratio limit],0),0)</f>
        <v>Food Waste</v>
      </c>
      <c r="B15" t="s">
        <v>138</v>
      </c>
      <c r="D15" s="70" t="s">
        <v>143</v>
      </c>
      <c r="F15" s="10"/>
      <c r="G15" s="59"/>
      <c r="H15" s="59"/>
      <c r="I15" s="2"/>
      <c r="J15" s="2"/>
      <c r="K15" s="2"/>
      <c r="L15" s="57"/>
      <c r="M15" s="51">
        <f>MaterialsTable[[#This Row],[yd³/yr intake]]*MaterialsTable[[#This Row],[lbs/yd³ bulk density]]/2000</f>
        <v>0</v>
      </c>
      <c r="N15" s="36" t="str">
        <f>IFERROR(MaterialsTable[dry carbon content]/MaterialsTable[dry nitrogen content],"")</f>
        <v/>
      </c>
      <c r="O15" s="37">
        <f>MaterialsTable[[#This Row],[relative weight in mixture]]/SUM(MaterialsTable[relative weight in mixture])</f>
        <v>0</v>
      </c>
      <c r="P15" s="36">
        <f>MaterialsTable[[#This Row],[lbs/yd³ bulk density]]*MaterialsTable[[#This Row],[weight %]]</f>
        <v>0</v>
      </c>
      <c r="Q15" s="3">
        <f>MaterialsTable[[#This Row],[dry carbon content]]*MaterialsTable[[#This Row],[weight %]]*(1-MaterialsTable[[#This Row],[moisture content]])</f>
        <v>0</v>
      </c>
      <c r="R15" s="84">
        <f>MaterialsTable[[#This Row],[dry nitrogen content]]*MaterialsTable[[#This Row],[weight %]]*(1-MaterialsTable[[#This Row],[moisture content]])</f>
        <v>0</v>
      </c>
      <c r="S15" s="37">
        <f>MaterialsTable[[#This Row],[moisture content]]*MaterialsTable[[#This Row],[weight %]]</f>
        <v>0</v>
      </c>
      <c r="T15" s="36" t="str">
        <f>IF(MaterialsTable[[#This Row],[ton/yr intake]]=0," ",MaterialsTable[[#This Row],[ton/yr intake]]/MaterialsTable[[#This Row],[weight %]])</f>
        <v xml:space="preserve"> </v>
      </c>
      <c r="U15" s="36">
        <f>MaterialsTable[[#This Row],[weight %]]*MaterialsTable[[#Totals],[weight ratio limit]]</f>
        <v>0</v>
      </c>
    </row>
    <row r="16" spans="1:21" x14ac:dyDescent="0.25">
      <c r="A16" s="53">
        <f>MaterialsTable[[#Totals],[ton/yr limited weight intake]]</f>
        <v>361.14749999999998</v>
      </c>
      <c r="B16" s="7" t="s">
        <v>141</v>
      </c>
      <c r="D16" s="70"/>
      <c r="F16" s="10"/>
      <c r="G16" s="59"/>
      <c r="H16" s="59"/>
      <c r="I16" s="2"/>
      <c r="J16" s="2"/>
      <c r="K16" s="2"/>
      <c r="L16" s="57"/>
      <c r="M16" s="51">
        <f>MaterialsTable[[#This Row],[yd³/yr intake]]*MaterialsTable[[#This Row],[lbs/yd³ bulk density]]/2000</f>
        <v>0</v>
      </c>
      <c r="N16" s="36" t="str">
        <f>IFERROR(MaterialsTable[dry carbon content]/MaterialsTable[dry nitrogen content],"")</f>
        <v/>
      </c>
      <c r="O16" s="37">
        <f>MaterialsTable[[#This Row],[relative weight in mixture]]/SUM(MaterialsTable[relative weight in mixture])</f>
        <v>0</v>
      </c>
      <c r="P16" s="36">
        <f>MaterialsTable[[#This Row],[lbs/yd³ bulk density]]*MaterialsTable[[#This Row],[weight %]]</f>
        <v>0</v>
      </c>
      <c r="Q16" s="3">
        <f>MaterialsTable[[#This Row],[dry carbon content]]*MaterialsTable[[#This Row],[weight %]]*(1-MaterialsTable[[#This Row],[moisture content]])</f>
        <v>0</v>
      </c>
      <c r="R16" s="84">
        <f>MaterialsTable[[#This Row],[dry nitrogen content]]*MaterialsTable[[#This Row],[weight %]]*(1-MaterialsTable[[#This Row],[moisture content]])</f>
        <v>0</v>
      </c>
      <c r="S16" s="37">
        <f>MaterialsTable[[#This Row],[moisture content]]*MaterialsTable[[#This Row],[weight %]]</f>
        <v>0</v>
      </c>
      <c r="T16" s="36" t="str">
        <f>IF(MaterialsTable[[#This Row],[ton/yr intake]]=0," ",MaterialsTable[[#This Row],[ton/yr intake]]/MaterialsTable[[#This Row],[weight %]])</f>
        <v xml:space="preserve"> </v>
      </c>
      <c r="U16" s="36">
        <f>MaterialsTable[[#This Row],[weight %]]*MaterialsTable[[#Totals],[weight ratio limit]]</f>
        <v>0</v>
      </c>
    </row>
    <row r="17" spans="6:21" x14ac:dyDescent="0.25">
      <c r="F17" s="10"/>
      <c r="G17" s="59"/>
      <c r="H17" s="59"/>
      <c r="I17" s="2"/>
      <c r="J17" s="2"/>
      <c r="K17" s="2"/>
      <c r="L17" s="57"/>
      <c r="M17" s="51">
        <f>MaterialsTable[[#This Row],[yd³/yr intake]]*MaterialsTable[[#This Row],[lbs/yd³ bulk density]]/2000</f>
        <v>0</v>
      </c>
      <c r="N17" s="36" t="str">
        <f>IFERROR(MaterialsTable[dry carbon content]/MaterialsTable[dry nitrogen content],"")</f>
        <v/>
      </c>
      <c r="O17" s="37">
        <f>MaterialsTable[[#This Row],[relative weight in mixture]]/SUM(MaterialsTable[relative weight in mixture])</f>
        <v>0</v>
      </c>
      <c r="P17" s="36">
        <f>MaterialsTable[[#This Row],[lbs/yd³ bulk density]]*MaterialsTable[[#This Row],[weight %]]</f>
        <v>0</v>
      </c>
      <c r="Q17" s="3">
        <f>MaterialsTable[[#This Row],[dry carbon content]]*MaterialsTable[[#This Row],[weight %]]*(1-MaterialsTable[[#This Row],[moisture content]])</f>
        <v>0</v>
      </c>
      <c r="R17" s="84">
        <f>MaterialsTable[[#This Row],[dry nitrogen content]]*MaterialsTable[[#This Row],[weight %]]*(1-MaterialsTable[[#This Row],[moisture content]])</f>
        <v>0</v>
      </c>
      <c r="S17" s="37">
        <f>MaterialsTable[[#This Row],[moisture content]]*MaterialsTable[[#This Row],[weight %]]</f>
        <v>0</v>
      </c>
      <c r="T17" s="36" t="str">
        <f>IF(MaterialsTable[[#This Row],[ton/yr intake]]=0," ",MaterialsTable[[#This Row],[ton/yr intake]]/MaterialsTable[[#This Row],[weight %]])</f>
        <v xml:space="preserve"> </v>
      </c>
      <c r="U17" s="36">
        <f>MaterialsTable[[#This Row],[weight %]]*MaterialsTable[[#Totals],[weight ratio limit]]</f>
        <v>0</v>
      </c>
    </row>
    <row r="18" spans="6:21" x14ac:dyDescent="0.25">
      <c r="F18" s="10"/>
      <c r="G18" s="59"/>
      <c r="H18" s="59"/>
      <c r="I18" s="2"/>
      <c r="J18" s="2"/>
      <c r="K18" s="2"/>
      <c r="L18" s="57"/>
      <c r="M18" s="51">
        <f>MaterialsTable[[#This Row],[yd³/yr intake]]*MaterialsTable[[#This Row],[lbs/yd³ bulk density]]/2000</f>
        <v>0</v>
      </c>
      <c r="N18" s="36" t="str">
        <f>IFERROR(MaterialsTable[dry carbon content]/MaterialsTable[dry nitrogen content],"")</f>
        <v/>
      </c>
      <c r="O18" s="37">
        <f>MaterialsTable[[#This Row],[relative weight in mixture]]/SUM(MaterialsTable[relative weight in mixture])</f>
        <v>0</v>
      </c>
      <c r="P18" s="36">
        <f>MaterialsTable[[#This Row],[lbs/yd³ bulk density]]*MaterialsTable[[#This Row],[weight %]]</f>
        <v>0</v>
      </c>
      <c r="Q18" s="3">
        <f>MaterialsTable[[#This Row],[dry carbon content]]*MaterialsTable[[#This Row],[weight %]]*(1-MaterialsTable[[#This Row],[moisture content]])</f>
        <v>0</v>
      </c>
      <c r="R18" s="84">
        <f>MaterialsTable[[#This Row],[dry nitrogen content]]*MaterialsTable[[#This Row],[weight %]]*(1-MaterialsTable[[#This Row],[moisture content]])</f>
        <v>0</v>
      </c>
      <c r="S18" s="37">
        <f>MaterialsTable[[#This Row],[moisture content]]*MaterialsTable[[#This Row],[weight %]]</f>
        <v>0</v>
      </c>
      <c r="T18" s="36" t="str">
        <f>IF(MaterialsTable[[#This Row],[ton/yr intake]]=0," ",MaterialsTable[[#This Row],[ton/yr intake]]/MaterialsTable[[#This Row],[weight %]])</f>
        <v xml:space="preserve"> </v>
      </c>
      <c r="U18" s="36">
        <f>MaterialsTable[[#This Row],[weight %]]*MaterialsTable[[#Totals],[weight ratio limit]]</f>
        <v>0</v>
      </c>
    </row>
    <row r="19" spans="6:21" x14ac:dyDescent="0.25">
      <c r="F19" s="10"/>
      <c r="G19" s="59"/>
      <c r="H19" s="59"/>
      <c r="I19" s="2"/>
      <c r="J19" s="2"/>
      <c r="K19" s="2"/>
      <c r="L19" s="57"/>
      <c r="M19" s="51">
        <f>MaterialsTable[[#This Row],[yd³/yr intake]]*MaterialsTable[[#This Row],[lbs/yd³ bulk density]]/2000</f>
        <v>0</v>
      </c>
      <c r="N19" s="36" t="str">
        <f>IFERROR(MaterialsTable[dry carbon content]/MaterialsTable[dry nitrogen content],"")</f>
        <v/>
      </c>
      <c r="O19" s="37">
        <f>MaterialsTable[[#This Row],[relative weight in mixture]]/SUM(MaterialsTable[relative weight in mixture])</f>
        <v>0</v>
      </c>
      <c r="P19" s="36">
        <f>MaterialsTable[[#This Row],[lbs/yd³ bulk density]]*MaterialsTable[[#This Row],[weight %]]</f>
        <v>0</v>
      </c>
      <c r="Q19" s="3">
        <f>MaterialsTable[[#This Row],[dry carbon content]]*MaterialsTable[[#This Row],[weight %]]*(1-MaterialsTable[[#This Row],[moisture content]])</f>
        <v>0</v>
      </c>
      <c r="R19" s="84">
        <f>MaterialsTable[[#This Row],[dry nitrogen content]]*MaterialsTable[[#This Row],[weight %]]*(1-MaterialsTable[[#This Row],[moisture content]])</f>
        <v>0</v>
      </c>
      <c r="S19" s="37">
        <f>MaterialsTable[[#This Row],[moisture content]]*MaterialsTable[[#This Row],[weight %]]</f>
        <v>0</v>
      </c>
      <c r="T19" s="36" t="str">
        <f>IF(MaterialsTable[[#This Row],[ton/yr intake]]=0," ",MaterialsTable[[#This Row],[ton/yr intake]]/MaterialsTable[[#This Row],[weight %]])</f>
        <v xml:space="preserve"> </v>
      </c>
      <c r="U19" s="36">
        <f>MaterialsTable[[#This Row],[weight %]]*MaterialsTable[[#Totals],[weight ratio limit]]</f>
        <v>0</v>
      </c>
    </row>
    <row r="20" spans="6:21" x14ac:dyDescent="0.25">
      <c r="F20" t="s">
        <v>75</v>
      </c>
      <c r="K20"/>
      <c r="M20" s="41"/>
      <c r="P20" s="55">
        <f>SUBTOTAL(109,MaterialsTable[density contribution])</f>
        <v>1228.8888888888887</v>
      </c>
      <c r="Q20" s="33">
        <f>SUBTOTAL(109,MaterialsTable[carbon contribution])</f>
        <v>0.23751111111111115</v>
      </c>
      <c r="R20" s="56">
        <f>SUBTOTAL(109,MaterialsTable[nitrogen contribution])</f>
        <v>6.0000000000000001E-3</v>
      </c>
      <c r="S20" s="39">
        <f>SUBTOTAL(109,MaterialsTable[moisture contribution])</f>
        <v>0.61777777777777776</v>
      </c>
      <c r="T20" s="55">
        <f>SUBTOTAL(105,MaterialsTable[weight ratio limit])</f>
        <v>361.14749999999998</v>
      </c>
      <c r="U20" s="55">
        <f>SUBTOTAL(109,MaterialsTable[ton/yr limited weight intake])</f>
        <v>361.14749999999998</v>
      </c>
    </row>
  </sheetData>
  <mergeCells count="5">
    <mergeCell ref="D15:D16"/>
    <mergeCell ref="A4:B4"/>
    <mergeCell ref="A1:C1"/>
    <mergeCell ref="A2:C2"/>
    <mergeCell ref="D9:D10"/>
  </mergeCells>
  <pageMargins left="0.7" right="0.7" top="0.75" bottom="0.75" header="0.3" footer="0.3"/>
  <pageSetup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workbookViewId="0">
      <selection activeCell="A14" sqref="A14"/>
    </sheetView>
  </sheetViews>
  <sheetFormatPr defaultRowHeight="15" x14ac:dyDescent="0.25"/>
  <cols>
    <col min="1" max="1" width="14.28515625" customWidth="1"/>
    <col min="2" max="2" width="23.42578125" customWidth="1"/>
    <col min="4" max="6" width="10.5703125" customWidth="1"/>
  </cols>
  <sheetData>
    <row r="1" spans="1:6" s="11" customFormat="1" ht="20.25" thickBot="1" x14ac:dyDescent="0.35">
      <c r="A1" s="74" t="s">
        <v>46</v>
      </c>
      <c r="B1" s="74"/>
      <c r="C1" s="74"/>
      <c r="D1" s="74"/>
    </row>
    <row r="2" spans="1:6" s="12" customFormat="1" ht="44.25" customHeight="1" thickTop="1" x14ac:dyDescent="0.25">
      <c r="A2" s="75" t="s">
        <v>121</v>
      </c>
      <c r="B2" s="75"/>
      <c r="C2" s="75"/>
      <c r="D2" s="75"/>
    </row>
    <row r="3" spans="1:6" s="11" customFormat="1" ht="22.5" customHeight="1" x14ac:dyDescent="0.25"/>
    <row r="4" spans="1:6" ht="15.75" thickBot="1" x14ac:dyDescent="0.3">
      <c r="A4" s="71" t="s">
        <v>46</v>
      </c>
      <c r="B4" s="71"/>
    </row>
    <row r="5" spans="1:6" x14ac:dyDescent="0.25">
      <c r="A5" s="50">
        <v>120</v>
      </c>
      <c r="B5" t="s">
        <v>24</v>
      </c>
      <c r="E5" s="10">
        <v>30</v>
      </c>
      <c r="F5" t="s">
        <v>122</v>
      </c>
    </row>
    <row r="6" spans="1:6" x14ac:dyDescent="0.25">
      <c r="A6" s="53">
        <f>A5*43560/3/3</f>
        <v>580800</v>
      </c>
      <c r="B6" t="s">
        <v>25</v>
      </c>
      <c r="E6" s="19">
        <f>100*100</f>
        <v>10000</v>
      </c>
      <c r="F6" t="s">
        <v>58</v>
      </c>
    </row>
    <row r="7" spans="1:6" x14ac:dyDescent="0.25">
      <c r="A7" s="36">
        <f>E7</f>
        <v>130.68</v>
      </c>
      <c r="B7" t="s">
        <v>57</v>
      </c>
      <c r="E7" s="29">
        <f>E5/E6*43560</f>
        <v>130.68</v>
      </c>
      <c r="F7" s="7" t="s">
        <v>57</v>
      </c>
    </row>
    <row r="8" spans="1:6" x14ac:dyDescent="0.25">
      <c r="A8" s="53">
        <f>A7*A5</f>
        <v>15681.6</v>
      </c>
      <c r="B8" t="s">
        <v>22</v>
      </c>
    </row>
    <row r="9" spans="1:6" x14ac:dyDescent="0.25">
      <c r="A9" s="57">
        <v>40</v>
      </c>
      <c r="B9" t="s">
        <v>27</v>
      </c>
    </row>
    <row r="10" spans="1:6" x14ac:dyDescent="0.25">
      <c r="A10" s="57">
        <v>20</v>
      </c>
      <c r="B10" t="s">
        <v>28</v>
      </c>
    </row>
    <row r="11" spans="1:6" x14ac:dyDescent="0.25">
      <c r="A11" s="58">
        <v>0.01</v>
      </c>
      <c r="B11" t="s">
        <v>29</v>
      </c>
    </row>
    <row r="12" spans="1:6" x14ac:dyDescent="0.25">
      <c r="A12" s="51">
        <f>A9*A10/2*A10/2*PI()*A11</f>
        <v>125.66370614359172</v>
      </c>
      <c r="B12" t="s">
        <v>26</v>
      </c>
    </row>
    <row r="13" spans="1:6" x14ac:dyDescent="0.25">
      <c r="A13" s="53">
        <f>'Compost Mixture'!G5/3/3/3*A12</f>
        <v>2792.5268031909277</v>
      </c>
      <c r="B13" t="s">
        <v>23</v>
      </c>
    </row>
    <row r="14" spans="1:6" x14ac:dyDescent="0.25">
      <c r="A14" s="53">
        <f>A13*A8/2000</f>
        <v>21895.644158459425</v>
      </c>
      <c r="B14" s="7" t="s">
        <v>30</v>
      </c>
    </row>
    <row r="16" spans="1:6" x14ac:dyDescent="0.25">
      <c r="A16" s="1">
        <f>'Compost Mixture'!A16*'Compost Mixture'!O5/52</f>
        <v>0.77168269230769226</v>
      </c>
      <c r="B16" t="s">
        <v>35</v>
      </c>
    </row>
    <row r="17" spans="1:2" x14ac:dyDescent="0.25">
      <c r="A17" s="53">
        <f>A14/A16/52</f>
        <v>545.65183872554803</v>
      </c>
      <c r="B17" s="7" t="s">
        <v>37</v>
      </c>
    </row>
  </sheetData>
  <mergeCells count="3">
    <mergeCell ref="A4:B4"/>
    <mergeCell ref="A1:D1"/>
    <mergeCell ref="A2:D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58"/>
  <sheetViews>
    <sheetView zoomScaleNormal="100" workbookViewId="0">
      <selection activeCell="A25" sqref="A25"/>
    </sheetView>
  </sheetViews>
  <sheetFormatPr defaultRowHeight="15" x14ac:dyDescent="0.25"/>
  <cols>
    <col min="1" max="1" width="14" customWidth="1"/>
    <col min="2" max="2" width="18.42578125" customWidth="1"/>
    <col min="3" max="3" width="14" customWidth="1"/>
    <col min="4" max="4" width="22.7109375" customWidth="1"/>
    <col min="5" max="5" width="8.5703125" customWidth="1"/>
    <col min="7" max="7" width="8.5703125" customWidth="1"/>
    <col min="21" max="21" width="21.140625" customWidth="1"/>
  </cols>
  <sheetData>
    <row r="1" spans="1:8" ht="20.25" thickBot="1" x14ac:dyDescent="0.35">
      <c r="A1" s="74" t="s">
        <v>51</v>
      </c>
      <c r="B1" s="74"/>
      <c r="C1" s="74"/>
      <c r="D1" s="74"/>
    </row>
    <row r="2" spans="1:8" s="12" customFormat="1" ht="45" customHeight="1" thickTop="1" x14ac:dyDescent="0.25">
      <c r="A2" s="75" t="s">
        <v>113</v>
      </c>
      <c r="B2" s="75"/>
      <c r="C2" s="75"/>
      <c r="D2" s="75"/>
    </row>
    <row r="3" spans="1:8" ht="45" customHeight="1" x14ac:dyDescent="0.25">
      <c r="A3" s="81" t="s">
        <v>164</v>
      </c>
      <c r="B3" s="81"/>
      <c r="C3" s="81"/>
      <c r="D3" s="81"/>
    </row>
    <row r="4" spans="1:8" ht="22.5" customHeight="1" x14ac:dyDescent="0.25"/>
    <row r="5" spans="1:8" ht="15.75" thickBot="1" x14ac:dyDescent="0.3">
      <c r="A5" s="71" t="s">
        <v>47</v>
      </c>
      <c r="B5" s="71"/>
      <c r="C5" s="71"/>
      <c r="D5" s="32" t="s">
        <v>114</v>
      </c>
    </row>
    <row r="6" spans="1:8" x14ac:dyDescent="0.25">
      <c r="A6" s="3">
        <f>'Compost Mixture'!A16/52</f>
        <v>6.9451442307692304</v>
      </c>
      <c r="B6" s="78" t="s">
        <v>36</v>
      </c>
      <c r="C6" s="80"/>
      <c r="H6" t="s">
        <v>54</v>
      </c>
    </row>
    <row r="7" spans="1:8" x14ac:dyDescent="0.25">
      <c r="A7" s="36">
        <f>'Compost Mixture'!A7</f>
        <v>1228.8888888888887</v>
      </c>
      <c r="B7" s="78" t="s">
        <v>18</v>
      </c>
      <c r="C7" s="79"/>
      <c r="H7" t="s">
        <v>55</v>
      </c>
    </row>
    <row r="8" spans="1:8" x14ac:dyDescent="0.25">
      <c r="A8" s="51">
        <f>A6*2000/A7</f>
        <v>11.303128042843234</v>
      </c>
      <c r="B8" s="78" t="s">
        <v>19</v>
      </c>
      <c r="C8" s="79"/>
    </row>
    <row r="9" spans="1:8" x14ac:dyDescent="0.25">
      <c r="A9" s="2">
        <v>0.6</v>
      </c>
      <c r="B9" s="78" t="s">
        <v>0</v>
      </c>
      <c r="C9" s="79"/>
    </row>
    <row r="10" spans="1:8" x14ac:dyDescent="0.25">
      <c r="A10" s="3">
        <f>A8*(1-A9)</f>
        <v>4.5212512171372934</v>
      </c>
      <c r="B10" s="76" t="s">
        <v>20</v>
      </c>
      <c r="C10" s="77"/>
      <c r="D10" s="32" t="s">
        <v>111</v>
      </c>
    </row>
    <row r="11" spans="1:8" x14ac:dyDescent="0.25">
      <c r="B11" s="80"/>
      <c r="C11" s="80"/>
    </row>
    <row r="12" spans="1:8" x14ac:dyDescent="0.25">
      <c r="A12" s="50">
        <v>5</v>
      </c>
      <c r="B12" s="78" t="s">
        <v>38</v>
      </c>
      <c r="C12" s="79"/>
    </row>
    <row r="13" spans="1:8" x14ac:dyDescent="0.25">
      <c r="A13" s="51">
        <f>A8*A12</f>
        <v>56.51564021421617</v>
      </c>
      <c r="B13" s="78" t="s">
        <v>21</v>
      </c>
      <c r="C13" s="79"/>
    </row>
    <row r="14" spans="1:8" x14ac:dyDescent="0.25">
      <c r="A14" s="2">
        <v>0.2</v>
      </c>
      <c r="B14" s="78" t="s">
        <v>1</v>
      </c>
      <c r="C14" s="79"/>
    </row>
    <row r="15" spans="1:8" x14ac:dyDescent="0.25">
      <c r="A15" s="52">
        <f>A13*(1-A14)</f>
        <v>45.212512171372936</v>
      </c>
      <c r="B15" s="76" t="s">
        <v>148</v>
      </c>
      <c r="C15" s="77"/>
      <c r="D15" s="32" t="s">
        <v>110</v>
      </c>
    </row>
    <row r="16" spans="1:8" x14ac:dyDescent="0.25">
      <c r="B16" s="80"/>
      <c r="C16" s="80"/>
    </row>
    <row r="18" spans="1:4" ht="15.75" thickBot="1" x14ac:dyDescent="0.3">
      <c r="A18" s="71" t="s">
        <v>48</v>
      </c>
      <c r="B18" s="71"/>
      <c r="C18" s="71"/>
      <c r="D18" s="32" t="s">
        <v>115</v>
      </c>
    </row>
    <row r="19" spans="1:4" x14ac:dyDescent="0.25">
      <c r="A19" s="50">
        <v>25</v>
      </c>
      <c r="B19" t="s">
        <v>2</v>
      </c>
    </row>
    <row r="20" spans="1:4" x14ac:dyDescent="0.25">
      <c r="A20" s="5">
        <v>3.25</v>
      </c>
      <c r="B20" t="s">
        <v>3</v>
      </c>
    </row>
    <row r="21" spans="1:4" x14ac:dyDescent="0.25">
      <c r="A21" s="4">
        <f>A20*2</f>
        <v>6.5</v>
      </c>
      <c r="B21" t="s">
        <v>4</v>
      </c>
    </row>
    <row r="22" spans="1:4" x14ac:dyDescent="0.25">
      <c r="A22" s="6">
        <f>0.66</f>
        <v>0.66</v>
      </c>
      <c r="B22" t="s">
        <v>5</v>
      </c>
    </row>
    <row r="23" spans="1:4" x14ac:dyDescent="0.25">
      <c r="A23" s="53">
        <f>A19*A20*A21*A22</f>
        <v>348.5625</v>
      </c>
      <c r="B23" s="7" t="s">
        <v>16</v>
      </c>
    </row>
    <row r="24" spans="1:4" x14ac:dyDescent="0.25">
      <c r="B24" s="80"/>
      <c r="C24" s="80"/>
    </row>
    <row r="25" spans="1:4" x14ac:dyDescent="0.25">
      <c r="A25" s="3">
        <f>A15*3*3*3/A23</f>
        <v>3.5022064296275972</v>
      </c>
      <c r="B25" s="76" t="s">
        <v>7</v>
      </c>
      <c r="C25" s="77"/>
    </row>
    <row r="26" spans="1:4" x14ac:dyDescent="0.25">
      <c r="A26" s="36">
        <f>_xlfn.CEILING.MATH(A25)</f>
        <v>4</v>
      </c>
      <c r="B26" s="76" t="s">
        <v>17</v>
      </c>
      <c r="C26" s="77"/>
    </row>
    <row r="27" spans="1:4" x14ac:dyDescent="0.25">
      <c r="B27" s="80"/>
      <c r="C27" s="80"/>
    </row>
    <row r="29" spans="1:4" ht="15.75" thickBot="1" x14ac:dyDescent="0.3">
      <c r="A29" s="71" t="s">
        <v>49</v>
      </c>
      <c r="B29" s="71"/>
      <c r="C29" s="71"/>
      <c r="D29" s="35" t="s">
        <v>116</v>
      </c>
    </row>
    <row r="30" spans="1:4" x14ac:dyDescent="0.25">
      <c r="A30" s="51">
        <f>A26*A21</f>
        <v>26</v>
      </c>
      <c r="B30" s="78" t="s">
        <v>8</v>
      </c>
      <c r="C30" s="79"/>
    </row>
    <row r="31" spans="1:4" x14ac:dyDescent="0.25">
      <c r="A31" s="36">
        <f>A26-1</f>
        <v>3</v>
      </c>
      <c r="B31" s="78" t="s">
        <v>9</v>
      </c>
      <c r="C31" s="79"/>
    </row>
    <row r="32" spans="1:4" x14ac:dyDescent="0.25">
      <c r="A32" s="50">
        <v>10</v>
      </c>
      <c r="B32" s="78" t="s">
        <v>10</v>
      </c>
      <c r="C32" s="79"/>
    </row>
    <row r="33" spans="1:4" x14ac:dyDescent="0.25">
      <c r="A33" s="51">
        <f>A31*A32</f>
        <v>30</v>
      </c>
      <c r="B33" s="78" t="s">
        <v>11</v>
      </c>
      <c r="C33" s="79"/>
    </row>
    <row r="34" spans="1:4" x14ac:dyDescent="0.25">
      <c r="A34" s="50">
        <v>20</v>
      </c>
      <c r="B34" s="78" t="s">
        <v>13</v>
      </c>
      <c r="C34" s="79"/>
    </row>
    <row r="35" spans="1:4" x14ac:dyDescent="0.25">
      <c r="A35" s="51">
        <f>A30+A33+A34*2</f>
        <v>96</v>
      </c>
      <c r="B35" s="76" t="s">
        <v>12</v>
      </c>
      <c r="C35" s="77"/>
    </row>
    <row r="36" spans="1:4" x14ac:dyDescent="0.25">
      <c r="A36" s="51">
        <f>A19+A34</f>
        <v>45</v>
      </c>
      <c r="B36" s="76" t="s">
        <v>14</v>
      </c>
      <c r="C36" s="77"/>
    </row>
    <row r="37" spans="1:4" x14ac:dyDescent="0.25">
      <c r="A37" s="53">
        <f>A35*A36</f>
        <v>4320</v>
      </c>
      <c r="B37" s="76" t="s">
        <v>15</v>
      </c>
      <c r="C37" s="77"/>
    </row>
    <row r="40" spans="1:4" ht="15.75" thickBot="1" x14ac:dyDescent="0.3">
      <c r="A40" s="71" t="s">
        <v>112</v>
      </c>
      <c r="B40" s="71"/>
      <c r="C40" s="71"/>
      <c r="D40" s="32" t="s">
        <v>117</v>
      </c>
    </row>
    <row r="41" spans="1:4" x14ac:dyDescent="0.25">
      <c r="A41" s="50">
        <v>30</v>
      </c>
      <c r="B41" t="s">
        <v>118</v>
      </c>
    </row>
    <row r="42" spans="1:4" x14ac:dyDescent="0.25">
      <c r="A42" s="37">
        <f>A9</f>
        <v>0.6</v>
      </c>
      <c r="B42" t="s">
        <v>119</v>
      </c>
    </row>
    <row r="43" spans="1:4" x14ac:dyDescent="0.25">
      <c r="A43" s="52">
        <f>A15/A12*(1-A42)*A41</f>
        <v>108.51002921129505</v>
      </c>
      <c r="B43" t="s">
        <v>149</v>
      </c>
    </row>
    <row r="44" spans="1:4" x14ac:dyDescent="0.25">
      <c r="A44" s="50">
        <v>30</v>
      </c>
      <c r="B44" s="12" t="s">
        <v>2</v>
      </c>
    </row>
    <row r="45" spans="1:4" x14ac:dyDescent="0.25">
      <c r="A45" s="49">
        <v>8</v>
      </c>
      <c r="B45" s="12" t="s">
        <v>3</v>
      </c>
    </row>
    <row r="46" spans="1:4" x14ac:dyDescent="0.25">
      <c r="A46" s="4">
        <f>A45*2</f>
        <v>16</v>
      </c>
      <c r="B46" s="12" t="s">
        <v>4</v>
      </c>
    </row>
    <row r="47" spans="1:4" x14ac:dyDescent="0.25">
      <c r="A47" s="6">
        <f>0.66</f>
        <v>0.66</v>
      </c>
      <c r="B47" s="12" t="s">
        <v>5</v>
      </c>
    </row>
    <row r="48" spans="1:4" x14ac:dyDescent="0.25">
      <c r="A48" s="53">
        <f>A44*A45*A46*A47</f>
        <v>2534.4</v>
      </c>
      <c r="B48" s="12" t="s">
        <v>6</v>
      </c>
    </row>
    <row r="49" spans="1:3" x14ac:dyDescent="0.25">
      <c r="A49" s="4">
        <f>A43*3*3*3/A48</f>
        <v>1.1560017316544218</v>
      </c>
      <c r="B49" t="s">
        <v>7</v>
      </c>
    </row>
    <row r="50" spans="1:3" x14ac:dyDescent="0.25">
      <c r="A50" s="36">
        <f>_xlfn.CEILING.MATH(A49)</f>
        <v>2</v>
      </c>
      <c r="B50" t="s">
        <v>17</v>
      </c>
    </row>
    <row r="51" spans="1:3" x14ac:dyDescent="0.25">
      <c r="A51" s="3">
        <f>A50*A46</f>
        <v>32</v>
      </c>
      <c r="B51" s="78" t="s">
        <v>8</v>
      </c>
      <c r="C51" s="79"/>
    </row>
    <row r="52" spans="1:3" x14ac:dyDescent="0.25">
      <c r="A52" s="36">
        <f>A50-1</f>
        <v>1</v>
      </c>
      <c r="B52" s="78" t="s">
        <v>9</v>
      </c>
      <c r="C52" s="79"/>
    </row>
    <row r="53" spans="1:3" x14ac:dyDescent="0.25">
      <c r="A53" s="50">
        <v>10</v>
      </c>
      <c r="B53" s="78" t="s">
        <v>10</v>
      </c>
      <c r="C53" s="79"/>
    </row>
    <row r="54" spans="1:3" x14ac:dyDescent="0.25">
      <c r="A54" s="51">
        <f>A52*A53</f>
        <v>10</v>
      </c>
      <c r="B54" s="78" t="s">
        <v>11</v>
      </c>
      <c r="C54" s="79"/>
    </row>
    <row r="55" spans="1:3" x14ac:dyDescent="0.25">
      <c r="A55" s="50">
        <v>20</v>
      </c>
      <c r="B55" s="78" t="s">
        <v>13</v>
      </c>
      <c r="C55" s="79"/>
    </row>
    <row r="56" spans="1:3" x14ac:dyDescent="0.25">
      <c r="A56" s="51">
        <f>A51+A54+A55*2</f>
        <v>82</v>
      </c>
      <c r="B56" s="76" t="s">
        <v>12</v>
      </c>
      <c r="C56" s="77"/>
    </row>
    <row r="57" spans="1:3" x14ac:dyDescent="0.25">
      <c r="A57" s="51">
        <f>A44+A55</f>
        <v>50</v>
      </c>
      <c r="B57" s="76" t="s">
        <v>14</v>
      </c>
      <c r="C57" s="77"/>
    </row>
    <row r="58" spans="1:3" x14ac:dyDescent="0.25">
      <c r="A58" s="53">
        <f>A56*A57</f>
        <v>4100</v>
      </c>
      <c r="B58" s="76" t="s">
        <v>15</v>
      </c>
      <c r="C58" s="77"/>
    </row>
  </sheetData>
  <mergeCells count="38">
    <mergeCell ref="A40:C40"/>
    <mergeCell ref="B8:C8"/>
    <mergeCell ref="B9:C9"/>
    <mergeCell ref="B10:C10"/>
    <mergeCell ref="B11:C11"/>
    <mergeCell ref="B12:C12"/>
    <mergeCell ref="B26:C26"/>
    <mergeCell ref="B27:C27"/>
    <mergeCell ref="B30:C30"/>
    <mergeCell ref="B31:C31"/>
    <mergeCell ref="B14:C14"/>
    <mergeCell ref="B15:C15"/>
    <mergeCell ref="B16:C16"/>
    <mergeCell ref="B25:C25"/>
    <mergeCell ref="B24:C24"/>
    <mergeCell ref="A1:D1"/>
    <mergeCell ref="B37:C37"/>
    <mergeCell ref="A29:C29"/>
    <mergeCell ref="B32:C32"/>
    <mergeCell ref="B33:C33"/>
    <mergeCell ref="B34:C34"/>
    <mergeCell ref="B35:C35"/>
    <mergeCell ref="B36:C36"/>
    <mergeCell ref="A2:D2"/>
    <mergeCell ref="B7:C7"/>
    <mergeCell ref="A5:C5"/>
    <mergeCell ref="A18:C18"/>
    <mergeCell ref="B13:C13"/>
    <mergeCell ref="B6:C6"/>
    <mergeCell ref="A3:D3"/>
    <mergeCell ref="B56:C56"/>
    <mergeCell ref="B57:C57"/>
    <mergeCell ref="B58:C58"/>
    <mergeCell ref="B51:C51"/>
    <mergeCell ref="B52:C52"/>
    <mergeCell ref="B53:C53"/>
    <mergeCell ref="B54:C54"/>
    <mergeCell ref="B55:C55"/>
  </mergeCells>
  <hyperlinks>
    <hyperlink ref="A3" r:id="rId1"/>
  </hyperlink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workbookViewId="0">
      <selection activeCell="F27" sqref="F27"/>
    </sheetView>
  </sheetViews>
  <sheetFormatPr defaultRowHeight="15" x14ac:dyDescent="0.25"/>
  <cols>
    <col min="1" max="1" width="21.42578125" customWidth="1"/>
    <col min="2" max="2" width="15.7109375" customWidth="1"/>
    <col min="3" max="3" width="31.28515625" customWidth="1"/>
    <col min="11" max="13" width="9.140625" customWidth="1"/>
    <col min="21" max="23" width="9.140625" customWidth="1"/>
  </cols>
  <sheetData>
    <row r="1" spans="1:9" ht="15" customHeight="1" x14ac:dyDescent="0.25">
      <c r="A1" s="11" t="s">
        <v>74</v>
      </c>
      <c r="B1" s="11" t="s">
        <v>73</v>
      </c>
      <c r="C1" s="11" t="s">
        <v>72</v>
      </c>
      <c r="E1" s="82" t="s">
        <v>71</v>
      </c>
      <c r="F1" s="82"/>
      <c r="G1" s="82"/>
      <c r="H1" s="82"/>
      <c r="I1" s="82"/>
    </row>
    <row r="2" spans="1:9" x14ac:dyDescent="0.25">
      <c r="A2" s="11" t="s">
        <v>70</v>
      </c>
      <c r="B2" s="14">
        <v>19035</v>
      </c>
      <c r="C2" s="15"/>
      <c r="E2" s="82"/>
      <c r="F2" s="82"/>
      <c r="G2" s="82"/>
      <c r="H2" s="82"/>
      <c r="I2" s="82"/>
    </row>
    <row r="3" spans="1:9" x14ac:dyDescent="0.25">
      <c r="A3" s="11" t="s">
        <v>69</v>
      </c>
      <c r="B3" s="14">
        <v>100</v>
      </c>
      <c r="C3" s="15"/>
      <c r="E3" s="82"/>
      <c r="F3" s="82"/>
      <c r="G3" s="82"/>
      <c r="H3" s="82"/>
      <c r="I3" s="82"/>
    </row>
    <row r="4" spans="1:9" x14ac:dyDescent="0.25">
      <c r="A4" s="11" t="s">
        <v>68</v>
      </c>
      <c r="B4" s="14">
        <v>48000</v>
      </c>
      <c r="C4" s="15"/>
      <c r="E4" s="82"/>
      <c r="F4" s="82"/>
      <c r="G4" s="82"/>
      <c r="H4" s="82"/>
      <c r="I4" s="82"/>
    </row>
    <row r="5" spans="1:9" x14ac:dyDescent="0.25">
      <c r="A5" s="11" t="s">
        <v>145</v>
      </c>
      <c r="B5" s="14">
        <v>0</v>
      </c>
      <c r="C5" s="15" t="s">
        <v>133</v>
      </c>
    </row>
    <row r="6" spans="1:9" x14ac:dyDescent="0.25">
      <c r="A6" s="11"/>
      <c r="B6" s="14"/>
      <c r="C6" s="15"/>
    </row>
    <row r="7" spans="1:9" x14ac:dyDescent="0.25">
      <c r="A7" s="11"/>
      <c r="B7" s="14"/>
      <c r="C7" s="15"/>
    </row>
    <row r="8" spans="1:9" x14ac:dyDescent="0.25">
      <c r="A8" s="11"/>
      <c r="B8" s="14"/>
      <c r="C8" s="15"/>
    </row>
    <row r="9" spans="1:9" x14ac:dyDescent="0.25">
      <c r="A9" s="11"/>
      <c r="B9" s="14"/>
      <c r="C9" s="15"/>
    </row>
    <row r="10" spans="1:9" x14ac:dyDescent="0.25">
      <c r="A10" s="11"/>
      <c r="B10" s="14"/>
      <c r="C10" s="15"/>
    </row>
    <row r="11" spans="1:9" x14ac:dyDescent="0.25">
      <c r="A11" s="11"/>
      <c r="B11" s="14"/>
      <c r="C11" s="15"/>
    </row>
    <row r="12" spans="1:9" x14ac:dyDescent="0.25">
      <c r="A12" s="11"/>
      <c r="B12" s="14"/>
      <c r="C12" s="15"/>
    </row>
    <row r="13" spans="1:9" x14ac:dyDescent="0.25">
      <c r="A13" s="11"/>
      <c r="B13" s="14"/>
      <c r="C13" s="15"/>
    </row>
    <row r="14" spans="1:9" x14ac:dyDescent="0.25">
      <c r="A14" s="11"/>
      <c r="B14" s="14"/>
      <c r="C14" s="15"/>
    </row>
    <row r="15" spans="1:9" x14ac:dyDescent="0.25">
      <c r="A15" s="11"/>
      <c r="B15" s="14"/>
      <c r="C15" s="15"/>
    </row>
    <row r="16" spans="1:9" x14ac:dyDescent="0.25">
      <c r="A16" s="11"/>
      <c r="B16" s="14"/>
      <c r="C16" s="15"/>
    </row>
    <row r="17" spans="1:3" x14ac:dyDescent="0.25">
      <c r="A17" s="11" t="s">
        <v>75</v>
      </c>
      <c r="B17" s="14">
        <f>SUBTOTAL(109,InitialCosts[Cost])</f>
        <v>67135</v>
      </c>
      <c r="C17" s="15"/>
    </row>
  </sheetData>
  <mergeCells count="1">
    <mergeCell ref="E1:I4"/>
  </mergeCells>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workbookViewId="0">
      <selection activeCell="G30" sqref="G30"/>
    </sheetView>
  </sheetViews>
  <sheetFormatPr defaultRowHeight="15" x14ac:dyDescent="0.25"/>
  <cols>
    <col min="1" max="1" width="21.42578125" style="11" customWidth="1"/>
    <col min="2" max="2" width="15.7109375" style="11" customWidth="1"/>
    <col min="3" max="3" width="31.28515625" style="11" customWidth="1"/>
    <col min="4" max="4" width="9.140625" style="11"/>
    <col min="5" max="6" width="9.5703125" style="11" customWidth="1"/>
    <col min="7" max="16384" width="9.140625" style="11"/>
  </cols>
  <sheetData>
    <row r="1" spans="1:9" ht="15" customHeight="1" x14ac:dyDescent="0.25">
      <c r="A1" s="11" t="s">
        <v>74</v>
      </c>
      <c r="B1" s="11" t="s">
        <v>76</v>
      </c>
      <c r="C1" s="11" t="s">
        <v>72</v>
      </c>
      <c r="E1" s="83" t="s">
        <v>95</v>
      </c>
      <c r="F1" s="83"/>
      <c r="G1" s="83"/>
      <c r="H1" s="83"/>
      <c r="I1" s="83"/>
    </row>
    <row r="2" spans="1:9" x14ac:dyDescent="0.25">
      <c r="A2" s="11" t="s">
        <v>77</v>
      </c>
      <c r="B2" s="14">
        <v>10</v>
      </c>
      <c r="C2" s="23"/>
      <c r="E2" s="83"/>
      <c r="F2" s="83"/>
      <c r="G2" s="83"/>
      <c r="H2" s="83"/>
      <c r="I2" s="83"/>
    </row>
    <row r="3" spans="1:9" x14ac:dyDescent="0.25">
      <c r="A3" s="11" t="s">
        <v>78</v>
      </c>
      <c r="B3" s="14">
        <f>E26</f>
        <v>2.4049268590817805</v>
      </c>
      <c r="C3" s="23" t="s">
        <v>106</v>
      </c>
      <c r="E3" s="83"/>
      <c r="F3" s="83"/>
      <c r="G3" s="83"/>
      <c r="H3" s="83"/>
      <c r="I3" s="83"/>
    </row>
    <row r="4" spans="1:9" x14ac:dyDescent="0.25">
      <c r="A4" s="11" t="s">
        <v>79</v>
      </c>
      <c r="B4" s="14">
        <f>E18</f>
        <v>480</v>
      </c>
      <c r="C4" s="23"/>
      <c r="E4" s="83"/>
      <c r="F4" s="83"/>
      <c r="G4" s="83"/>
      <c r="H4" s="83"/>
      <c r="I4" s="83"/>
    </row>
    <row r="5" spans="1:9" x14ac:dyDescent="0.25">
      <c r="A5" s="11" t="s">
        <v>80</v>
      </c>
      <c r="B5" s="24">
        <f>E13</f>
        <v>8.2333333333333325</v>
      </c>
      <c r="C5" s="23" t="s">
        <v>92</v>
      </c>
    </row>
    <row r="6" spans="1:9" x14ac:dyDescent="0.25">
      <c r="B6" s="14"/>
      <c r="C6" s="15"/>
      <c r="E6" s="50">
        <v>6.5</v>
      </c>
      <c r="F6" s="11" t="s">
        <v>81</v>
      </c>
    </row>
    <row r="7" spans="1:9" x14ac:dyDescent="0.25">
      <c r="B7" s="14"/>
      <c r="C7" s="15"/>
      <c r="E7" s="51">
        <f>E6*2</f>
        <v>13</v>
      </c>
      <c r="F7" s="11" t="s">
        <v>82</v>
      </c>
    </row>
    <row r="8" spans="1:9" x14ac:dyDescent="0.25">
      <c r="B8" s="14"/>
      <c r="C8" s="15"/>
      <c r="E8" s="57">
        <v>12</v>
      </c>
      <c r="F8" s="11" t="s">
        <v>83</v>
      </c>
    </row>
    <row r="9" spans="1:9" x14ac:dyDescent="0.25">
      <c r="B9" s="14"/>
      <c r="C9" s="15"/>
      <c r="E9" s="4">
        <f>E7/E8</f>
        <v>1.0833333333333333</v>
      </c>
      <c r="F9" s="11" t="s">
        <v>135</v>
      </c>
    </row>
    <row r="10" spans="1:9" x14ac:dyDescent="0.25">
      <c r="B10" s="14"/>
      <c r="C10" s="15"/>
      <c r="E10" s="16">
        <v>1.9</v>
      </c>
      <c r="F10" s="11" t="s">
        <v>136</v>
      </c>
    </row>
    <row r="11" spans="1:9" x14ac:dyDescent="0.25">
      <c r="B11" s="14"/>
      <c r="C11" s="15"/>
      <c r="E11" s="17">
        <f>E10*E9</f>
        <v>2.0583333333333331</v>
      </c>
      <c r="F11" s="11" t="s">
        <v>84</v>
      </c>
    </row>
    <row r="12" spans="1:9" x14ac:dyDescent="0.25">
      <c r="B12" s="14"/>
      <c r="C12" s="15"/>
      <c r="E12" s="50">
        <v>4</v>
      </c>
      <c r="F12" s="11" t="s">
        <v>85</v>
      </c>
    </row>
    <row r="13" spans="1:9" x14ac:dyDescent="0.25">
      <c r="B13" s="14"/>
      <c r="C13" s="15"/>
      <c r="E13" s="17">
        <f>E11*E12</f>
        <v>8.2333333333333325</v>
      </c>
      <c r="F13" s="7" t="s">
        <v>86</v>
      </c>
    </row>
    <row r="14" spans="1:9" x14ac:dyDescent="0.25">
      <c r="B14" s="14"/>
      <c r="C14" s="15"/>
    </row>
    <row r="15" spans="1:9" x14ac:dyDescent="0.25">
      <c r="B15" s="14"/>
      <c r="C15" s="15"/>
      <c r="E15" s="18">
        <v>12</v>
      </c>
      <c r="F15" s="11" t="s">
        <v>87</v>
      </c>
    </row>
    <row r="16" spans="1:9" x14ac:dyDescent="0.25">
      <c r="B16" s="14"/>
      <c r="C16" s="15"/>
      <c r="E16" s="19">
        <v>2</v>
      </c>
      <c r="F16" s="11" t="s">
        <v>88</v>
      </c>
    </row>
    <row r="17" spans="1:7" x14ac:dyDescent="0.25">
      <c r="A17" s="11" t="s">
        <v>75</v>
      </c>
      <c r="B17" s="14">
        <f>SUBTOTAL(109,OngoingCosts[Cost/Week])</f>
        <v>500.63826019241515</v>
      </c>
      <c r="C17" s="15"/>
      <c r="E17" s="50">
        <f>5*4</f>
        <v>20</v>
      </c>
      <c r="F17" s="11" t="s">
        <v>89</v>
      </c>
    </row>
    <row r="18" spans="1:7" x14ac:dyDescent="0.25">
      <c r="E18" s="20">
        <f>E15*E17*E16</f>
        <v>480</v>
      </c>
      <c r="F18" s="7" t="s">
        <v>86</v>
      </c>
    </row>
    <row r="20" spans="1:7" x14ac:dyDescent="0.25">
      <c r="E20" s="4">
        <f>'Composting Area'!A15</f>
        <v>45.212512171372936</v>
      </c>
      <c r="F20" s="25" t="s">
        <v>93</v>
      </c>
      <c r="G20" s="26"/>
    </row>
    <row r="21" spans="1:7" x14ac:dyDescent="0.25">
      <c r="E21" s="52">
        <f>'Composting Area'!A12</f>
        <v>5</v>
      </c>
      <c r="F21" s="11" t="s">
        <v>38</v>
      </c>
    </row>
    <row r="22" spans="1:7" x14ac:dyDescent="0.25">
      <c r="E22" s="52">
        <f>E20*E21</f>
        <v>226.06256085686468</v>
      </c>
      <c r="F22" s="11" t="s">
        <v>94</v>
      </c>
    </row>
    <row r="23" spans="1:7" x14ac:dyDescent="0.25">
      <c r="E23" s="4">
        <f>'Compost Mixture'!A13</f>
        <v>4.7450606188373365</v>
      </c>
      <c r="F23" s="8" t="s">
        <v>67</v>
      </c>
    </row>
    <row r="24" spans="1:7" x14ac:dyDescent="0.25">
      <c r="E24" s="53">
        <f>E23*E22</f>
        <v>1072.6805549154274</v>
      </c>
      <c r="F24" s="11" t="s">
        <v>90</v>
      </c>
    </row>
    <row r="25" spans="1:7" x14ac:dyDescent="0.25">
      <c r="E25" s="31">
        <f>1.677/748</f>
        <v>2.2419786096256685E-3</v>
      </c>
      <c r="F25" s="11" t="s">
        <v>91</v>
      </c>
    </row>
    <row r="26" spans="1:7" x14ac:dyDescent="0.25">
      <c r="E26" s="22">
        <f>E24*E25</f>
        <v>2.4049268590817805</v>
      </c>
      <c r="F26" s="7" t="s">
        <v>86</v>
      </c>
    </row>
  </sheetData>
  <mergeCells count="1">
    <mergeCell ref="E1:I4"/>
  </mergeCells>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workbookViewId="0">
      <selection activeCell="F24" sqref="F24"/>
    </sheetView>
  </sheetViews>
  <sheetFormatPr defaultRowHeight="15" x14ac:dyDescent="0.25"/>
  <cols>
    <col min="1" max="1" width="21.42578125" style="11" customWidth="1"/>
    <col min="2" max="2" width="15.7109375" style="11" customWidth="1"/>
    <col min="3" max="3" width="31.28515625" style="11" customWidth="1"/>
    <col min="4" max="4" width="9.140625" style="11"/>
    <col min="5" max="5" width="10.5703125" style="11" customWidth="1"/>
    <col min="6" max="8" width="9.140625" style="11"/>
    <col min="9" max="9" width="9.5703125" style="11" customWidth="1"/>
    <col min="10" max="16384" width="9.140625" style="11"/>
  </cols>
  <sheetData>
    <row r="1" spans="1:10" ht="15" customHeight="1" x14ac:dyDescent="0.25">
      <c r="A1" s="11" t="s">
        <v>74</v>
      </c>
      <c r="B1" s="11" t="s">
        <v>97</v>
      </c>
      <c r="C1" s="11" t="s">
        <v>72</v>
      </c>
      <c r="E1" s="83" t="s">
        <v>96</v>
      </c>
      <c r="F1" s="83"/>
      <c r="G1" s="83"/>
      <c r="H1" s="83"/>
      <c r="I1" s="83"/>
    </row>
    <row r="2" spans="1:10" x14ac:dyDescent="0.25">
      <c r="A2" s="11" t="s">
        <v>100</v>
      </c>
      <c r="B2" s="14">
        <f>E9</f>
        <v>596.67999999999995</v>
      </c>
      <c r="C2" s="23"/>
      <c r="E2" s="83"/>
      <c r="F2" s="83"/>
      <c r="G2" s="83"/>
      <c r="H2" s="83"/>
      <c r="I2" s="83"/>
    </row>
    <row r="3" spans="1:10" x14ac:dyDescent="0.25">
      <c r="A3" s="11" t="s">
        <v>101</v>
      </c>
      <c r="B3" s="14">
        <f>E14</f>
        <v>92.592592592592581</v>
      </c>
      <c r="C3" s="23"/>
      <c r="E3" s="83"/>
      <c r="F3" s="83"/>
      <c r="G3" s="83"/>
      <c r="H3" s="83"/>
      <c r="I3" s="83"/>
    </row>
    <row r="4" spans="1:10" x14ac:dyDescent="0.25">
      <c r="B4" s="14"/>
      <c r="C4" s="23"/>
      <c r="E4" s="83"/>
      <c r="F4" s="83"/>
      <c r="G4" s="83"/>
      <c r="H4" s="83"/>
      <c r="I4" s="83"/>
    </row>
    <row r="5" spans="1:10" x14ac:dyDescent="0.25">
      <c r="B5" s="24"/>
      <c r="C5" s="23"/>
    </row>
    <row r="6" spans="1:10" x14ac:dyDescent="0.25">
      <c r="B6" s="14"/>
      <c r="C6" s="15"/>
      <c r="E6" s="19">
        <v>80</v>
      </c>
      <c r="F6" s="11" t="s">
        <v>123</v>
      </c>
      <c r="I6" s="4">
        <f>E11*E13/27</f>
        <v>0.92592592592592593</v>
      </c>
      <c r="J6" s="11" t="s">
        <v>128</v>
      </c>
    </row>
    <row r="7" spans="1:10" x14ac:dyDescent="0.25">
      <c r="B7" s="14"/>
      <c r="C7" s="15"/>
      <c r="E7" s="21">
        <v>8</v>
      </c>
      <c r="F7" s="11" t="s">
        <v>124</v>
      </c>
      <c r="I7" s="19">
        <v>40</v>
      </c>
      <c r="J7" s="11" t="s">
        <v>126</v>
      </c>
    </row>
    <row r="8" spans="1:10" x14ac:dyDescent="0.25">
      <c r="B8" s="14"/>
      <c r="C8" s="15"/>
      <c r="E8" s="21">
        <f>108.3/200</f>
        <v>0.54149999999999998</v>
      </c>
      <c r="F8" s="11" t="s">
        <v>147</v>
      </c>
      <c r="I8" s="19">
        <v>1000</v>
      </c>
      <c r="J8" s="11" t="s">
        <v>127</v>
      </c>
    </row>
    <row r="9" spans="1:10" x14ac:dyDescent="0.25">
      <c r="B9" s="14"/>
      <c r="C9" s="15"/>
      <c r="E9" s="20">
        <f>(E7-E8)*E6</f>
        <v>596.67999999999995</v>
      </c>
      <c r="F9" s="7" t="s">
        <v>86</v>
      </c>
      <c r="I9" s="4">
        <f>I7/I8*27</f>
        <v>1.08</v>
      </c>
      <c r="J9" s="34" t="s">
        <v>134</v>
      </c>
    </row>
    <row r="10" spans="1:10" x14ac:dyDescent="0.25">
      <c r="B10" s="14"/>
      <c r="C10" s="15"/>
      <c r="I10" s="4">
        <f>E6*I7/I8</f>
        <v>3.2</v>
      </c>
      <c r="J10" s="12" t="s">
        <v>129</v>
      </c>
    </row>
    <row r="11" spans="1:10" x14ac:dyDescent="0.25">
      <c r="B11" s="14"/>
      <c r="C11" s="15"/>
      <c r="E11" s="5">
        <v>5</v>
      </c>
      <c r="F11" s="11" t="s">
        <v>125</v>
      </c>
      <c r="I11" s="4">
        <f>'Composting Area'!A10</f>
        <v>4.5212512171372934</v>
      </c>
      <c r="J11" s="12" t="s">
        <v>130</v>
      </c>
    </row>
    <row r="12" spans="1:10" x14ac:dyDescent="0.25">
      <c r="B12" s="14"/>
      <c r="C12" s="15"/>
      <c r="E12" s="21">
        <f>E7/I9/2</f>
        <v>3.7037037037037033</v>
      </c>
      <c r="F12" s="11" t="s">
        <v>98</v>
      </c>
      <c r="I12" s="3">
        <f>I6+I10</f>
        <v>4.1259259259259258</v>
      </c>
      <c r="J12" s="7" t="s">
        <v>131</v>
      </c>
    </row>
    <row r="13" spans="1:10" x14ac:dyDescent="0.25">
      <c r="B13" s="14"/>
      <c r="C13" s="15"/>
      <c r="E13" s="50">
        <v>5</v>
      </c>
      <c r="F13" s="11" t="s">
        <v>99</v>
      </c>
      <c r="I13" s="4">
        <f>IF(I11&lt;I12,0,I11-I12)</f>
        <v>0.39532529121136761</v>
      </c>
      <c r="J13" s="7" t="s">
        <v>132</v>
      </c>
    </row>
    <row r="14" spans="1:10" x14ac:dyDescent="0.25">
      <c r="B14" s="14"/>
      <c r="C14" s="15"/>
      <c r="E14" s="20">
        <f>E12*E11*E13</f>
        <v>92.592592592592581</v>
      </c>
      <c r="F14" s="7" t="s">
        <v>86</v>
      </c>
    </row>
    <row r="15" spans="1:10" x14ac:dyDescent="0.25">
      <c r="B15" s="14"/>
      <c r="C15" s="15"/>
    </row>
    <row r="16" spans="1:10" x14ac:dyDescent="0.25">
      <c r="B16" s="14"/>
      <c r="C16" s="15"/>
    </row>
    <row r="17" spans="1:7" x14ac:dyDescent="0.25">
      <c r="A17" s="11" t="s">
        <v>75</v>
      </c>
      <c r="B17" s="14">
        <f>SUBTOTAL(109,Profits[Profit/Week])</f>
        <v>689.27259259259256</v>
      </c>
      <c r="C17" s="15"/>
    </row>
    <row r="20" spans="1:7" x14ac:dyDescent="0.25">
      <c r="G20" s="26"/>
    </row>
  </sheetData>
  <mergeCells count="1">
    <mergeCell ref="E1:I4"/>
  </mergeCells>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D6" sqref="D6"/>
    </sheetView>
  </sheetViews>
  <sheetFormatPr defaultRowHeight="15" x14ac:dyDescent="0.25"/>
  <cols>
    <col min="1" max="1" width="22.42578125" customWidth="1"/>
    <col min="2" max="2" width="17.42578125" customWidth="1"/>
  </cols>
  <sheetData>
    <row r="1" spans="1:2" x14ac:dyDescent="0.25">
      <c r="A1" s="11" t="s">
        <v>102</v>
      </c>
      <c r="B1" s="22">
        <f>InitialCosts[[#Totals],[Cost]]</f>
        <v>67135</v>
      </c>
    </row>
    <row r="2" spans="1:2" x14ac:dyDescent="0.25">
      <c r="A2" s="11" t="s">
        <v>103</v>
      </c>
      <c r="B2" s="27">
        <f>Profits[[#Totals],[Profit/Week]]-OngoingCosts[[#Totals],[Cost/Week]]</f>
        <v>188.63433240017741</v>
      </c>
    </row>
    <row r="3" spans="1:2" x14ac:dyDescent="0.25">
      <c r="A3" s="11" t="s">
        <v>104</v>
      </c>
      <c r="B3" s="29">
        <f>IF(B1=0,0,IF(B2&lt;=0,"-",_xlfn.CEILING.MATH(B1/B2)))</f>
        <v>356</v>
      </c>
    </row>
    <row r="4" spans="1:2" x14ac:dyDescent="0.25">
      <c r="A4" s="11" t="s">
        <v>105</v>
      </c>
      <c r="B4" s="30">
        <f>IFERROR(B3/52,"-")</f>
        <v>6.8461538461538458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Introduction</vt:lpstr>
      <vt:lpstr>Compost Mixture</vt:lpstr>
      <vt:lpstr>Bosque Deadwood</vt:lpstr>
      <vt:lpstr>Composting Area</vt:lpstr>
      <vt:lpstr>Initial Costs</vt:lpstr>
      <vt:lpstr>Ongoing Costs</vt:lpstr>
      <vt:lpstr>Profits</vt:lpstr>
      <vt:lpstr>Cost Summary</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2016-04-29T16:56:26Z</dcterms:created>
  <dcterms:modified xsi:type="dcterms:W3CDTF">2016-05-01T21:36:44Z</dcterms:modified>
</cp:coreProperties>
</file>