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era\OneDrive\Documents\MQP\"/>
    </mc:Choice>
  </mc:AlternateContent>
  <xr:revisionPtr revIDLastSave="0" documentId="8_{AE34E799-5456-4AF5-8E3E-E5CEF2D87A84}" xr6:coauthVersionLast="47" xr6:coauthVersionMax="47" xr10:uidLastSave="{00000000-0000-0000-0000-000000000000}"/>
  <bookViews>
    <workbookView xWindow="-120" yWindow="-120" windowWidth="29040" windowHeight="15840" firstSheet="19" activeTab="25" xr2:uid="{C7F868C1-C46D-4484-9B29-FC2B44B77BF2}"/>
  </bookViews>
  <sheets>
    <sheet name="Data table" sheetId="13" r:id="rId1"/>
    <sheet name="Link Ratios" sheetId="21" r:id="rId2"/>
    <sheet name="Also Link Ratioos" sheetId="22" r:id="rId3"/>
    <sheet name="More intro stuff" sheetId="23" r:id="rId4"/>
    <sheet name="Even More" sheetId="24" r:id="rId5"/>
    <sheet name="Link ratio-development table" sheetId="35" r:id="rId6"/>
    <sheet name="Reserve" sheetId="36" r:id="rId7"/>
    <sheet name="Sheet1" sheetId="38" r:id="rId8"/>
    <sheet name="G(X)" sheetId="32" r:id="rId9"/>
    <sheet name="G(x with theta and omega assume" sheetId="31" r:id="rId10"/>
    <sheet name="g(X)-g(X-1)" sheetId="25" r:id="rId11"/>
    <sheet name="Identity" sheetId="26" r:id="rId12"/>
    <sheet name="ln(U)" sheetId="27" r:id="rId13"/>
    <sheet name="c x ln(u)" sheetId="28" r:id="rId14"/>
    <sheet name="c ln(u)-u" sheetId="29" r:id="rId15"/>
    <sheet name="adjusted for what isn't reporte" sheetId="30" r:id="rId16"/>
    <sheet name="Data Development" sheetId="1" r:id="rId17"/>
    <sheet name="Old development method" sheetId="2" r:id="rId18"/>
    <sheet name="Tabular Format" sheetId="4" r:id="rId19"/>
    <sheet name="Incremental loss" sheetId="8" r:id="rId20"/>
    <sheet name="Cape Cod data" sheetId="37" r:id="rId21"/>
    <sheet name="Weibul CDF" sheetId="7" r:id="rId22"/>
    <sheet name="Loglogistic CDF" sheetId="5" r:id="rId23"/>
    <sheet name="Sheet6" sheetId="19" r:id="rId24"/>
    <sheet name="Sheet5" sheetId="17" r:id="rId25"/>
    <sheet name="Loglogistic Cape Cod" sheetId="9" r:id="rId26"/>
    <sheet name="Sheet3" sheetId="15" r:id="rId27"/>
    <sheet name="Sheet4" sheetId="16" state="hidden" r:id="rId28"/>
    <sheet name="LDF Logistic CDF Proof" sheetId="12" r:id="rId29"/>
    <sheet name="Winter Break Timeline" sheetId="20" r:id="rId30"/>
    <sheet name="Why pareto estimation" sheetId="33" r:id="rId31"/>
    <sheet name="pareto estimation" sheetId="34" r:id="rId32"/>
  </sheets>
  <definedNames>
    <definedName name="solver_adj" localSheetId="28" hidden="1">'LDF Logistic CDF Proof'!$B$2:$K$2,'LDF Logistic CDF Proof'!$B$3:$J$3,'LDF Logistic CDF Proof'!$B$4:$I$4,'LDF Logistic CDF Proof'!$B$5:$H$5,'LDF Logistic CDF Proof'!$B$6:$G$6,'LDF Logistic CDF Proof'!$B$7:$F$7,'LDF Logistic CDF Proof'!$B$8:$E$8,'LDF Logistic CDF Proof'!$B$9:$D$9,'LDF Logistic CDF Proof'!$B$10:$C$10,'LDF Logistic CDF Proof'!$B$11</definedName>
    <definedName name="solver_adj" localSheetId="25" hidden="1">'Loglogistic Cape Cod'!$B$33:$B$35</definedName>
    <definedName name="solver_adj" localSheetId="22" hidden="1">'Loglogistic CDF'!$M$2:$M$11,'Loglogistic CDF'!$B$29:$B$30</definedName>
    <definedName name="solver_adj" localSheetId="26" hidden="1">Sheet3!$B$34:$B$35</definedName>
    <definedName name="solver_adj" localSheetId="27" hidden="1">Sheet4!$B$34:$B$35,Sheet4!$M$2:$M$11</definedName>
    <definedName name="solver_adj" localSheetId="24" hidden="1">Sheet5!$B$34:$B$35,Sheet5!$M$2:$M$11</definedName>
    <definedName name="solver_adj" localSheetId="23" hidden="1">Sheet6!$M$2:$M$11,Sheet6!$B$34:$B$35</definedName>
    <definedName name="solver_adj" localSheetId="21" hidden="1">'Weibul CDF'!$M$2:$M$11,'Weibul CDF'!$B$34:$B$35</definedName>
    <definedName name="solver_cvg" localSheetId="28" hidden="1">0.0001</definedName>
    <definedName name="solver_cvg" localSheetId="25" hidden="1">0.0001</definedName>
    <definedName name="solver_cvg" localSheetId="22" hidden="1">0.0001</definedName>
    <definedName name="solver_cvg" localSheetId="26" hidden="1">0.0001</definedName>
    <definedName name="solver_cvg" localSheetId="27" hidden="1">0.0001</definedName>
    <definedName name="solver_cvg" localSheetId="24" hidden="1">0.0001</definedName>
    <definedName name="solver_cvg" localSheetId="23" hidden="1">0.0001</definedName>
    <definedName name="solver_cvg" localSheetId="21" hidden="1">0.0001</definedName>
    <definedName name="solver_drv" localSheetId="28" hidden="1">1</definedName>
    <definedName name="solver_drv" localSheetId="25" hidden="1">1</definedName>
    <definedName name="solver_drv" localSheetId="22" hidden="1">1</definedName>
    <definedName name="solver_drv" localSheetId="26" hidden="1">1</definedName>
    <definedName name="solver_drv" localSheetId="27" hidden="1">1</definedName>
    <definedName name="solver_drv" localSheetId="24" hidden="1">1</definedName>
    <definedName name="solver_drv" localSheetId="23" hidden="1">2</definedName>
    <definedName name="solver_drv" localSheetId="21" hidden="1">2</definedName>
    <definedName name="solver_eng" localSheetId="28" hidden="1">1</definedName>
    <definedName name="solver_eng" localSheetId="25" hidden="1">1</definedName>
    <definedName name="solver_eng" localSheetId="22" hidden="1">1</definedName>
    <definedName name="solver_eng" localSheetId="26" hidden="1">1</definedName>
    <definedName name="solver_eng" localSheetId="27" hidden="1">1</definedName>
    <definedName name="solver_eng" localSheetId="24" hidden="1">1</definedName>
    <definedName name="solver_eng" localSheetId="23" hidden="1">1</definedName>
    <definedName name="solver_eng" localSheetId="21" hidden="1">1</definedName>
    <definedName name="solver_est" localSheetId="28" hidden="1">1</definedName>
    <definedName name="solver_est" localSheetId="25" hidden="1">1</definedName>
    <definedName name="solver_est" localSheetId="22" hidden="1">1</definedName>
    <definedName name="solver_est" localSheetId="26" hidden="1">1</definedName>
    <definedName name="solver_est" localSheetId="27" hidden="1">1</definedName>
    <definedName name="solver_est" localSheetId="24" hidden="1">1</definedName>
    <definedName name="solver_est" localSheetId="23" hidden="1">1</definedName>
    <definedName name="solver_est" localSheetId="21" hidden="1">1</definedName>
    <definedName name="solver_itr" localSheetId="28" hidden="1">2147483647</definedName>
    <definedName name="solver_itr" localSheetId="25" hidden="1">2147483647</definedName>
    <definedName name="solver_itr" localSheetId="22" hidden="1">2147483647</definedName>
    <definedName name="solver_itr" localSheetId="26" hidden="1">2147483647</definedName>
    <definedName name="solver_itr" localSheetId="27" hidden="1">2147483647</definedName>
    <definedName name="solver_itr" localSheetId="24" hidden="1">2147483647</definedName>
    <definedName name="solver_itr" localSheetId="23" hidden="1">2147483647</definedName>
    <definedName name="solver_itr" localSheetId="21" hidden="1">2147483647</definedName>
    <definedName name="solver_mip" localSheetId="28" hidden="1">2147483647</definedName>
    <definedName name="solver_mip" localSheetId="25" hidden="1">2147483647</definedName>
    <definedName name="solver_mip" localSheetId="22" hidden="1">2147483647</definedName>
    <definedName name="solver_mip" localSheetId="26" hidden="1">2147483647</definedName>
    <definedName name="solver_mip" localSheetId="27" hidden="1">2147483647</definedName>
    <definedName name="solver_mip" localSheetId="24" hidden="1">2147483647</definedName>
    <definedName name="solver_mip" localSheetId="23" hidden="1">2147483647</definedName>
    <definedName name="solver_mip" localSheetId="21" hidden="1">2147483647</definedName>
    <definedName name="solver_mni" localSheetId="28" hidden="1">30</definedName>
    <definedName name="solver_mni" localSheetId="25" hidden="1">30</definedName>
    <definedName name="solver_mni" localSheetId="22" hidden="1">30</definedName>
    <definedName name="solver_mni" localSheetId="26" hidden="1">30</definedName>
    <definedName name="solver_mni" localSheetId="27" hidden="1">30</definedName>
    <definedName name="solver_mni" localSheetId="24" hidden="1">30</definedName>
    <definedName name="solver_mni" localSheetId="23" hidden="1">30</definedName>
    <definedName name="solver_mni" localSheetId="21" hidden="1">30</definedName>
    <definedName name="solver_mrt" localSheetId="28" hidden="1">0.075</definedName>
    <definedName name="solver_mrt" localSheetId="25" hidden="1">0.075</definedName>
    <definedName name="solver_mrt" localSheetId="22" hidden="1">0.075</definedName>
    <definedName name="solver_mrt" localSheetId="26" hidden="1">0.075</definedName>
    <definedName name="solver_mrt" localSheetId="27" hidden="1">0.075</definedName>
    <definedName name="solver_mrt" localSheetId="24" hidden="1">0.075</definedName>
    <definedName name="solver_mrt" localSheetId="23" hidden="1">0.075</definedName>
    <definedName name="solver_mrt" localSheetId="21" hidden="1">0.075</definedName>
    <definedName name="solver_msl" localSheetId="28" hidden="1">2</definedName>
    <definedName name="solver_msl" localSheetId="25" hidden="1">2</definedName>
    <definedName name="solver_msl" localSheetId="22" hidden="1">2</definedName>
    <definedName name="solver_msl" localSheetId="26" hidden="1">2</definedName>
    <definedName name="solver_msl" localSheetId="27" hidden="1">2</definedName>
    <definedName name="solver_msl" localSheetId="24" hidden="1">2</definedName>
    <definedName name="solver_msl" localSheetId="23" hidden="1">2</definedName>
    <definedName name="solver_msl" localSheetId="21" hidden="1">2</definedName>
    <definedName name="solver_neg" localSheetId="28" hidden="1">1</definedName>
    <definedName name="solver_neg" localSheetId="25" hidden="1">1</definedName>
    <definedName name="solver_neg" localSheetId="22" hidden="1">1</definedName>
    <definedName name="solver_neg" localSheetId="26" hidden="1">1</definedName>
    <definedName name="solver_neg" localSheetId="27" hidden="1">1</definedName>
    <definedName name="solver_neg" localSheetId="24" hidden="1">1</definedName>
    <definedName name="solver_neg" localSheetId="23" hidden="1">1</definedName>
    <definedName name="solver_neg" localSheetId="21" hidden="1">1</definedName>
    <definedName name="solver_nod" localSheetId="28" hidden="1">2147483647</definedName>
    <definedName name="solver_nod" localSheetId="25" hidden="1">2147483647</definedName>
    <definedName name="solver_nod" localSheetId="22" hidden="1">2147483647</definedName>
    <definedName name="solver_nod" localSheetId="26" hidden="1">2147483647</definedName>
    <definedName name="solver_nod" localSheetId="27" hidden="1">2147483647</definedName>
    <definedName name="solver_nod" localSheetId="24" hidden="1">2147483647</definedName>
    <definedName name="solver_nod" localSheetId="23" hidden="1">2147483647</definedName>
    <definedName name="solver_nod" localSheetId="21" hidden="1">2147483647</definedName>
    <definedName name="solver_num" localSheetId="28" hidden="1">0</definedName>
    <definedName name="solver_num" localSheetId="25" hidden="1">0</definedName>
    <definedName name="solver_num" localSheetId="22" hidden="1">0</definedName>
    <definedName name="solver_num" localSheetId="26" hidden="1">0</definedName>
    <definedName name="solver_num" localSheetId="27" hidden="1">0</definedName>
    <definedName name="solver_num" localSheetId="24" hidden="1">0</definedName>
    <definedName name="solver_num" localSheetId="23" hidden="1">0</definedName>
    <definedName name="solver_num" localSheetId="21" hidden="1">0</definedName>
    <definedName name="solver_nwt" localSheetId="28" hidden="1">1</definedName>
    <definedName name="solver_nwt" localSheetId="25" hidden="1">1</definedName>
    <definedName name="solver_nwt" localSheetId="22" hidden="1">1</definedName>
    <definedName name="solver_nwt" localSheetId="26" hidden="1">1</definedName>
    <definedName name="solver_nwt" localSheetId="27" hidden="1">1</definedName>
    <definedName name="solver_nwt" localSheetId="24" hidden="1">1</definedName>
    <definedName name="solver_nwt" localSheetId="23" hidden="1">1</definedName>
    <definedName name="solver_nwt" localSheetId="21" hidden="1">1</definedName>
    <definedName name="solver_opt" localSheetId="28" hidden="1">'LDF Logistic CDF Proof'!$B$36</definedName>
    <definedName name="solver_opt" localSheetId="25" hidden="1">'Loglogistic Cape Cod'!$B$36</definedName>
    <definedName name="solver_opt" localSheetId="22" hidden="1">'Loglogistic CDF'!$B$31</definedName>
    <definedName name="solver_opt" localSheetId="26" hidden="1">Sheet3!$B$36</definedName>
    <definedName name="solver_opt" localSheetId="27" hidden="1">Sheet4!$B$36</definedName>
    <definedName name="solver_opt" localSheetId="24" hidden="1">Sheet5!$B$36</definedName>
    <definedName name="solver_opt" localSheetId="23" hidden="1">Sheet6!$B$36</definedName>
    <definedName name="solver_opt" localSheetId="21" hidden="1">'Weibul CDF'!$B$36</definedName>
    <definedName name="solver_pre" localSheetId="28" hidden="1">0.000001</definedName>
    <definedName name="solver_pre" localSheetId="25" hidden="1">0.000001</definedName>
    <definedName name="solver_pre" localSheetId="22" hidden="1">0.000001</definedName>
    <definedName name="solver_pre" localSheetId="26" hidden="1">0.000001</definedName>
    <definedName name="solver_pre" localSheetId="27" hidden="1">0.000001</definedName>
    <definedName name="solver_pre" localSheetId="24" hidden="1">0.000001</definedName>
    <definedName name="solver_pre" localSheetId="23" hidden="1">0.000001</definedName>
    <definedName name="solver_pre" localSheetId="21" hidden="1">0.000001</definedName>
    <definedName name="solver_rbv" localSheetId="28" hidden="1">2</definedName>
    <definedName name="solver_rbv" localSheetId="25" hidden="1">1</definedName>
    <definedName name="solver_rbv" localSheetId="22" hidden="1">1</definedName>
    <definedName name="solver_rbv" localSheetId="26" hidden="1">1</definedName>
    <definedName name="solver_rbv" localSheetId="27" hidden="1">1</definedName>
    <definedName name="solver_rbv" localSheetId="24" hidden="1">1</definedName>
    <definedName name="solver_rbv" localSheetId="23" hidden="1">2</definedName>
    <definedName name="solver_rbv" localSheetId="21" hidden="1">2</definedName>
    <definedName name="solver_rlx" localSheetId="28" hidden="1">2</definedName>
    <definedName name="solver_rlx" localSheetId="25" hidden="1">2</definedName>
    <definedName name="solver_rlx" localSheetId="22" hidden="1">2</definedName>
    <definedName name="solver_rlx" localSheetId="26" hidden="1">2</definedName>
    <definedName name="solver_rlx" localSheetId="27" hidden="1">2</definedName>
    <definedName name="solver_rlx" localSheetId="24" hidden="1">2</definedName>
    <definedName name="solver_rlx" localSheetId="23" hidden="1">2</definedName>
    <definedName name="solver_rlx" localSheetId="21" hidden="1">2</definedName>
    <definedName name="solver_rsd" localSheetId="28" hidden="1">0</definedName>
    <definedName name="solver_rsd" localSheetId="25" hidden="1">0</definedName>
    <definedName name="solver_rsd" localSheetId="22" hidden="1">0</definedName>
    <definedName name="solver_rsd" localSheetId="26" hidden="1">0</definedName>
    <definedName name="solver_rsd" localSheetId="27" hidden="1">0</definedName>
    <definedName name="solver_rsd" localSheetId="24" hidden="1">0</definedName>
    <definedName name="solver_rsd" localSheetId="23" hidden="1">0</definedName>
    <definedName name="solver_rsd" localSheetId="21" hidden="1">0</definedName>
    <definedName name="solver_scl" localSheetId="28" hidden="1">2</definedName>
    <definedName name="solver_scl" localSheetId="25" hidden="1">1</definedName>
    <definedName name="solver_scl" localSheetId="22" hidden="1">1</definedName>
    <definedName name="solver_scl" localSheetId="26" hidden="1">1</definedName>
    <definedName name="solver_scl" localSheetId="27" hidden="1">1</definedName>
    <definedName name="solver_scl" localSheetId="24" hidden="1">1</definedName>
    <definedName name="solver_scl" localSheetId="23" hidden="1">2</definedName>
    <definedName name="solver_scl" localSheetId="21" hidden="1">2</definedName>
    <definedName name="solver_sho" localSheetId="28" hidden="1">2</definedName>
    <definedName name="solver_sho" localSheetId="25" hidden="1">2</definedName>
    <definedName name="solver_sho" localSheetId="22" hidden="1">2</definedName>
    <definedName name="solver_sho" localSheetId="26" hidden="1">2</definedName>
    <definedName name="solver_sho" localSheetId="27" hidden="1">2</definedName>
    <definedName name="solver_sho" localSheetId="24" hidden="1">2</definedName>
    <definedName name="solver_sho" localSheetId="23" hidden="1">2</definedName>
    <definedName name="solver_sho" localSheetId="21" hidden="1">2</definedName>
    <definedName name="solver_ssz" localSheetId="28" hidden="1">0</definedName>
    <definedName name="solver_ssz" localSheetId="25" hidden="1">100</definedName>
    <definedName name="solver_ssz" localSheetId="22" hidden="1">100</definedName>
    <definedName name="solver_ssz" localSheetId="26" hidden="1">100</definedName>
    <definedName name="solver_ssz" localSheetId="27" hidden="1">100</definedName>
    <definedName name="solver_ssz" localSheetId="24" hidden="1">100</definedName>
    <definedName name="solver_ssz" localSheetId="23" hidden="1">100</definedName>
    <definedName name="solver_ssz" localSheetId="21" hidden="1">100</definedName>
    <definedName name="solver_tim" localSheetId="28" hidden="1">2147483647</definedName>
    <definedName name="solver_tim" localSheetId="25" hidden="1">2147483647</definedName>
    <definedName name="solver_tim" localSheetId="22" hidden="1">2147483647</definedName>
    <definedName name="solver_tim" localSheetId="26" hidden="1">2147483647</definedName>
    <definedName name="solver_tim" localSheetId="27" hidden="1">2147483647</definedName>
    <definedName name="solver_tim" localSheetId="24" hidden="1">2147483647</definedName>
    <definedName name="solver_tim" localSheetId="23" hidden="1">2147483647</definedName>
    <definedName name="solver_tim" localSheetId="21" hidden="1">2147483647</definedName>
    <definedName name="solver_tol" localSheetId="28" hidden="1">0.01</definedName>
    <definedName name="solver_tol" localSheetId="25" hidden="1">0.01</definedName>
    <definedName name="solver_tol" localSheetId="22" hidden="1">0.01</definedName>
    <definedName name="solver_tol" localSheetId="26" hidden="1">0.01</definedName>
    <definedName name="solver_tol" localSheetId="27" hidden="1">0.01</definedName>
    <definedName name="solver_tol" localSheetId="24" hidden="1">0.01</definedName>
    <definedName name="solver_tol" localSheetId="23" hidden="1">0.01</definedName>
    <definedName name="solver_tol" localSheetId="21" hidden="1">0.01</definedName>
    <definedName name="solver_typ" localSheetId="28" hidden="1">1</definedName>
    <definedName name="solver_typ" localSheetId="25" hidden="1">3</definedName>
    <definedName name="solver_typ" localSheetId="22" hidden="1">1</definedName>
    <definedName name="solver_typ" localSheetId="26" hidden="1">1</definedName>
    <definedName name="solver_typ" localSheetId="27" hidden="1">1</definedName>
    <definedName name="solver_typ" localSheetId="24" hidden="1">1</definedName>
    <definedName name="solver_typ" localSheetId="23" hidden="1">1</definedName>
    <definedName name="solver_typ" localSheetId="21" hidden="1">1</definedName>
    <definedName name="solver_val" localSheetId="28" hidden="1">1688</definedName>
    <definedName name="solver_val" localSheetId="25" hidden="1">1684.63</definedName>
    <definedName name="solver_val" localSheetId="22" hidden="1">0</definedName>
    <definedName name="solver_val" localSheetId="26" hidden="1">0</definedName>
    <definedName name="solver_val" localSheetId="27" hidden="1">0</definedName>
    <definedName name="solver_val" localSheetId="24" hidden="1">0</definedName>
    <definedName name="solver_val" localSheetId="23" hidden="1">0</definedName>
    <definedName name="solver_val" localSheetId="21" hidden="1">0</definedName>
    <definedName name="solver_ver" localSheetId="28" hidden="1">3</definedName>
    <definedName name="solver_ver" localSheetId="25" hidden="1">3</definedName>
    <definedName name="solver_ver" localSheetId="22" hidden="1">3</definedName>
    <definedName name="solver_ver" localSheetId="26" hidden="1">3</definedName>
    <definedName name="solver_ver" localSheetId="27" hidden="1">3</definedName>
    <definedName name="solver_ver" localSheetId="24" hidden="1">3</definedName>
    <definedName name="solver_ver" localSheetId="23" hidden="1">3</definedName>
    <definedName name="solver_ver" localSheetId="21" hidden="1">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1" i="9" l="1"/>
  <c r="M2" i="9" a="1"/>
  <c r="M2" i="9" s="1"/>
  <c r="L2" i="9"/>
  <c r="L3" i="9"/>
  <c r="G25" i="37" a="1"/>
  <c r="G25" i="37" s="1"/>
  <c r="H25" i="37" s="1"/>
  <c r="K49" i="37"/>
  <c r="K50" i="37"/>
  <c r="K51" i="37"/>
  <c r="K52" i="37"/>
  <c r="K53" i="37"/>
  <c r="K54" i="37"/>
  <c r="K55" i="37"/>
  <c r="K56" i="37"/>
  <c r="K48" i="37"/>
  <c r="I56" i="37"/>
  <c r="I49" i="37"/>
  <c r="I50" i="37"/>
  <c r="I51" i="37"/>
  <c r="I52" i="37"/>
  <c r="I53" i="37"/>
  <c r="I54" i="37"/>
  <c r="I55" i="37"/>
  <c r="I48" i="37"/>
  <c r="G48" i="37"/>
  <c r="C48" i="37" a="1"/>
  <c r="C48" i="37" s="1"/>
  <c r="AC194" i="9"/>
  <c r="AA194" i="9"/>
  <c r="D194" i="9" a="1"/>
  <c r="D194" i="9" s="1"/>
  <c r="P194" i="9" s="1" a="1"/>
  <c r="P194" i="9" s="1"/>
  <c r="N222" i="9"/>
  <c r="P2" i="37"/>
  <c r="O27" i="37"/>
  <c r="Q2" i="37"/>
  <c r="O2" i="37"/>
  <c r="K25" i="37"/>
  <c r="H48" i="37"/>
  <c r="N3" i="37"/>
  <c r="N4" i="37"/>
  <c r="N5" i="37"/>
  <c r="N6" i="37"/>
  <c r="N7" i="37"/>
  <c r="N8" i="37"/>
  <c r="N9" i="37"/>
  <c r="N10" i="37"/>
  <c r="N11" i="37"/>
  <c r="N2" i="37"/>
  <c r="K16" i="37"/>
  <c r="H49" i="37"/>
  <c r="H50" i="37"/>
  <c r="H51" i="37"/>
  <c r="H52" i="37"/>
  <c r="H53" i="37"/>
  <c r="H54" i="37"/>
  <c r="H55" i="37"/>
  <c r="H56" i="37"/>
  <c r="L11" i="38"/>
  <c r="L10" i="38"/>
  <c r="L9" i="38"/>
  <c r="L8" i="38"/>
  <c r="L7" i="38"/>
  <c r="L6" i="38"/>
  <c r="L5" i="38"/>
  <c r="L4" i="38"/>
  <c r="L3" i="38"/>
  <c r="L12" i="38"/>
  <c r="M2" i="35"/>
  <c r="A26" i="9" a="1"/>
  <c r="A26" i="9" s="1"/>
  <c r="A23" i="9" s="1" a="1"/>
  <c r="A23" i="9" s="1"/>
  <c r="A24" i="9" s="1" a="1"/>
  <c r="A24" i="9" s="1"/>
  <c r="K17" i="37"/>
  <c r="K18" i="37"/>
  <c r="K19" i="37"/>
  <c r="K20" i="37"/>
  <c r="K21" i="37"/>
  <c r="K22" i="37"/>
  <c r="K23" i="37"/>
  <c r="K24" i="37"/>
  <c r="D23" i="37"/>
  <c r="D24" i="37"/>
  <c r="D25" i="37"/>
  <c r="D21" i="37"/>
  <c r="D22" i="37"/>
  <c r="D18" i="37"/>
  <c r="D19" i="37"/>
  <c r="D20" i="37"/>
  <c r="D17" i="37"/>
  <c r="D16" i="37"/>
  <c r="L4" i="9"/>
  <c r="L5" i="9"/>
  <c r="L6" i="9"/>
  <c r="L7" i="9"/>
  <c r="L8" i="9"/>
  <c r="L9" i="9"/>
  <c r="L10" i="9"/>
  <c r="L11" i="9"/>
  <c r="AB194" i="33"/>
  <c r="P2" i="12" a="1"/>
  <c r="P2" i="12" s="1"/>
  <c r="P2" i="15" a="1"/>
  <c r="P2" i="15" s="1"/>
  <c r="P2" i="17" a="1"/>
  <c r="P2" i="17" s="1"/>
  <c r="P2" i="7" a="1"/>
  <c r="P2" i="7" s="1"/>
  <c r="Q26" i="7" s="1" a="1"/>
  <c r="Q26" i="7" s="1"/>
  <c r="AA26" i="7" s="1"/>
  <c r="L2" i="15" a="1"/>
  <c r="L2" i="15" s="1"/>
  <c r="Y42" i="5"/>
  <c r="AA168" i="9" a="1"/>
  <c r="AA168" i="9" s="1"/>
  <c r="P111" i="9" a="1"/>
  <c r="P111" i="9" s="1"/>
  <c r="P112" i="9" s="1" a="1"/>
  <c r="P112" i="9" s="1"/>
  <c r="P98" i="9" a="1"/>
  <c r="P98" i="9" s="1"/>
  <c r="P89" i="9" a="1"/>
  <c r="P89" i="9" s="1"/>
  <c r="P91" i="9" a="1"/>
  <c r="P91" i="9" s="1"/>
  <c r="P92" i="9" s="1" a="1"/>
  <c r="P92" i="9" s="1"/>
  <c r="P87" i="9" s="1" a="1"/>
  <c r="P87" i="9" s="1"/>
  <c r="R69" i="5" a="1"/>
  <c r="R69" i="5" s="1"/>
  <c r="G77" i="5" s="1" a="1"/>
  <c r="G77" i="5" s="1"/>
  <c r="R81" i="5" s="1"/>
  <c r="R84" i="5" s="1"/>
  <c r="M2" i="36"/>
  <c r="L11" i="36"/>
  <c r="L10" i="36"/>
  <c r="L9" i="36"/>
  <c r="L8" i="36"/>
  <c r="L7" i="36"/>
  <c r="L6" i="36"/>
  <c r="L5" i="36"/>
  <c r="L4" i="36"/>
  <c r="L3" i="36"/>
  <c r="B36" i="12" a="1"/>
  <c r="B36" i="12" s="1"/>
  <c r="BF17" i="16" a="1"/>
  <c r="BF17" i="16" s="1"/>
  <c r="BQ28" i="16" s="1" a="1"/>
  <c r="BQ28" i="16" s="1"/>
  <c r="B36" i="19" a="1"/>
  <c r="B36" i="19" s="1"/>
  <c r="A26" i="5" a="1"/>
  <c r="A26" i="5" s="1"/>
  <c r="A26" i="19" a="1"/>
  <c r="A26" i="19" s="1"/>
  <c r="A23" i="19" s="1" a="1"/>
  <c r="B36" i="7" a="1"/>
  <c r="B36" i="7" s="1"/>
  <c r="U40" i="33" a="1"/>
  <c r="U40" i="33" s="1"/>
  <c r="A26" i="7" a="1"/>
  <c r="A26" i="7" s="1"/>
  <c r="A23" i="7" s="1" a="1"/>
  <c r="AJ56" i="34"/>
  <c r="AI56" i="34"/>
  <c r="AH56" i="34"/>
  <c r="AT60" i="34"/>
  <c r="AT59" i="34"/>
  <c r="AI59" i="34" a="1"/>
  <c r="AI59" i="34" s="1"/>
  <c r="X59" i="34" a="1"/>
  <c r="X59" i="34" s="1"/>
  <c r="M59" i="34" a="1"/>
  <c r="M59" i="34" s="1"/>
  <c r="B59" i="34" a="1"/>
  <c r="B59" i="34" s="1"/>
  <c r="X50" i="34"/>
  <c r="P25" i="34" a="1"/>
  <c r="P25" i="34" s="1"/>
  <c r="B38" i="34" s="1" a="1"/>
  <c r="B38" i="34" s="1"/>
  <c r="O194" i="33"/>
  <c r="D194" i="33" a="1"/>
  <c r="D194" i="33" s="1"/>
  <c r="Q194" i="33" s="1" a="1"/>
  <c r="Q194" i="33" s="1"/>
  <c r="Q206" i="33" s="1" a="1"/>
  <c r="Q206" i="33" s="1"/>
  <c r="Z168" i="33" a="1"/>
  <c r="Z168" i="33" s="1"/>
  <c r="O168" i="33" a="1"/>
  <c r="O168" i="33" s="1"/>
  <c r="O171" i="33" s="1" a="1"/>
  <c r="O171" i="33" s="1"/>
  <c r="O157" i="33" a="1"/>
  <c r="O157" i="33" s="1"/>
  <c r="Z133" i="33" a="1"/>
  <c r="Z133" i="33" s="1"/>
  <c r="Z134" i="33" s="1" a="1"/>
  <c r="Z134" i="33" s="1"/>
  <c r="O133" i="33" a="1"/>
  <c r="O133" i="33" s="1"/>
  <c r="Z122" i="33" a="1"/>
  <c r="Z122" i="33" s="1"/>
  <c r="O122" i="33" a="1"/>
  <c r="O122" i="33" s="1"/>
  <c r="Z111" i="33" a="1"/>
  <c r="Z111" i="33" s="1"/>
  <c r="O111" i="33" a="1"/>
  <c r="O111" i="33" s="1"/>
  <c r="O112" i="33" s="1" a="1"/>
  <c r="O112" i="33" s="1"/>
  <c r="O100" i="33" a="1"/>
  <c r="O100" i="33" s="1"/>
  <c r="O101" i="33" s="1" a="1"/>
  <c r="O101" i="33" s="1"/>
  <c r="O87" i="33" s="1" a="1"/>
  <c r="O87" i="33" s="1"/>
  <c r="O98" i="33" a="1"/>
  <c r="O98" i="33" s="1"/>
  <c r="AQ85" i="33" a="1"/>
  <c r="AQ85" i="33" s="1"/>
  <c r="AQ76" i="33"/>
  <c r="AQ80" i="33" s="1" a="1"/>
  <c r="AQ80" i="33" s="1"/>
  <c r="AQ76" i="33" a="1"/>
  <c r="N42" i="33" a="1"/>
  <c r="N42" i="33" s="1"/>
  <c r="C42" i="33"/>
  <c r="B42" i="33"/>
  <c r="C41" i="33"/>
  <c r="B41" i="33"/>
  <c r="C40" i="33"/>
  <c r="B40" i="33"/>
  <c r="E39" i="33"/>
  <c r="D39" i="33"/>
  <c r="C44" i="33" s="1"/>
  <c r="C39" i="33"/>
  <c r="T34" i="33" a="1"/>
  <c r="T34" i="33" s="1"/>
  <c r="X31" i="33" a="1"/>
  <c r="X31" i="33" s="1"/>
  <c r="A26" i="33" a="1"/>
  <c r="A26" i="33" s="1"/>
  <c r="A23" i="33" s="1" a="1"/>
  <c r="AB23" i="33" a="1"/>
  <c r="AB23" i="33" s="1"/>
  <c r="L2" i="33" a="1"/>
  <c r="L2" i="33" s="1"/>
  <c r="I3" i="20" a="1"/>
  <c r="I3" i="20" s="1"/>
  <c r="F12" i="20"/>
  <c r="F3" i="20" a="1"/>
  <c r="F3" i="20" s="1"/>
  <c r="P168" i="9" a="1"/>
  <c r="P168" i="9" s="1"/>
  <c r="P157" i="9" a="1"/>
  <c r="P157" i="9" s="1"/>
  <c r="AR76" i="9" a="1"/>
  <c r="AR76" i="9" s="1"/>
  <c r="AR85" i="9" a="1"/>
  <c r="AR85" i="9" s="1"/>
  <c r="AN89" i="9" s="1" a="1"/>
  <c r="AN89" i="9" s="1"/>
  <c r="AA133" i="9" a="1"/>
  <c r="AA133" i="9" s="1"/>
  <c r="AA134" i="9" s="1" a="1"/>
  <c r="AA134" i="9" s="1"/>
  <c r="P133" i="9" a="1"/>
  <c r="P133" i="9" s="1"/>
  <c r="AA122" i="9" a="1"/>
  <c r="AA122" i="9" s="1"/>
  <c r="P122" i="9" a="1"/>
  <c r="P122" i="9" s="1"/>
  <c r="AA111" i="9" a="1"/>
  <c r="AA111" i="9" s="1"/>
  <c r="P100" i="9" a="1"/>
  <c r="P100" i="9" s="1"/>
  <c r="P101" i="9" s="1" a="1"/>
  <c r="P101" i="9" s="1"/>
  <c r="E39" i="9"/>
  <c r="D39" i="9"/>
  <c r="C39" i="9"/>
  <c r="B42" i="9"/>
  <c r="B41" i="9"/>
  <c r="B40" i="9"/>
  <c r="O42" i="9" a="1"/>
  <c r="O42" i="9" s="1"/>
  <c r="U29" i="9" s="1"/>
  <c r="M56" i="19" a="1"/>
  <c r="M56" i="19" s="1"/>
  <c r="N54" i="19"/>
  <c r="M54" i="19"/>
  <c r="AT56" i="19"/>
  <c r="AI42" i="19" a="1"/>
  <c r="AI42" i="19" s="1"/>
  <c r="AI56" i="19" s="1" a="1"/>
  <c r="AI56" i="19" s="1"/>
  <c r="X42" i="19" a="1"/>
  <c r="X42" i="19" s="1"/>
  <c r="M53" i="19"/>
  <c r="M42" i="19" a="1"/>
  <c r="M42" i="19" s="1"/>
  <c r="M30" i="19" a="1"/>
  <c r="M30" i="19" s="1"/>
  <c r="L30" i="19"/>
  <c r="A26" i="17" a="1"/>
  <c r="A26" i="17" s="1"/>
  <c r="A23" i="17" s="1" a="1"/>
  <c r="A26" i="16" a="1"/>
  <c r="A26" i="16" s="1"/>
  <c r="A23" i="16" s="1" a="1"/>
  <c r="A26" i="15" a="1"/>
  <c r="A26" i="15" s="1"/>
  <c r="A23" i="15" s="1" a="1"/>
  <c r="A26" i="12" a="1"/>
  <c r="A26" i="12" s="1"/>
  <c r="A23" i="12" s="1" a="1"/>
  <c r="E23" i="1" a="1"/>
  <c r="E23" i="1" s="1"/>
  <c r="U216" i="9" l="1"/>
  <c r="O28" i="37"/>
  <c r="E53" i="37"/>
  <c r="E48" i="37"/>
  <c r="E52" i="37"/>
  <c r="G53" i="37"/>
  <c r="E51" i="37"/>
  <c r="G52" i="37"/>
  <c r="E50" i="37"/>
  <c r="G51" i="37"/>
  <c r="E49" i="37"/>
  <c r="G50" i="37"/>
  <c r="L54" i="37" s="1"/>
  <c r="P21" i="37" s="1"/>
  <c r="E56" i="37"/>
  <c r="G49" i="37"/>
  <c r="L55" i="37" s="1"/>
  <c r="P22" i="37" s="1"/>
  <c r="E55" i="37"/>
  <c r="G56" i="37"/>
  <c r="E54" i="37"/>
  <c r="G55" i="37"/>
  <c r="G54" i="37"/>
  <c r="Q1" i="9" a="1"/>
  <c r="Q1" i="9" s="1"/>
  <c r="Q2" i="9" s="1" a="1"/>
  <c r="Q2" i="9" s="1"/>
  <c r="O2" i="9" s="1"/>
  <c r="B36" i="9" a="1"/>
  <c r="B36" i="9" s="1"/>
  <c r="H19" i="37"/>
  <c r="H17" i="37"/>
  <c r="C41" i="9"/>
  <c r="D42" i="9"/>
  <c r="E41" i="9"/>
  <c r="C40" i="9"/>
  <c r="D40" i="9"/>
  <c r="D41" i="9"/>
  <c r="P171" i="9" a="1"/>
  <c r="P171" i="9" s="1"/>
  <c r="AL122" i="9" a="1"/>
  <c r="AL122" i="9" s="1"/>
  <c r="E42" i="9"/>
  <c r="AR89" i="9" a="1"/>
  <c r="AR89" i="9" s="1"/>
  <c r="AL133" i="9" a="1"/>
  <c r="AL133" i="9" s="1"/>
  <c r="Y23" i="9"/>
  <c r="C42" i="9"/>
  <c r="E40" i="9"/>
  <c r="C44" i="9"/>
  <c r="P103" i="9" a="1"/>
  <c r="P103" i="9" s="1"/>
  <c r="A24" i="5" a="1"/>
  <c r="M49" i="34" a="1"/>
  <c r="M49" i="34" s="1"/>
  <c r="X49" i="34" s="1"/>
  <c r="M38" i="34" a="1"/>
  <c r="M38" i="34" s="1"/>
  <c r="X38" i="34" s="1"/>
  <c r="AK122" i="33" a="1"/>
  <c r="AK122" i="33" s="1"/>
  <c r="AV127" i="33" s="1" a="1"/>
  <c r="AV127" i="33" s="1"/>
  <c r="W40" i="33" a="1"/>
  <c r="W40" i="33" s="1"/>
  <c r="W51" i="33" s="1" a="1"/>
  <c r="W51" i="33" s="1"/>
  <c r="F63" i="33" a="1"/>
  <c r="F63" i="33" s="1"/>
  <c r="Q63" i="33" s="1" a="1"/>
  <c r="Q63" i="33" s="1"/>
  <c r="AI40" i="33" a="1"/>
  <c r="AI40" i="33" s="1"/>
  <c r="AI62" i="33" s="1" a="1"/>
  <c r="AI62" i="33" s="1"/>
  <c r="AI73" i="33" s="1"/>
  <c r="AI51" i="33" a="1"/>
  <c r="AI51" i="33" s="1"/>
  <c r="AK133" i="33" a="1"/>
  <c r="AK133" i="33" s="1"/>
  <c r="AQ89" i="33" a="1"/>
  <c r="AQ89" i="33" s="1"/>
  <c r="AM89" i="33" a="1"/>
  <c r="AM89" i="33" s="1"/>
  <c r="A23" i="33"/>
  <c r="A24" i="33" s="1" a="1"/>
  <c r="AK17" i="33" a="1"/>
  <c r="AK17" i="33" s="1"/>
  <c r="A28" i="33" a="1"/>
  <c r="A28" i="33" s="1"/>
  <c r="AV17" i="33" a="1"/>
  <c r="AV17" i="33" s="1"/>
  <c r="O103" i="33" a="1"/>
  <c r="O103" i="33" s="1"/>
  <c r="AB28" i="33" a="1"/>
  <c r="AF23" i="33" a="1"/>
  <c r="AF23" i="33" s="1"/>
  <c r="AJ32" i="33" a="1"/>
  <c r="AJ32" i="33" s="1"/>
  <c r="AB32" i="33" a="1"/>
  <c r="AB32" i="33" s="1"/>
  <c r="AF32" i="33" s="1" a="1"/>
  <c r="AF32" i="33" s="1"/>
  <c r="AM80" i="33" a="1"/>
  <c r="AM80" i="33" s="1"/>
  <c r="D41" i="33"/>
  <c r="D40" i="33"/>
  <c r="AR80" i="9" a="1"/>
  <c r="AR80" i="9" s="1"/>
  <c r="AN80" i="9" a="1"/>
  <c r="AN80" i="9" s="1"/>
  <c r="A23" i="19"/>
  <c r="A24" i="19" s="1" a="1"/>
  <c r="AV17" i="19" a="1"/>
  <c r="AV17" i="19" s="1"/>
  <c r="A23" i="17"/>
  <c r="A24" i="17" s="1" a="1"/>
  <c r="AV17" i="17" a="1"/>
  <c r="AV17" i="17" s="1"/>
  <c r="AK17" i="17" a="1"/>
  <c r="AK17" i="17" s="1"/>
  <c r="A23" i="16"/>
  <c r="AV17" i="16" s="1" a="1"/>
  <c r="AV17" i="16" s="1"/>
  <c r="A23" i="15"/>
  <c r="A24" i="15" s="1" a="1"/>
  <c r="A23" i="12"/>
  <c r="A24" i="12" s="1" a="1"/>
  <c r="A23" i="7"/>
  <c r="A24" i="7" s="1" a="1"/>
  <c r="L48" i="37" l="1"/>
  <c r="P15" i="37" s="1"/>
  <c r="N28" i="37"/>
  <c r="N29" i="37" s="1"/>
  <c r="M32" i="37" s="1"/>
  <c r="L49" i="37"/>
  <c r="P16" i="37" s="1"/>
  <c r="L56" i="37"/>
  <c r="P23" i="37" s="1"/>
  <c r="L52" i="37"/>
  <c r="P19" i="37" s="1"/>
  <c r="L50" i="37"/>
  <c r="P17" i="37" s="1"/>
  <c r="L51" i="37"/>
  <c r="P18" i="37" s="1"/>
  <c r="L53" i="37"/>
  <c r="P20" i="37" s="1"/>
  <c r="G20" i="37"/>
  <c r="AW127" i="9" a="1"/>
  <c r="AW127" i="9" s="1"/>
  <c r="A28" i="9" a="1"/>
  <c r="A28" i="9" s="1"/>
  <c r="A24" i="5"/>
  <c r="O1" i="5" s="1" a="1"/>
  <c r="O1" i="5" s="1"/>
  <c r="A29" i="33" a="1"/>
  <c r="A29" i="33" s="1"/>
  <c r="A24" i="33"/>
  <c r="P1" i="33" a="1"/>
  <c r="P1" i="33" s="1"/>
  <c r="B36" i="33" a="1"/>
  <c r="B36" i="33" s="1"/>
  <c r="I76" i="33" a="1"/>
  <c r="I76" i="33" s="1"/>
  <c r="U76" i="33" s="1"/>
  <c r="D34" i="33"/>
  <c r="AB28" i="33"/>
  <c r="D33" i="33" s="1"/>
  <c r="D35" i="33"/>
  <c r="A24" i="19"/>
  <c r="P1" i="19" a="1"/>
  <c r="P1" i="19" s="1"/>
  <c r="P2" i="19" s="1" a="1"/>
  <c r="A24" i="17"/>
  <c r="P1" i="17" s="1" a="1"/>
  <c r="P1" i="17" s="1"/>
  <c r="A24" i="16" a="1"/>
  <c r="A24" i="16" s="1"/>
  <c r="O19" i="16" a="1"/>
  <c r="O19" i="16" s="1"/>
  <c r="AK17" i="16" a="1"/>
  <c r="AK17" i="16" s="1"/>
  <c r="AV17" i="15" a="1"/>
  <c r="AV17" i="15" s="1"/>
  <c r="AK17" i="15" a="1"/>
  <c r="AK17" i="15" s="1"/>
  <c r="B36" i="15" a="1"/>
  <c r="B36" i="15" s="1"/>
  <c r="A24" i="15"/>
  <c r="O19" i="15" s="1" a="1"/>
  <c r="A24" i="12"/>
  <c r="M23" i="12" s="1" a="1"/>
  <c r="P1" i="12" a="1"/>
  <c r="P1" i="12" s="1"/>
  <c r="A24" i="7"/>
  <c r="P1" i="7" s="1" a="1"/>
  <c r="P1" i="7" s="1"/>
  <c r="P24" i="37" l="1"/>
  <c r="A29" i="9" a="1"/>
  <c r="A29" i="9" s="1"/>
  <c r="D157" i="9" a="1"/>
  <c r="D157" i="9" s="1"/>
  <c r="AA157" i="9" s="1" a="1"/>
  <c r="AA157" i="9" s="1"/>
  <c r="D111" i="9" a="1"/>
  <c r="D111" i="9" s="1"/>
  <c r="AL111" i="9" s="1" a="1"/>
  <c r="AL111" i="9" s="1"/>
  <c r="D87" i="9" a="1"/>
  <c r="D87" i="9" s="1"/>
  <c r="AA87" i="9" s="1" a="1"/>
  <c r="AA87" i="9" s="1"/>
  <c r="B31" i="5" a="1"/>
  <c r="B31" i="5" s="1"/>
  <c r="D122" i="33" a="1"/>
  <c r="D122" i="33" s="1"/>
  <c r="D134" i="33" s="1" a="1"/>
  <c r="D134" i="33" s="1"/>
  <c r="D98" i="33" a="1"/>
  <c r="D98" i="33" s="1"/>
  <c r="Z98" i="33" s="1" a="1"/>
  <c r="Z98" i="33" s="1"/>
  <c r="D157" i="33" a="1"/>
  <c r="D157" i="33" s="1"/>
  <c r="Z157" i="33" s="1" a="1"/>
  <c r="Z157" i="33" s="1"/>
  <c r="D87" i="33" a="1"/>
  <c r="D87" i="33" s="1"/>
  <c r="Z87" i="33" s="1" a="1"/>
  <c r="Z87" i="33" s="1"/>
  <c r="D109" i="33" s="1" a="1"/>
  <c r="D109" i="33" s="1"/>
  <c r="P2" i="33" a="1"/>
  <c r="D168" i="33" a="1"/>
  <c r="D168" i="33" s="1"/>
  <c r="Z172" i="33" s="1" a="1"/>
  <c r="Z172" i="33" s="1"/>
  <c r="D111" i="33" a="1"/>
  <c r="D111" i="33" s="1"/>
  <c r="AK111" i="33" s="1" a="1"/>
  <c r="AK111" i="33" s="1"/>
  <c r="D145" i="33" s="1" a="1"/>
  <c r="D145" i="33" s="1"/>
  <c r="O145" i="33" s="1"/>
  <c r="O9" i="7"/>
  <c r="O2" i="7"/>
  <c r="O8" i="7"/>
  <c r="O3" i="7"/>
  <c r="O10" i="7"/>
  <c r="O4" i="7"/>
  <c r="O5" i="7"/>
  <c r="O6" i="7"/>
  <c r="O7" i="7"/>
  <c r="O11" i="7"/>
  <c r="O11" i="19"/>
  <c r="O10" i="19"/>
  <c r="O9" i="19"/>
  <c r="O8" i="19"/>
  <c r="O7" i="19"/>
  <c r="O6" i="19"/>
  <c r="O5" i="19"/>
  <c r="P2" i="19"/>
  <c r="O4" i="19"/>
  <c r="O3" i="19"/>
  <c r="B36" i="17" a="1"/>
  <c r="B36" i="17" s="1"/>
  <c r="N17" i="17" a="1"/>
  <c r="O7" i="17"/>
  <c r="O6" i="17"/>
  <c r="O5" i="17"/>
  <c r="O9" i="17"/>
  <c r="O4" i="17"/>
  <c r="O3" i="17"/>
  <c r="O10" i="17"/>
  <c r="O8" i="17"/>
  <c r="O11" i="17"/>
  <c r="B2" i="12" a="1"/>
  <c r="B2" i="12" s="1"/>
  <c r="B36" i="16" a="1"/>
  <c r="B36" i="16" s="1"/>
  <c r="P1" i="16" a="1"/>
  <c r="P1" i="16" s="1"/>
  <c r="P2" i="16" s="1" a="1"/>
  <c r="O5" i="16" s="1"/>
  <c r="O31" i="16" a="1"/>
  <c r="O31" i="16" s="1"/>
  <c r="Z31" i="16" s="1" a="1"/>
  <c r="Z31" i="16" s="1"/>
  <c r="P1" i="15" a="1"/>
  <c r="P1" i="15" s="1"/>
  <c r="O6" i="15" s="1"/>
  <c r="O19" i="15"/>
  <c r="O31" i="15" s="1" a="1"/>
  <c r="O31" i="15" s="1"/>
  <c r="Z31" i="15" s="1" a="1"/>
  <c r="Z31" i="15" s="1"/>
  <c r="M23" i="12"/>
  <c r="O11" i="12"/>
  <c r="O10" i="12"/>
  <c r="O9" i="12"/>
  <c r="O8" i="12"/>
  <c r="O7" i="12"/>
  <c r="O6" i="12"/>
  <c r="O5" i="12"/>
  <c r="O4" i="12"/>
  <c r="O3" i="12"/>
  <c r="O7" i="33" l="1"/>
  <c r="O6" i="33"/>
  <c r="O5" i="33"/>
  <c r="P2" i="33"/>
  <c r="O4" i="33"/>
  <c r="O3" i="33"/>
  <c r="O11" i="33"/>
  <c r="O10" i="33"/>
  <c r="O9" i="33"/>
  <c r="O8" i="33"/>
  <c r="D181" i="33" a="1"/>
  <c r="D181" i="33" s="1"/>
  <c r="O181" i="33" s="1"/>
  <c r="AK93" i="33" a="1"/>
  <c r="AK93" i="33" s="1"/>
  <c r="AV93" i="33" s="1"/>
  <c r="AP2" i="19" a="1"/>
  <c r="AP2" i="19" s="1"/>
  <c r="BB2" i="19" s="1" a="1"/>
  <c r="BB2" i="19" s="1"/>
  <c r="BN2" i="19" s="1" a="1"/>
  <c r="BN2" i="19" s="1"/>
  <c r="BZ2" i="19" s="1" a="1"/>
  <c r="BZ2" i="19" s="1"/>
  <c r="CL2" i="19" s="1"/>
  <c r="O2" i="19"/>
  <c r="N17" i="17"/>
  <c r="N29" i="17" s="1" a="1"/>
  <c r="N29" i="17" s="1"/>
  <c r="Y29" i="17" s="1" a="1"/>
  <c r="Y29" i="17" s="1"/>
  <c r="AP2" i="17" a="1"/>
  <c r="AP2" i="17" s="1"/>
  <c r="BB2" i="17" s="1" a="1"/>
  <c r="BB2" i="17" s="1"/>
  <c r="BN2" i="17" s="1" a="1"/>
  <c r="BN2" i="17" s="1"/>
  <c r="BZ2" i="17" s="1" a="1"/>
  <c r="BZ2" i="17" s="1"/>
  <c r="CL2" i="17" s="1"/>
  <c r="O2" i="17"/>
  <c r="O6" i="16"/>
  <c r="O7" i="16"/>
  <c r="O11" i="16"/>
  <c r="O9" i="16"/>
  <c r="O8" i="16"/>
  <c r="O10" i="16"/>
  <c r="O4" i="16"/>
  <c r="O3" i="16"/>
  <c r="P2" i="16"/>
  <c r="O4" i="15"/>
  <c r="O3" i="15"/>
  <c r="O7" i="15"/>
  <c r="O8" i="15"/>
  <c r="O5" i="15"/>
  <c r="O9" i="15"/>
  <c r="O2" i="15"/>
  <c r="O11" i="15"/>
  <c r="O10" i="15"/>
  <c r="Y23" i="12" a="1"/>
  <c r="Y23" i="12" s="1"/>
  <c r="Y35" i="12" s="1" a="1"/>
  <c r="Y35" i="12" s="1"/>
  <c r="AV17" i="12" a="1"/>
  <c r="AV17" i="12" s="1"/>
  <c r="AK17" i="12" a="1"/>
  <c r="AK17" i="12" s="1"/>
  <c r="AP2" i="12" a="1"/>
  <c r="AP2" i="12" s="1"/>
  <c r="BB2" i="12" s="1" a="1"/>
  <c r="BB2" i="12" s="1"/>
  <c r="BN2" i="12" s="1" a="1"/>
  <c r="BN2" i="12" s="1"/>
  <c r="BZ2" i="12" s="1" a="1"/>
  <c r="BZ2" i="12" s="1"/>
  <c r="CL2" i="12" s="1"/>
  <c r="O2" i="12"/>
  <c r="AP2" i="7" a="1"/>
  <c r="AP2" i="7" s="1"/>
  <c r="BB2" i="7" s="1" a="1"/>
  <c r="BB2" i="7" s="1"/>
  <c r="BN2" i="7" s="1" a="1"/>
  <c r="BN2" i="7" s="1"/>
  <c r="BZ2" i="7" s="1" a="1"/>
  <c r="BZ2" i="7" s="1"/>
  <c r="CL2" i="7" s="1"/>
  <c r="O2" i="16" l="1"/>
  <c r="BQ17" i="16"/>
  <c r="BF28" i="16" a="1"/>
  <c r="BF28" i="16" s="1"/>
  <c r="O2" i="33"/>
  <c r="AP2" i="33" a="1"/>
  <c r="AP2" i="33" s="1"/>
  <c r="BB2" i="33" s="1" a="1"/>
  <c r="BB2" i="33" s="1"/>
  <c r="BN2" i="33" s="1" a="1"/>
  <c r="BN2" i="33" s="1"/>
  <c r="BZ2" i="33" s="1" a="1"/>
  <c r="BZ2" i="33" s="1"/>
  <c r="CL2" i="33" s="1"/>
  <c r="AP2" i="15" a="1"/>
  <c r="AP2" i="15" s="1"/>
  <c r="BB2" i="15" s="1" a="1"/>
  <c r="BB2" i="15" s="1"/>
  <c r="BN2" i="15" s="1" a="1"/>
  <c r="BN2" i="15" s="1"/>
  <c r="BZ2" i="15" s="1" a="1"/>
  <c r="BZ2" i="15" s="1"/>
  <c r="CL2" i="15" s="1"/>
  <c r="AP2" i="16" a="1"/>
  <c r="AP2" i="16" s="1"/>
  <c r="BB2" i="16" s="1" a="1"/>
  <c r="BB2" i="16" s="1"/>
  <c r="BN2" i="16" s="1" a="1"/>
  <c r="BN2" i="16" s="1"/>
  <c r="BZ2" i="16" s="1" a="1"/>
  <c r="BZ2" i="16" s="1"/>
  <c r="CL2" i="16" s="1"/>
  <c r="C10" i="2"/>
  <c r="E9" i="2"/>
  <c r="C9" i="2"/>
  <c r="G8" i="2"/>
  <c r="E8" i="2"/>
  <c r="C8" i="2"/>
  <c r="I7" i="2"/>
  <c r="G7" i="2"/>
  <c r="E7" i="2"/>
  <c r="C7" i="2"/>
  <c r="K6" i="2"/>
  <c r="I6" i="2"/>
  <c r="G6" i="2"/>
  <c r="E6" i="2"/>
  <c r="C6" i="2"/>
  <c r="M5" i="2"/>
  <c r="K5" i="2"/>
  <c r="I5" i="2"/>
  <c r="G5" i="2"/>
  <c r="E5" i="2"/>
  <c r="C5" i="2"/>
  <c r="O4" i="2"/>
  <c r="M4" i="2"/>
  <c r="K4" i="2"/>
  <c r="I4" i="2"/>
  <c r="G4" i="2"/>
  <c r="E4" i="2"/>
  <c r="C4" i="2"/>
  <c r="Q3" i="2"/>
  <c r="O3" i="2"/>
  <c r="M3" i="2"/>
  <c r="K3" i="2"/>
  <c r="I3" i="2"/>
  <c r="G3" i="2"/>
  <c r="E3" i="2"/>
  <c r="C3" i="2"/>
  <c r="S2" i="2"/>
  <c r="S12" i="2" s="1"/>
  <c r="T3" i="2" s="1"/>
  <c r="Q2" i="2"/>
  <c r="O2" i="2"/>
  <c r="M2" i="2"/>
  <c r="K2" i="2"/>
  <c r="I2" i="2"/>
  <c r="G2" i="2"/>
  <c r="E2" i="2"/>
  <c r="C2" i="2"/>
  <c r="S2" i="1"/>
  <c r="S12" i="1" s="1"/>
  <c r="Q3" i="1"/>
  <c r="Q2" i="1"/>
  <c r="Q12" i="1" s="1"/>
  <c r="O4" i="1"/>
  <c r="O3" i="1"/>
  <c r="O2" i="1"/>
  <c r="O12" i="1" s="1"/>
  <c r="M3" i="1"/>
  <c r="M4" i="1"/>
  <c r="M5" i="1"/>
  <c r="M2" i="1"/>
  <c r="M12" i="1" s="1"/>
  <c r="K3" i="1"/>
  <c r="K4" i="1"/>
  <c r="K5" i="1"/>
  <c r="K6" i="1"/>
  <c r="K2" i="1"/>
  <c r="K12" i="1" s="1"/>
  <c r="I3" i="1"/>
  <c r="I4" i="1"/>
  <c r="I5" i="1"/>
  <c r="I6" i="1"/>
  <c r="I7" i="1"/>
  <c r="I2" i="1"/>
  <c r="I12" i="1" s="1"/>
  <c r="G3" i="1"/>
  <c r="G4" i="1"/>
  <c r="G5" i="1"/>
  <c r="G6" i="1"/>
  <c r="G7" i="1"/>
  <c r="G8" i="1"/>
  <c r="G2" i="1"/>
  <c r="G12" i="1" s="1"/>
  <c r="E3" i="1"/>
  <c r="E4" i="1"/>
  <c r="E5" i="1"/>
  <c r="E6" i="1"/>
  <c r="E7" i="1"/>
  <c r="E8" i="1"/>
  <c r="E9" i="1"/>
  <c r="E2" i="1"/>
  <c r="E12" i="1" s="1"/>
  <c r="C6" i="1"/>
  <c r="C7" i="1"/>
  <c r="C8" i="1"/>
  <c r="C9" i="1"/>
  <c r="C10" i="1"/>
  <c r="C5" i="1"/>
  <c r="C4" i="1"/>
  <c r="C3" i="1"/>
  <c r="C2" i="1"/>
  <c r="C12" i="1" s="1"/>
  <c r="CB28" i="16" l="1"/>
  <c r="C12" i="2"/>
  <c r="D11" i="2" s="1"/>
  <c r="E12" i="2"/>
  <c r="M12" i="2"/>
  <c r="N6" i="2" s="1"/>
  <c r="Q12" i="2"/>
  <c r="R4" i="2" s="1"/>
  <c r="T4" i="2" s="1"/>
  <c r="G12" i="2"/>
  <c r="I12" i="2"/>
  <c r="K12" i="2"/>
  <c r="T20" i="2"/>
  <c r="T21" i="2" s="1"/>
  <c r="O12" i="2"/>
  <c r="P5" i="2" s="1"/>
  <c r="F11" i="2" l="1"/>
  <c r="H11" i="2" s="1"/>
  <c r="J11" i="2" s="1"/>
  <c r="L11" i="2" s="1"/>
  <c r="N11" i="2" s="1"/>
  <c r="P11" i="2" s="1"/>
  <c r="R11" i="2" s="1"/>
  <c r="T11" i="2" s="1"/>
  <c r="R20" i="2"/>
  <c r="P20" i="2" s="1"/>
  <c r="R5" i="2"/>
  <c r="T5" i="2" s="1"/>
  <c r="F10" i="2"/>
  <c r="H10" i="2" s="1"/>
  <c r="J10" i="2" s="1"/>
  <c r="L10" i="2" s="1"/>
  <c r="N10" i="2" s="1"/>
  <c r="P10" i="2" s="1"/>
  <c r="R10" i="2" s="1"/>
  <c r="T10" i="2" s="1"/>
  <c r="H9" i="2"/>
  <c r="L7" i="2"/>
  <c r="N7" i="2" s="1"/>
  <c r="P7" i="2" s="1"/>
  <c r="R7" i="2" s="1"/>
  <c r="T7" i="2" s="1"/>
  <c r="J8" i="2"/>
  <c r="L8" i="2" s="1"/>
  <c r="N8" i="2" s="1"/>
  <c r="P8" i="2" s="1"/>
  <c r="R8" i="2" s="1"/>
  <c r="T8" i="2" s="1"/>
  <c r="J9" i="2"/>
  <c r="L9" i="2" s="1"/>
  <c r="N9" i="2" s="1"/>
  <c r="P9" i="2" s="1"/>
  <c r="R9" i="2" s="1"/>
  <c r="T9" i="2" s="1"/>
  <c r="P6" i="2"/>
  <c r="R6" i="2" s="1"/>
  <c r="T6" i="2" s="1"/>
  <c r="R21" i="2" l="1"/>
  <c r="N20" i="2"/>
  <c r="P21" i="2"/>
  <c r="N21" i="2" l="1"/>
  <c r="L20" i="2"/>
  <c r="L21" i="2" l="1"/>
  <c r="J20" i="2"/>
  <c r="J21" i="2" l="1"/>
  <c r="H20" i="2"/>
  <c r="H21" i="2" l="1"/>
  <c r="F20" i="2"/>
  <c r="D20" i="2" l="1"/>
  <c r="D21" i="2" s="1"/>
  <c r="F21" i="2"/>
  <c r="O2" i="5" a="1"/>
  <c r="O2" i="5" s="1"/>
  <c r="AB2" i="5" l="1" a="1"/>
  <c r="AB2" i="5" s="1"/>
  <c r="AN2" i="5" s="1" a="1"/>
  <c r="AN2" i="5" s="1"/>
  <c r="AZ2" i="5" s="1" a="1"/>
  <c r="AZ2" i="5" s="1"/>
  <c r="BL2" i="5" l="1" a="1"/>
  <c r="BL2" i="5" s="1"/>
  <c r="BX2" i="5" s="1"/>
  <c r="BA14" i="5"/>
  <c r="X40" i="9" a="1"/>
  <c r="X40" i="9" s="1"/>
  <c r="X51" i="9" s="1" a="1"/>
  <c r="X51" i="9" s="1"/>
  <c r="AJ40" i="9" a="1"/>
  <c r="AJ40" i="9" s="1"/>
  <c r="D122" i="9" a="1"/>
  <c r="D122" i="9" s="1"/>
  <c r="D134" i="9" s="1" a="1"/>
  <c r="D134" i="9" s="1"/>
  <c r="D145" i="9" s="1" a="1"/>
  <c r="D145" i="9" s="1"/>
  <c r="P145" i="9" s="1"/>
  <c r="D98" i="9" a="1"/>
  <c r="D98" i="9" s="1"/>
  <c r="AA98" i="9" s="1" a="1"/>
  <c r="AA98" i="9" s="1"/>
  <c r="D168" i="9" a="1"/>
  <c r="D168" i="9" s="1"/>
  <c r="AA172" i="9" s="1" a="1"/>
  <c r="AA172" i="9" s="1"/>
  <c r="D181" i="9" s="1" a="1"/>
  <c r="D181" i="9" s="1"/>
  <c r="P181" i="9" s="1"/>
  <c r="S44" i="9" s="1"/>
  <c r="F63" i="9" a="1"/>
  <c r="F63" i="9" s="1"/>
  <c r="R63" i="9" s="1" a="1"/>
  <c r="R63" i="9" s="1"/>
  <c r="AW17" i="9" a="1"/>
  <c r="AW17" i="9" s="1"/>
  <c r="AL17" i="9" a="1"/>
  <c r="AL17" i="9" s="1"/>
  <c r="V40" i="9" a="1"/>
  <c r="V40" i="9" s="1"/>
  <c r="O10" i="9"/>
  <c r="AJ51" i="9" a="1"/>
  <c r="AJ51" i="9" s="1"/>
  <c r="I76" i="9" l="1" a="1"/>
  <c r="I76" i="9" s="1"/>
  <c r="V76" i="9" s="1"/>
  <c r="Q42" i="9" s="1"/>
  <c r="W31" i="9"/>
  <c r="AA25" i="9"/>
  <c r="D109" i="9" a="1"/>
  <c r="D109" i="9" s="1"/>
  <c r="AL93" i="9" a="1"/>
  <c r="AL93" i="9" s="1"/>
  <c r="AW93" i="9" s="1"/>
  <c r="Q43" i="9" s="1"/>
  <c r="Q44" i="9"/>
  <c r="S43" i="9"/>
  <c r="AJ62" i="9" a="1"/>
  <c r="AJ62" i="9" s="1"/>
  <c r="AJ73" i="9" s="1"/>
  <c r="O3" i="9"/>
  <c r="O4" i="9"/>
  <c r="O11" i="9"/>
  <c r="O8" i="9"/>
  <c r="O5" i="9"/>
  <c r="O6" i="9"/>
  <c r="O7" i="9"/>
  <c r="O9" i="9"/>
  <c r="O43" i="9" l="1"/>
  <c r="Z23" i="9"/>
  <c r="V29" i="9"/>
  <c r="O44" i="9"/>
  <c r="U31" i="9" s="1"/>
  <c r="S42" i="9"/>
  <c r="Y24" i="9"/>
  <c r="U30" i="9"/>
  <c r="AA24" i="9"/>
  <c r="W30" i="9"/>
  <c r="Z25" i="9"/>
  <c r="Z24" i="9"/>
  <c r="V30" i="9"/>
  <c r="AQ2" i="9" a="1"/>
  <c r="AQ2" i="9" s="1"/>
  <c r="BC2" i="9" s="1" a="1"/>
  <c r="BC2" i="9" s="1"/>
  <c r="BO2" i="9" s="1" a="1"/>
  <c r="BO2" i="9" s="1"/>
  <c r="CA2" i="9" s="1" a="1"/>
  <c r="CA2" i="9" s="1"/>
  <c r="CM2" i="9" s="1"/>
  <c r="CT2" i="9" a="1"/>
  <c r="CT2" i="9" s="1"/>
  <c r="DE2" i="9" s="1"/>
  <c r="AA23" i="9" l="1"/>
  <c r="W29" i="9"/>
  <c r="U34" i="9" s="1" a="1"/>
  <c r="U34" i="9" s="1"/>
  <c r="AC23" i="9" a="1"/>
  <c r="AC23" i="9" s="1"/>
  <c r="AK32" i="9" l="1" a="1"/>
  <c r="AK32" i="9" s="1"/>
  <c r="U218" i="9" s="1"/>
  <c r="U221" i="9" s="1"/>
  <c r="AG23" i="9" a="1"/>
  <c r="AG23" i="9" s="1"/>
  <c r="AC28" i="9" a="1"/>
  <c r="AC32" i="9" a="1"/>
  <c r="AC32" i="9" s="1"/>
  <c r="AG32" i="9" s="1" a="1"/>
  <c r="AG32" i="9" s="1"/>
  <c r="AC28" i="9" l="1"/>
  <c r="D33" i="9" s="1"/>
  <c r="D34" i="9"/>
  <c r="D35" i="9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<sst xmlns="http://schemas.openxmlformats.org/spreadsheetml/2006/main" count="589" uniqueCount="268">
  <si>
    <t>Link Ratio</t>
  </si>
  <si>
    <t>Selected Link Ratio</t>
  </si>
  <si>
    <t>omega or a</t>
  </si>
  <si>
    <t>joint table</t>
  </si>
  <si>
    <t>theta or b</t>
  </si>
  <si>
    <t>=WEIBULL.DIST(the table,B15,B16,1)</t>
  </si>
  <si>
    <t>g(x|a,b) = x^a/ (x^a +b^a)</t>
  </si>
  <si>
    <t>x</t>
  </si>
  <si>
    <t>g</t>
  </si>
  <si>
    <t>assume w =1</t>
  </si>
  <si>
    <t>CDF</t>
  </si>
  <si>
    <r>
      <t>G(x|</t>
    </r>
    <r>
      <rPr>
        <sz val="11"/>
        <color theme="1"/>
        <rFont val="Calibri"/>
        <family val="2"/>
      </rPr>
      <t>ω,ϴ)</t>
    </r>
  </si>
  <si>
    <t>(1/CDF)</t>
  </si>
  <si>
    <t>G(x)-G(x-1)</t>
  </si>
  <si>
    <t>ln(u)</t>
  </si>
  <si>
    <t>c*ln(u)</t>
  </si>
  <si>
    <t>c*ln(u)-u</t>
  </si>
  <si>
    <t>adjusted for what isn't reported</t>
  </si>
  <si>
    <t>Ultimate</t>
  </si>
  <si>
    <t>is there data present table</t>
  </si>
  <si>
    <t>this is the expected incremental loss table that we can match up to each actual loss</t>
  </si>
  <si>
    <t>=(B2:K11*(LN((B23:K23-A23:J23)*M2:M11))-((B23:K23-A23:J23)*M2:M11))*AB2:AK11</t>
  </si>
  <si>
    <t>a</t>
  </si>
  <si>
    <t>b</t>
  </si>
  <si>
    <t>f(a,b)</t>
  </si>
  <si>
    <t>=SUM((B2:K11*(LN((B23:K23-A23:J23)*M2:M11))-((B23:K23-A23:J23)*M2:M11))*AB2:AK11)</t>
  </si>
  <si>
    <t>AY</t>
  </si>
  <si>
    <t xml:space="preserve">From </t>
  </si>
  <si>
    <t>To</t>
  </si>
  <si>
    <t>Increment</t>
  </si>
  <si>
    <t>Diag Age</t>
  </si>
  <si>
    <t>AY Total</t>
  </si>
  <si>
    <t>deviance</t>
  </si>
  <si>
    <t>G(x with theta and omega assumed for loglogloglogloglogistic</t>
  </si>
  <si>
    <t>p</t>
  </si>
  <si>
    <t>ELR</t>
  </si>
  <si>
    <t>on level premium</t>
  </si>
  <si>
    <t>z=42*(ln((1^theta)/((1^theta)+omega^theta)*</t>
  </si>
  <si>
    <t>reverse the order</t>
  </si>
  <si>
    <t>$B$2:$K$2,$B$3:$J$3,$B$4:$I$4,$B$5:$H$5,$B$6:$G$6,$B$7:$F$7,$B$8:$E$8,$B$9:$D$9,$B$10:$C$10,$B$11</t>
  </si>
  <si>
    <t>traingle data</t>
  </si>
  <si>
    <t>Happy Veterans Day</t>
  </si>
  <si>
    <t>G(x with theta and omega assumed for loglogistic</t>
  </si>
  <si>
    <t>likelihood table</t>
  </si>
  <si>
    <t>https://ncss-wpengine.netdna-ssl.com/wp-content/themes/ncss/pdf/Procedures/NCSS/Distribution-Weibull-Fitting.pdf</t>
  </si>
  <si>
    <t>partial derivaive weibull</t>
  </si>
  <si>
    <t>x^a/(x^a+x^b)</t>
  </si>
  <si>
    <t>Zach derived it by hand for at least 5 hours</t>
  </si>
  <si>
    <t>(e^(-(x/theta)^w))*((x/w)^w)*ln(x/theta)</t>
  </si>
  <si>
    <t>Weibull</t>
  </si>
  <si>
    <t>dw</t>
  </si>
  <si>
    <t>dtheta</t>
  </si>
  <si>
    <t>(e^(-(x/theta)^w))*((x/w)^w)*(-w/theta)</t>
  </si>
  <si>
    <t>dw2</t>
  </si>
  <si>
    <t>(e^(-(x/theta)^w))*((x/w)^w)*(ln(x/theta)^2)*(1-(x/theta)^w)</t>
  </si>
  <si>
    <t>dwdtheta</t>
  </si>
  <si>
    <t>(e^(-(x/theta)^w))*((x/w)^w)*(-1/theta)*(1+w*ln(x/theta)*(1-(x/theta)^w))</t>
  </si>
  <si>
    <t>dtheta2</t>
  </si>
  <si>
    <t>(e^(-(x/theta)^w))*((x/w)^w)*(w/theta^2)*(1+w*(1-(x/theta)^w))</t>
  </si>
  <si>
    <t>LogLogistic</t>
  </si>
  <si>
    <t>((x^w)/(x^w+theta^w)*(theta^w/(x^w+theta^w)*ln(x/theta)</t>
  </si>
  <si>
    <t>((x^w)/(x^w+theta^w)*(theta^w/(x^w+theta^w)*(-w/theta)</t>
  </si>
  <si>
    <t>((x^w)/(x^w+theta^w)*(theta^w/(x^w+theta^w)*(ln(x/theta)^2)*(1-2*(x^w/(x^w+theta^w)))</t>
  </si>
  <si>
    <t>((x^w)/(x^w+theta^w)*(theta^w/(x^w+theta^w)*(-1/theta)*(1+w*ln(x/theta)*(1-2*(x^w/(x^w+theta^w)))</t>
  </si>
  <si>
    <t>((x^w)/(x^w+theta^w)*(theta^w/(x^w+theta^w)*(w/theta^2)*(1+w*(1-2*(x^w/(x^w+theta^w))))</t>
  </si>
  <si>
    <t>.</t>
  </si>
  <si>
    <t>wrt G(x)</t>
  </si>
  <si>
    <t xml:space="preserve">What do we derive for likelihood </t>
  </si>
  <si>
    <t>likelihood</t>
  </si>
  <si>
    <t>dELR2</t>
  </si>
  <si>
    <t>sum(-c/elr^2)</t>
  </si>
  <si>
    <t>d2l/delr^2</t>
  </si>
  <si>
    <t>d2l/dELRdw</t>
  </si>
  <si>
    <t>information matrix</t>
  </si>
  <si>
    <t>ELR,ELR</t>
  </si>
  <si>
    <t>w,Elr</t>
  </si>
  <si>
    <t>theta,ELR</t>
  </si>
  <si>
    <t>ELR,w</t>
  </si>
  <si>
    <t>w,w</t>
  </si>
  <si>
    <t>theta,theta</t>
  </si>
  <si>
    <t>theta,w</t>
  </si>
  <si>
    <t>elr,theta</t>
  </si>
  <si>
    <t>w,theta</t>
  </si>
  <si>
    <t>Info matrix</t>
  </si>
  <si>
    <t>d2l/delrdtheta</t>
  </si>
  <si>
    <t>d2l/elrdtheta</t>
  </si>
  <si>
    <t>W</t>
  </si>
  <si>
    <t>THETA</t>
  </si>
  <si>
    <t>unbumped up G(x) - G(x-1)</t>
  </si>
  <si>
    <t>D2L/dw2</t>
  </si>
  <si>
    <t>d2l/dw2</t>
  </si>
  <si>
    <t>d2l/dwdtheta</t>
  </si>
  <si>
    <t>d2l/dthetadtheta</t>
  </si>
  <si>
    <t>d2l/dtheta^2</t>
  </si>
  <si>
    <t>d2l/dtheta2</t>
  </si>
  <si>
    <t>d2l/dthetadELR</t>
  </si>
  <si>
    <t>d2l/dwdELR</t>
  </si>
  <si>
    <t>dl2/dthetadw</t>
  </si>
  <si>
    <t>(g(x)-g(xt-1)/theta)</t>
  </si>
  <si>
    <t>(g(x)-g(xt-1)/theta)^2</t>
  </si>
  <si>
    <t>parameters/st dev</t>
  </si>
  <si>
    <t>sigma^2</t>
  </si>
  <si>
    <t>Inverse Information Matrix</t>
  </si>
  <si>
    <t>negative inv inf matrix</t>
  </si>
  <si>
    <t>.-sigma^2*information matrix</t>
  </si>
  <si>
    <t>Mu hat</t>
  </si>
  <si>
    <t>SIGMA&gt;/=</t>
  </si>
  <si>
    <t>Winter Break Timeline</t>
  </si>
  <si>
    <t>Day</t>
  </si>
  <si>
    <t>be done with variance</t>
  </si>
  <si>
    <t>Christmas</t>
  </si>
  <si>
    <t>be done with background</t>
  </si>
  <si>
    <t>New Years</t>
  </si>
  <si>
    <t>C Term Starts</t>
  </si>
  <si>
    <t xml:space="preserve">Subject to change due to some of the following situations </t>
  </si>
  <si>
    <t>Birthdays</t>
  </si>
  <si>
    <t>Bad days</t>
  </si>
  <si>
    <t>Hungover Days</t>
  </si>
  <si>
    <t>Snow days</t>
  </si>
  <si>
    <t>Holidays</t>
  </si>
  <si>
    <t>etc</t>
  </si>
  <si>
    <t>60/42</t>
  </si>
  <si>
    <t>71/60</t>
  </si>
  <si>
    <t>80/71</t>
  </si>
  <si>
    <t>88/80</t>
  </si>
  <si>
    <t>93/88</t>
  </si>
  <si>
    <t>96/93</t>
  </si>
  <si>
    <t>98/96</t>
  </si>
  <si>
    <t>99/98</t>
  </si>
  <si>
    <t>100/99</t>
  </si>
  <si>
    <t>59/40</t>
  </si>
  <si>
    <t>68/59</t>
  </si>
  <si>
    <t>78/68</t>
  </si>
  <si>
    <t>87/78</t>
  </si>
  <si>
    <t>92/87</t>
  </si>
  <si>
    <t>95/92</t>
  </si>
  <si>
    <t>98/95</t>
  </si>
  <si>
    <t>55/36</t>
  </si>
  <si>
    <t>65/55</t>
  </si>
  <si>
    <t>76/65</t>
  </si>
  <si>
    <t>85/76</t>
  </si>
  <si>
    <t>91/85</t>
  </si>
  <si>
    <t>94/91</t>
  </si>
  <si>
    <t>97/94</t>
  </si>
  <si>
    <t>57/38</t>
  </si>
  <si>
    <t>66/57</t>
  </si>
  <si>
    <t>77/66</t>
  </si>
  <si>
    <t>86/77</t>
  </si>
  <si>
    <t>92/86</t>
  </si>
  <si>
    <t>58/39</t>
  </si>
  <si>
    <t>67/58</t>
  </si>
  <si>
    <t>77/67</t>
  </si>
  <si>
    <t>87/77</t>
  </si>
  <si>
    <t>60/41</t>
  </si>
  <si>
    <t>70/60</t>
  </si>
  <si>
    <t>79/70</t>
  </si>
  <si>
    <t>88/79</t>
  </si>
  <si>
    <t>61/42</t>
  </si>
  <si>
    <t>70/61</t>
  </si>
  <si>
    <t>62/43</t>
  </si>
  <si>
    <t>72/62</t>
  </si>
  <si>
    <t>63/43</t>
  </si>
  <si>
    <t>Selected Link Ratios</t>
  </si>
  <si>
    <t>Uppercase Sigma</t>
  </si>
  <si>
    <t>page 73</t>
  </si>
  <si>
    <t>Year/Maturity</t>
  </si>
  <si>
    <t>18-30</t>
  </si>
  <si>
    <t>30-42</t>
  </si>
  <si>
    <t>42-54</t>
  </si>
  <si>
    <t>54-66</t>
  </si>
  <si>
    <t>66-78</t>
  </si>
  <si>
    <t>78-90</t>
  </si>
  <si>
    <t>90-102</t>
  </si>
  <si>
    <t>102-114</t>
  </si>
  <si>
    <t>6-18</t>
  </si>
  <si>
    <t>114-ult</t>
  </si>
  <si>
    <t>(G(x)-G(x-1))*Ultimate</t>
  </si>
  <si>
    <t>Time</t>
  </si>
  <si>
    <t>24-36</t>
  </si>
  <si>
    <t>36-48</t>
  </si>
  <si>
    <t>48-60</t>
  </si>
  <si>
    <t>60-72</t>
  </si>
  <si>
    <t>12-24</t>
  </si>
  <si>
    <t>72-84</t>
  </si>
  <si>
    <t>84-96</t>
  </si>
  <si>
    <t>96-108</t>
  </si>
  <si>
    <t>108-ult</t>
  </si>
  <si>
    <t>G(x) with theta and omega assumed for weibull</t>
  </si>
  <si>
    <t>Percent Reported to Date: G(x)</t>
  </si>
  <si>
    <t>12-ult</t>
  </si>
  <si>
    <t>24-ult</t>
  </si>
  <si>
    <t>36-ult</t>
  </si>
  <si>
    <t>48-ult</t>
  </si>
  <si>
    <t>60-ult</t>
  </si>
  <si>
    <t>72-ult</t>
  </si>
  <si>
    <t>84-ult</t>
  </si>
  <si>
    <t>96-ult</t>
  </si>
  <si>
    <t>G(x|ω,ϴ)</t>
  </si>
  <si>
    <t>LDF</t>
  </si>
  <si>
    <t>=</t>
  </si>
  <si>
    <t>Maturity</t>
  </si>
  <si>
    <t xml:space="preserve">Weibull Distribution </t>
  </si>
  <si>
    <t>Weibull Distribution Truncated</t>
  </si>
  <si>
    <t xml:space="preserve">G(x) with theta and omega assumed </t>
  </si>
  <si>
    <t>omega</t>
  </si>
  <si>
    <t>theta</t>
  </si>
  <si>
    <t>g(omega, theta)</t>
  </si>
  <si>
    <t>G(x) with theta and omega assumed for loglogistic</t>
  </si>
  <si>
    <t>Process Variance</t>
  </si>
  <si>
    <t>sum of reserves</t>
  </si>
  <si>
    <t>Expected Reseves</t>
  </si>
  <si>
    <t>Average Link Ratios</t>
  </si>
  <si>
    <t>114 - ult</t>
  </si>
  <si>
    <r>
      <t>LDF</t>
    </r>
    <r>
      <rPr>
        <vertAlign val="subscript"/>
        <sz val="11"/>
        <color theme="1"/>
        <rFont val="Calibri"/>
        <family val="2"/>
        <scheme val="minor"/>
      </rPr>
      <t>x</t>
    </r>
  </si>
  <si>
    <t>1/2.52</t>
  </si>
  <si>
    <t>1/1.71</t>
  </si>
  <si>
    <t>1/1.47</t>
  </si>
  <si>
    <t>1/1.28</t>
  </si>
  <si>
    <t>1/1.15</t>
  </si>
  <si>
    <t>1/1.08</t>
  </si>
  <si>
    <t>1/1.05</t>
  </si>
  <si>
    <t>1/1.02</t>
  </si>
  <si>
    <t>1/1.01</t>
  </si>
  <si>
    <t>this is the expected incremental loss table that we can match up to each actual loss using Weibull</t>
  </si>
  <si>
    <t>Loglogistic Truncated</t>
  </si>
  <si>
    <t>Loglogistic Untruncated</t>
  </si>
  <si>
    <t>Ultimates</t>
  </si>
  <si>
    <t>Reserve</t>
  </si>
  <si>
    <t>Total Reserve</t>
  </si>
  <si>
    <t>Reserve per year</t>
  </si>
  <si>
    <t>Weibull Distribution/Last term</t>
  </si>
  <si>
    <t>0/0.92</t>
  </si>
  <si>
    <t>0.36/0.92</t>
  </si>
  <si>
    <t>0.52/0.92</t>
  </si>
  <si>
    <t>0.63/0.92</t>
  </si>
  <si>
    <t>0.71/0.92</t>
  </si>
  <si>
    <t>0.77/0.92</t>
  </si>
  <si>
    <t>0.82/0.92</t>
  </si>
  <si>
    <t>0.85/0.92</t>
  </si>
  <si>
    <t>0.88/0.92</t>
  </si>
  <si>
    <t>0.90/0.92</t>
  </si>
  <si>
    <t>0.92/0.92</t>
  </si>
  <si>
    <t>Sigma^2</t>
  </si>
  <si>
    <t>g(omega,theta)</t>
  </si>
  <si>
    <t>Omega</t>
  </si>
  <si>
    <t>(g(x)-g(xt-1)/omega)</t>
  </si>
  <si>
    <t>AY 2000</t>
  </si>
  <si>
    <t>AY 2001</t>
  </si>
  <si>
    <t>AY 2002</t>
  </si>
  <si>
    <t>AY 2003</t>
  </si>
  <si>
    <t>AY 2004</t>
  </si>
  <si>
    <t>AY 2005</t>
  </si>
  <si>
    <t>AY 2006</t>
  </si>
  <si>
    <t>AY 2007</t>
  </si>
  <si>
    <t>AY 2008</t>
  </si>
  <si>
    <t>AY 2009</t>
  </si>
  <si>
    <t>Total Reserve in Thousands</t>
  </si>
  <si>
    <t>Process</t>
  </si>
  <si>
    <t>Parameter</t>
  </si>
  <si>
    <t>Total</t>
  </si>
  <si>
    <t>% Reported</t>
  </si>
  <si>
    <t>Reported Claims</t>
  </si>
  <si>
    <t>Sum of Reported Claims</t>
  </si>
  <si>
    <t>Sum Premium*%Reported</t>
  </si>
  <si>
    <t>Accident Year</t>
  </si>
  <si>
    <t>Earned Premium</t>
  </si>
  <si>
    <t>Ultimate Claims</t>
  </si>
  <si>
    <t>Total Ultimate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</si>
</sst>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0.000"/>
    <numFmt numFmtId="165" formatCode="0.000%"/>
    <numFmt numFmtId="166" formatCode="_(&quot;$&quot;* #,##0_);_(&quot;$&quot;* \(#,##0\);_(&quot;$&quot;* &quot;-&quot;??_);_(@_)"/>
    <numFmt numFmtId="167" formatCode="0.0000000000000"/>
    <numFmt numFmtId="168" formatCode="0.00000"/>
    <numFmt numFmtId="169" formatCode="0.0"/>
  </numFmts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444444"/>
      <name val="Calibri"/>
      <family val="2"/>
      <charset val="1"/>
    </font>
    <font>
      <sz val="9"/>
      <color rgb="FF808080"/>
      <name val="-Apple-System"/>
      <charset val="1"/>
    </font>
    <font>
      <sz val="11"/>
      <color rgb="FF444444"/>
      <name val="Calibri"/>
      <family val="2"/>
    </font>
    <font>
      <sz val="8"/>
      <name val="Calibri"/>
      <family val="2"/>
      <scheme val="minor"/>
    </font>
    <font>
      <sz val="11"/>
      <color rgb="FF444444"/>
      <name val="Calibri"/>
      <family val="2"/>
    </font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95">
    <xf numFmtId="0" fontId="0" fillId="0" borderId="0" xfId="0"/>
    <xf numFmtId="0" fontId="0" fillId="2" borderId="0" xfId="0" applyFill="1"/>
    <xf numFmtId="0" fontId="1" fillId="0" borderId="0" xfId="0" applyFont="1" applyFill="1"/>
    <xf numFmtId="0" fontId="1" fillId="0" borderId="0" xfId="0" applyFont="1"/>
    <xf numFmtId="0" fontId="4" fillId="0" borderId="0" xfId="0" quotePrefix="1" applyFont="1"/>
    <xf numFmtId="0" fontId="0" fillId="0" borderId="0" xfId="0" quotePrefix="1"/>
    <xf numFmtId="0" fontId="5" fillId="0" borderId="0" xfId="0" quotePrefix="1" applyFont="1"/>
    <xf numFmtId="0" fontId="6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0" xfId="0" applyFill="1"/>
    <xf numFmtId="0" fontId="6" fillId="0" borderId="1" xfId="0" quotePrefix="1" applyFont="1" applyBorder="1"/>
    <xf numFmtId="0" fontId="6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4" fillId="0" borderId="0" xfId="0" applyFon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164" fontId="2" fillId="0" borderId="0" xfId="0" applyNumberFormat="1" applyFont="1"/>
    <xf numFmtId="164" fontId="0" fillId="0" borderId="0" xfId="0" applyNumberFormat="1"/>
    <xf numFmtId="164" fontId="0" fillId="0" borderId="0" xfId="0" applyNumberFormat="1" applyBorder="1"/>
    <xf numFmtId="164" fontId="0" fillId="2" borderId="0" xfId="0" applyNumberFormat="1" applyFill="1"/>
    <xf numFmtId="164" fontId="1" fillId="0" borderId="0" xfId="0" applyNumberFormat="1" applyFont="1" applyFill="1"/>
    <xf numFmtId="164" fontId="2" fillId="3" borderId="0" xfId="0" applyNumberFormat="1" applyFont="1" applyFill="1"/>
    <xf numFmtId="164" fontId="1" fillId="0" borderId="0" xfId="0" applyNumberFormat="1" applyFont="1"/>
    <xf numFmtId="164" fontId="0" fillId="3" borderId="0" xfId="0" applyNumberFormat="1" applyFill="1"/>
    <xf numFmtId="164" fontId="0" fillId="4" borderId="0" xfId="0" applyNumberFormat="1" applyFill="1"/>
    <xf numFmtId="0" fontId="2" fillId="0" borderId="0" xfId="0" applyFont="1" applyAlignment="1"/>
    <xf numFmtId="164" fontId="2" fillId="0" borderId="0" xfId="0" applyNumberFormat="1" applyFont="1" applyAlignment="1"/>
    <xf numFmtId="16" fontId="0" fillId="0" borderId="0" xfId="0" quotePrefix="1" applyNumberForma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/>
    <xf numFmtId="166" fontId="0" fillId="0" borderId="0" xfId="0" applyNumberFormat="1"/>
    <xf numFmtId="166" fontId="0" fillId="0" borderId="12" xfId="1" applyNumberFormat="1" applyFont="1" applyBorder="1"/>
    <xf numFmtId="166" fontId="0" fillId="0" borderId="13" xfId="1" applyNumberFormat="1" applyFont="1" applyBorder="1"/>
    <xf numFmtId="166" fontId="0" fillId="0" borderId="3" xfId="1" applyNumberFormat="1" applyFont="1" applyBorder="1"/>
    <xf numFmtId="166" fontId="0" fillId="0" borderId="14" xfId="1" applyNumberFormat="1" applyFont="1" applyBorder="1"/>
    <xf numFmtId="166" fontId="0" fillId="0" borderId="4" xfId="1" applyNumberFormat="1" applyFont="1" applyBorder="1"/>
    <xf numFmtId="166" fontId="0" fillId="0" borderId="15" xfId="1" applyNumberFormat="1" applyFont="1" applyBorder="1"/>
    <xf numFmtId="166" fontId="0" fillId="0" borderId="1" xfId="1" applyNumberFormat="1" applyFont="1" applyBorder="1"/>
    <xf numFmtId="166" fontId="0" fillId="0" borderId="5" xfId="1" applyNumberFormat="1" applyFont="1" applyBorder="1"/>
    <xf numFmtId="166" fontId="0" fillId="0" borderId="0" xfId="1" applyNumberFormat="1" applyFont="1"/>
    <xf numFmtId="16" fontId="0" fillId="0" borderId="6" xfId="0" quotePrefix="1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0" xfId="0" applyFont="1"/>
    <xf numFmtId="0" fontId="11" fillId="0" borderId="0" xfId="0" applyFont="1" applyFill="1"/>
    <xf numFmtId="0" fontId="2" fillId="6" borderId="0" xfId="0" applyFont="1" applyFill="1"/>
    <xf numFmtId="0" fontId="12" fillId="7" borderId="0" xfId="0" applyFont="1" applyFill="1"/>
    <xf numFmtId="0" fontId="0" fillId="7" borderId="0" xfId="0" applyFill="1"/>
    <xf numFmtId="2" fontId="0" fillId="0" borderId="13" xfId="0" applyNumberFormat="1" applyBorder="1" applyAlignment="1">
      <alignment horizontal="center"/>
    </xf>
    <xf numFmtId="2" fontId="0" fillId="0" borderId="0" xfId="0" applyNumberFormat="1" applyFill="1"/>
    <xf numFmtId="2" fontId="0" fillId="0" borderId="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0" xfId="0" quotePrefix="1" applyNumberFormat="1" applyBorder="1" applyAlignment="1"/>
    <xf numFmtId="2" fontId="0" fillId="0" borderId="3" xfId="0" applyNumberFormat="1" applyBorder="1"/>
    <xf numFmtId="2" fontId="0" fillId="0" borderId="0" xfId="0" applyNumberFormat="1" applyBorder="1"/>
    <xf numFmtId="2" fontId="0" fillId="0" borderId="4" xfId="0" applyNumberFormat="1" applyBorder="1"/>
    <xf numFmtId="2" fontId="0" fillId="0" borderId="1" xfId="0" applyNumberFormat="1" applyBorder="1"/>
    <xf numFmtId="2" fontId="0" fillId="0" borderId="5" xfId="0" applyNumberFormat="1" applyBorder="1"/>
    <xf numFmtId="166" fontId="0" fillId="0" borderId="0" xfId="1" applyNumberFormat="1" applyFont="1" applyBorder="1" applyAlignment="1">
      <alignment horizontal="center"/>
    </xf>
    <xf numFmtId="166" fontId="0" fillId="0" borderId="0" xfId="1" applyNumberFormat="1" applyFont="1" applyBorder="1"/>
    <xf numFmtId="166" fontId="0" fillId="0" borderId="15" xfId="1" applyNumberFormat="1" applyFon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0" fontId="0" fillId="0" borderId="7" xfId="0" applyBorder="1" applyAlignment="1">
      <alignment horizontal="right"/>
    </xf>
    <xf numFmtId="166" fontId="0" fillId="4" borderId="4" xfId="1" applyNumberFormat="1" applyFont="1" applyFill="1" applyBorder="1"/>
    <xf numFmtId="166" fontId="0" fillId="4" borderId="0" xfId="1" applyNumberFormat="1" applyFont="1" applyFill="1"/>
    <xf numFmtId="166" fontId="0" fillId="4" borderId="5" xfId="1" applyNumberFormat="1" applyFont="1" applyFill="1" applyBorder="1"/>
    <xf numFmtId="2" fontId="1" fillId="0" borderId="13" xfId="0" applyNumberFormat="1" applyFont="1" applyBorder="1"/>
    <xf numFmtId="0" fontId="0" fillId="0" borderId="13" xfId="0" applyBorder="1"/>
    <xf numFmtId="165" fontId="0" fillId="0" borderId="0" xfId="2" applyNumberFormat="1" applyFont="1" applyBorder="1" applyAlignment="1">
      <alignment horizontal="right"/>
    </xf>
    <xf numFmtId="0" fontId="0" fillId="0" borderId="4" xfId="0" applyBorder="1" applyAlignment="1">
      <alignment horizontal="right"/>
    </xf>
    <xf numFmtId="165" fontId="0" fillId="0" borderId="1" xfId="2" applyNumberFormat="1" applyFont="1" applyBorder="1" applyAlignment="1">
      <alignment horizontal="right"/>
    </xf>
    <xf numFmtId="0" fontId="0" fillId="0" borderId="5" xfId="0" applyBorder="1" applyAlignment="1">
      <alignment horizontal="right"/>
    </xf>
    <xf numFmtId="2" fontId="0" fillId="0" borderId="10" xfId="0" applyNumberFormat="1" applyBorder="1"/>
    <xf numFmtId="2" fontId="0" fillId="0" borderId="11" xfId="0" applyNumberFormat="1" applyBorder="1"/>
    <xf numFmtId="10" fontId="0" fillId="0" borderId="0" xfId="2" applyNumberFormat="1" applyFont="1" applyBorder="1"/>
    <xf numFmtId="10" fontId="0" fillId="0" borderId="1" xfId="2" applyNumberFormat="1" applyFont="1" applyBorder="1"/>
    <xf numFmtId="2" fontId="0" fillId="0" borderId="0" xfId="0" applyNumberFormat="1"/>
    <xf numFmtId="2" fontId="0" fillId="0" borderId="15" xfId="0" applyNumberFormat="1" applyBorder="1"/>
    <xf numFmtId="2" fontId="14" fillId="0" borderId="12" xfId="0" quotePrefix="1" applyNumberFormat="1" applyFont="1" applyBorder="1"/>
    <xf numFmtId="2" fontId="3" fillId="0" borderId="13" xfId="0" applyNumberFormat="1" applyFont="1" applyBorder="1"/>
    <xf numFmtId="2" fontId="3" fillId="0" borderId="14" xfId="0" applyNumberFormat="1" applyFont="1" applyBorder="1"/>
    <xf numFmtId="2" fontId="3" fillId="0" borderId="0" xfId="0" applyNumberFormat="1" applyFont="1" applyBorder="1"/>
    <xf numFmtId="2" fontId="3" fillId="0" borderId="15" xfId="0" applyNumberFormat="1" applyFont="1" applyBorder="1"/>
    <xf numFmtId="2" fontId="3" fillId="0" borderId="1" xfId="0" applyNumberFormat="1" applyFont="1" applyBorder="1"/>
    <xf numFmtId="2" fontId="3" fillId="0" borderId="3" xfId="0" applyNumberFormat="1" applyFont="1" applyBorder="1"/>
    <xf numFmtId="2" fontId="3" fillId="0" borderId="4" xfId="0" applyNumberFormat="1" applyFont="1" applyBorder="1"/>
    <xf numFmtId="2" fontId="3" fillId="0" borderId="5" xfId="0" applyNumberFormat="1" applyFont="1" applyBorder="1"/>
    <xf numFmtId="0" fontId="14" fillId="0" borderId="13" xfId="0" applyFont="1" applyBorder="1"/>
    <xf numFmtId="0" fontId="6" fillId="0" borderId="13" xfId="0" applyFont="1" applyBorder="1"/>
    <xf numFmtId="2" fontId="14" fillId="0" borderId="1" xfId="0" quotePrefix="1" applyNumberFormat="1" applyFont="1" applyBorder="1"/>
    <xf numFmtId="2" fontId="14" fillId="0" borderId="1" xfId="0" applyNumberFormat="1" applyFont="1" applyBorder="1"/>
    <xf numFmtId="2" fontId="2" fillId="0" borderId="1" xfId="0" applyNumberFormat="1" applyFont="1" applyBorder="1"/>
    <xf numFmtId="2" fontId="2" fillId="0" borderId="5" xfId="0" applyNumberFormat="1" applyFont="1" applyBorder="1"/>
    <xf numFmtId="2" fontId="11" fillId="0" borderId="0" xfId="0" applyNumberFormat="1" applyFont="1"/>
    <xf numFmtId="2" fontId="11" fillId="0" borderId="0" xfId="0" applyNumberFormat="1" applyFont="1" applyFill="1"/>
    <xf numFmtId="2" fontId="11" fillId="5" borderId="0" xfId="0" applyNumberFormat="1" applyFont="1" applyFill="1"/>
    <xf numFmtId="2" fontId="15" fillId="0" borderId="0" xfId="0" quotePrefix="1" applyNumberFormat="1" applyFont="1"/>
    <xf numFmtId="0" fontId="0" fillId="0" borderId="15" xfId="0" applyBorder="1" applyAlignment="1">
      <alignment horizontal="right"/>
    </xf>
    <xf numFmtId="0" fontId="0" fillId="0" borderId="1" xfId="0" quotePrefix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quotePrefix="1" applyNumberFormat="1" applyBorder="1" applyAlignment="1">
      <alignment horizontal="right"/>
    </xf>
    <xf numFmtId="2" fontId="0" fillId="2" borderId="12" xfId="0" applyNumberFormat="1" applyFill="1" applyBorder="1" applyAlignment="1">
      <alignment horizontal="center"/>
    </xf>
    <xf numFmtId="16" fontId="0" fillId="0" borderId="23" xfId="0" quotePrefix="1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6" fontId="0" fillId="0" borderId="0" xfId="1" applyNumberFormat="1" applyFont="1" applyFill="1"/>
    <xf numFmtId="166" fontId="0" fillId="0" borderId="3" xfId="1" applyNumberFormat="1" applyFont="1" applyFill="1" applyBorder="1"/>
    <xf numFmtId="166" fontId="0" fillId="0" borderId="1" xfId="1" applyNumberFormat="1" applyFont="1" applyFill="1" applyBorder="1"/>
    <xf numFmtId="166" fontId="0" fillId="2" borderId="4" xfId="1" applyNumberFormat="1" applyFont="1" applyFill="1" applyBorder="1"/>
    <xf numFmtId="166" fontId="0" fillId="2" borderId="5" xfId="1" applyNumberFormat="1" applyFont="1" applyFill="1" applyBorder="1"/>
    <xf numFmtId="166" fontId="0" fillId="8" borderId="0" xfId="1" applyNumberFormat="1" applyFont="1" applyFill="1"/>
    <xf numFmtId="166" fontId="0" fillId="8" borderId="15" xfId="1" applyNumberFormat="1" applyFont="1" applyFill="1" applyBorder="1"/>
    <xf numFmtId="2" fontId="0" fillId="0" borderId="1" xfId="0" applyNumberFormat="1" applyBorder="1" applyAlignment="1">
      <alignment horizontal="right"/>
    </xf>
    <xf numFmtId="2" fontId="0" fillId="0" borderId="12" xfId="0" applyNumberFormat="1" applyBorder="1"/>
    <xf numFmtId="2" fontId="0" fillId="0" borderId="13" xfId="0" applyNumberFormat="1" applyBorder="1"/>
    <xf numFmtId="2" fontId="0" fillId="0" borderId="1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2" fontId="0" fillId="8" borderId="3" xfId="0" applyNumberFormat="1" applyFill="1" applyBorder="1"/>
    <xf numFmtId="2" fontId="0" fillId="2" borderId="0" xfId="0" applyNumberFormat="1" applyFill="1"/>
    <xf numFmtId="167" fontId="0" fillId="0" borderId="0" xfId="0" applyNumberForma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0" xfId="0" applyFill="1" applyBorder="1"/>
    <xf numFmtId="2" fontId="0" fillId="2" borderId="10" xfId="0" applyNumberFormat="1" applyFill="1" applyBorder="1"/>
    <xf numFmtId="10" fontId="0" fillId="2" borderId="0" xfId="2" applyNumberFormat="1" applyFont="1" applyFill="1" applyBorder="1"/>
    <xf numFmtId="165" fontId="0" fillId="2" borderId="0" xfId="2" applyNumberFormat="1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168" fontId="0" fillId="0" borderId="0" xfId="0" applyNumberFormat="1"/>
    <xf numFmtId="166" fontId="0" fillId="0" borderId="9" xfId="1" applyNumberFormat="1" applyFont="1" applyBorder="1" applyAlignment="1"/>
    <xf numFmtId="166" fontId="0" fillId="0" borderId="10" xfId="1" applyNumberFormat="1" applyFont="1" applyBorder="1" applyAlignment="1"/>
    <xf numFmtId="166" fontId="0" fillId="0" borderId="11" xfId="1" applyNumberFormat="1" applyFont="1" applyBorder="1" applyAlignment="1"/>
    <xf numFmtId="10" fontId="0" fillId="0" borderId="9" xfId="2" applyNumberFormat="1" applyFont="1" applyBorder="1" applyAlignment="1">
      <alignment horizontal="center"/>
    </xf>
    <xf numFmtId="10" fontId="0" fillId="0" borderId="10" xfId="2" applyNumberFormat="1" applyFont="1" applyBorder="1" applyAlignment="1">
      <alignment horizontal="center"/>
    </xf>
    <xf numFmtId="10" fontId="0" fillId="0" borderId="11" xfId="2" applyNumberFormat="1" applyFont="1" applyBorder="1" applyAlignment="1">
      <alignment horizontal="center"/>
    </xf>
    <xf numFmtId="169" fontId="0" fillId="0" borderId="0" xfId="0" applyNumberFormat="1"/>
    <xf numFmtId="166" fontId="0" fillId="0" borderId="4" xfId="0" applyNumberFormat="1" applyBorder="1"/>
    <xf numFmtId="2" fontId="4" fillId="0" borderId="0" xfId="0" quotePrefix="1" applyNumberFormat="1" applyFont="1"/>
    <xf numFmtId="166" fontId="0" fillId="5" borderId="12" xfId="1" applyNumberFormat="1" applyFont="1" applyFill="1" applyBorder="1"/>
    <xf numFmtId="166" fontId="0" fillId="5" borderId="13" xfId="1" applyNumberFormat="1" applyFont="1" applyFill="1" applyBorder="1"/>
    <xf numFmtId="166" fontId="0" fillId="9" borderId="0" xfId="0" applyNumberFormat="1" applyFill="1"/>
    <xf numFmtId="0" fontId="0" fillId="0" borderId="0" xfId="0" applyAlignment="1">
      <alignment horizontal="center"/>
    </xf>
    <xf numFmtId="44" fontId="0" fillId="0" borderId="0" xfId="0" applyNumberFormat="1"/>
    <xf numFmtId="0" fontId="0" fillId="0" borderId="8" xfId="0" applyBorder="1" applyAlignment="1">
      <alignment horizontal="center"/>
    </xf>
    <xf numFmtId="0" fontId="0" fillId="0" borderId="23" xfId="0" applyBorder="1" applyAlignment="1">
      <alignment horizontal="center"/>
    </xf>
    <xf numFmtId="166" fontId="0" fillId="0" borderId="9" xfId="1" applyNumberFormat="1" applyFont="1" applyBorder="1" applyAlignment="1">
      <alignment horizontal="right"/>
    </xf>
    <xf numFmtId="166" fontId="0" fillId="0" borderId="10" xfId="1" applyNumberFormat="1" applyFont="1" applyBorder="1" applyAlignment="1">
      <alignment horizontal="right"/>
    </xf>
    <xf numFmtId="166" fontId="0" fillId="0" borderId="11" xfId="1" applyNumberFormat="1" applyFont="1" applyBorder="1" applyAlignment="1">
      <alignment horizontal="right"/>
    </xf>
    <xf numFmtId="166" fontId="0" fillId="2" borderId="0" xfId="1" applyNumberFormat="1" applyFont="1" applyFill="1"/>
    <xf numFmtId="2" fontId="1" fillId="2" borderId="13" xfId="0" applyNumberFormat="1" applyFont="1" applyFill="1" applyBorder="1"/>
    <xf numFmtId="2" fontId="1" fillId="0" borderId="3" xfId="0" applyNumberFormat="1" applyFont="1" applyBorder="1"/>
    <xf numFmtId="0" fontId="2" fillId="0" borderId="7" xfId="0" applyFont="1" applyBorder="1"/>
    <xf numFmtId="2" fontId="10" fillId="0" borderId="6" xfId="0" applyNumberFormat="1" applyFont="1" applyBorder="1"/>
    <xf numFmtId="2" fontId="10" fillId="2" borderId="6" xfId="0" applyNumberFormat="1" applyFont="1" applyFill="1" applyBorder="1"/>
    <xf numFmtId="2" fontId="10" fillId="0" borderId="7" xfId="0" applyNumberFormat="1" applyFont="1" applyBorder="1"/>
    <xf numFmtId="166" fontId="2" fillId="8" borderId="3" xfId="1" applyNumberFormat="1" applyFont="1" applyFill="1" applyBorder="1"/>
    <xf numFmtId="44" fontId="0" fillId="0" borderId="0" xfId="1" applyFont="1" applyFill="1" applyBorder="1"/>
    <xf numFmtId="44" fontId="0" fillId="0" borderId="0" xfId="1" applyFont="1"/>
    <xf numFmtId="166" fontId="0" fillId="0" borderId="24" xfId="0" applyNumberFormat="1" applyBorder="1"/>
    <xf numFmtId="0" fontId="0" fillId="0" borderId="0" xfId="0" applyNumberFormat="1"/>
    <xf numFmtId="166" fontId="0" fillId="0" borderId="0" xfId="2" applyNumberFormat="1" applyFont="1"/>
    <xf numFmtId="166" fontId="0" fillId="0" borderId="11" xfId="0" applyNumberFormat="1" applyBorder="1"/>
    <xf numFmtId="0" fontId="0" fillId="0" borderId="0" xfId="0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3">
    <dxf>
      <numFmt numFmtId="0" formatCode="General"/>
    </dxf>
    <dxf>
      <numFmt numFmtId="0" formatCode="General"/>
    </dxf>
    <dxf>
      <font>
        <color theme="0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microsoft.com/office/2017/06/relationships/rdRichValueTypes" Target="richData/rdRichValueTypes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microsoft.com/office/2017/06/relationships/rdRichValue" Target="richData/rdrichvalue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microsoft.com/office/2017/06/relationships/rdRichValueStructure" Target="richData/rdrichvaluestructur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9</v>
    <v>8</v>
    <v>9</v>
    <v>1</v>
  </rv>
  <rv s="1">
    <v>8</v>
    <v>1</v>
  </rv>
</rvData>
</file>

<file path=xl/richData/rdrichvaluestructure.xml><?xml version="1.0" encoding="utf-8"?>
<rvStructures xmlns="http://schemas.microsoft.com/office/spreadsheetml/2017/richdata" count="2">
  <s t="_error">
    <k n="colOffset" t="i"/>
    <k n="errorType" t="i"/>
    <k n="rwOffset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41407-1E17-44C5-BED4-177AF5AE0656}">
  <dimension ref="A1:M11"/>
  <sheetViews>
    <sheetView zoomScale="145" zoomScaleNormal="145" workbookViewId="0">
      <selection activeCell="R20" sqref="R20"/>
    </sheetView>
  </sheetViews>
  <sheetFormatPr defaultRowHeight="15"/>
  <cols>
    <col min="1" max="1" width="13.42578125" customWidth="1"/>
    <col min="2" max="2" width="9.140625" bestFit="1" customWidth="1"/>
    <col min="11" max="11" width="10.42578125" customWidth="1"/>
  </cols>
  <sheetData>
    <row r="1" spans="1:13">
      <c r="A1" t="s">
        <v>200</v>
      </c>
      <c r="B1" s="128">
        <v>12</v>
      </c>
      <c r="C1" s="131">
        <v>24</v>
      </c>
      <c r="D1" s="129">
        <v>36</v>
      </c>
      <c r="E1" s="130">
        <v>48</v>
      </c>
      <c r="F1" s="130">
        <v>60</v>
      </c>
      <c r="G1" s="130">
        <v>72</v>
      </c>
      <c r="H1" s="130">
        <v>84</v>
      </c>
      <c r="I1" s="130">
        <v>96</v>
      </c>
      <c r="J1" s="130">
        <v>108</v>
      </c>
      <c r="K1" s="102">
        <v>120</v>
      </c>
    </row>
    <row r="2" spans="1:13">
      <c r="A2" s="152" t="s">
        <v>246</v>
      </c>
      <c r="B2" s="170">
        <v>42000</v>
      </c>
      <c r="C2" s="171">
        <v>60000</v>
      </c>
      <c r="D2" s="59">
        <v>71000</v>
      </c>
      <c r="E2" s="59">
        <v>80000</v>
      </c>
      <c r="F2" s="59">
        <v>88000</v>
      </c>
      <c r="G2" s="59">
        <v>93000</v>
      </c>
      <c r="H2" s="59">
        <v>96000</v>
      </c>
      <c r="I2" s="59">
        <v>98000</v>
      </c>
      <c r="J2" s="59">
        <v>99000</v>
      </c>
      <c r="K2" s="60">
        <v>100000</v>
      </c>
      <c r="M2" s="57"/>
    </row>
    <row r="3" spans="1:13">
      <c r="A3" s="153" t="s">
        <v>247</v>
      </c>
      <c r="B3" s="61">
        <v>40000</v>
      </c>
      <c r="C3" s="66">
        <v>59000</v>
      </c>
      <c r="D3" s="66">
        <v>68000</v>
      </c>
      <c r="E3" s="66">
        <v>78000</v>
      </c>
      <c r="F3" s="66">
        <v>87000</v>
      </c>
      <c r="G3" s="66">
        <v>92000</v>
      </c>
      <c r="H3" s="66">
        <v>95000</v>
      </c>
      <c r="I3" s="66">
        <v>98000</v>
      </c>
      <c r="J3" s="66">
        <v>99000</v>
      </c>
      <c r="K3" s="62"/>
    </row>
    <row r="4" spans="1:13">
      <c r="A4" s="153" t="s">
        <v>248</v>
      </c>
      <c r="B4" s="61">
        <v>36000</v>
      </c>
      <c r="C4" s="66">
        <v>55000</v>
      </c>
      <c r="D4" s="66">
        <v>65000</v>
      </c>
      <c r="E4" s="66">
        <v>76000</v>
      </c>
      <c r="F4" s="66">
        <v>85000</v>
      </c>
      <c r="G4" s="66">
        <v>91000</v>
      </c>
      <c r="H4" s="66">
        <v>94000</v>
      </c>
      <c r="I4" s="66">
        <v>97000</v>
      </c>
      <c r="J4" s="66"/>
      <c r="K4" s="62"/>
    </row>
    <row r="5" spans="1:13">
      <c r="A5" s="153" t="s">
        <v>249</v>
      </c>
      <c r="B5" s="61">
        <v>38000</v>
      </c>
      <c r="C5" s="66">
        <v>57000</v>
      </c>
      <c r="D5" s="66">
        <v>66000</v>
      </c>
      <c r="E5" s="66">
        <v>77000</v>
      </c>
      <c r="F5" s="66">
        <v>86000</v>
      </c>
      <c r="G5" s="66">
        <v>92000</v>
      </c>
      <c r="H5" s="66">
        <v>95000</v>
      </c>
      <c r="I5" s="66"/>
      <c r="J5" s="66"/>
      <c r="K5" s="62"/>
    </row>
    <row r="6" spans="1:13">
      <c r="A6" s="153" t="s">
        <v>250</v>
      </c>
      <c r="B6" s="61">
        <v>39000</v>
      </c>
      <c r="C6" s="66">
        <v>58000</v>
      </c>
      <c r="D6" s="66">
        <v>67000</v>
      </c>
      <c r="E6" s="180">
        <v>77000</v>
      </c>
      <c r="F6" s="66">
        <v>87000</v>
      </c>
      <c r="G6" s="66">
        <v>92000</v>
      </c>
      <c r="H6" s="66"/>
      <c r="I6" s="66"/>
      <c r="J6" s="66"/>
      <c r="K6" s="62"/>
    </row>
    <row r="7" spans="1:13">
      <c r="A7" s="153" t="s">
        <v>251</v>
      </c>
      <c r="B7" s="61">
        <v>41000</v>
      </c>
      <c r="C7" s="66">
        <v>60000</v>
      </c>
      <c r="D7" s="66">
        <v>70000</v>
      </c>
      <c r="E7" s="66">
        <v>79000</v>
      </c>
      <c r="F7" s="66">
        <v>88000</v>
      </c>
      <c r="G7" s="66"/>
      <c r="H7" s="66"/>
      <c r="I7" s="66"/>
      <c r="J7" s="66"/>
      <c r="K7" s="62"/>
    </row>
    <row r="8" spans="1:13">
      <c r="A8" s="153" t="s">
        <v>252</v>
      </c>
      <c r="B8" s="61">
        <v>42000</v>
      </c>
      <c r="C8" s="66">
        <v>61000</v>
      </c>
      <c r="D8" s="66">
        <v>70000</v>
      </c>
      <c r="E8" s="66">
        <v>79000</v>
      </c>
      <c r="F8" s="66"/>
      <c r="G8" s="66"/>
      <c r="H8" s="66"/>
      <c r="I8" s="66"/>
      <c r="J8" s="66"/>
      <c r="K8" s="62"/>
    </row>
    <row r="9" spans="1:13">
      <c r="A9" s="153" t="s">
        <v>253</v>
      </c>
      <c r="B9" s="61">
        <v>43000</v>
      </c>
      <c r="C9" s="66">
        <v>62000</v>
      </c>
      <c r="D9" s="66">
        <v>72000</v>
      </c>
      <c r="E9" s="66"/>
      <c r="F9" s="66"/>
      <c r="G9" s="66"/>
      <c r="H9" s="66"/>
      <c r="I9" s="66"/>
      <c r="J9" s="66"/>
      <c r="K9" s="62"/>
    </row>
    <row r="10" spans="1:13">
      <c r="A10" s="153" t="s">
        <v>254</v>
      </c>
      <c r="B10" s="61">
        <v>43000</v>
      </c>
      <c r="C10" s="66">
        <v>63000</v>
      </c>
      <c r="D10" s="66"/>
      <c r="E10" s="66"/>
      <c r="F10" s="66"/>
      <c r="G10" s="66"/>
      <c r="H10" s="66"/>
      <c r="I10" s="66"/>
      <c r="J10" s="66"/>
      <c r="K10" s="62"/>
    </row>
    <row r="11" spans="1:13">
      <c r="A11" s="154" t="s">
        <v>255</v>
      </c>
      <c r="B11" s="63">
        <v>42000</v>
      </c>
      <c r="C11" s="64"/>
      <c r="D11" s="64"/>
      <c r="E11" s="64"/>
      <c r="F11" s="64"/>
      <c r="G11" s="64"/>
      <c r="H11" s="64"/>
      <c r="I11" s="64"/>
      <c r="J11" s="64"/>
      <c r="K11" s="65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CE9DB-6BA9-465B-8446-D4716E79C07E}">
  <dimension ref="A1:K11"/>
  <sheetViews>
    <sheetView zoomScale="130" zoomScaleNormal="130" workbookViewId="0">
      <selection activeCell="H10" sqref="H10"/>
    </sheetView>
  </sheetViews>
  <sheetFormatPr defaultRowHeight="15"/>
  <cols>
    <col min="1" max="1" width="13.7109375" customWidth="1"/>
  </cols>
  <sheetData>
    <row r="1" spans="1:11">
      <c r="A1" s="18" t="s">
        <v>165</v>
      </c>
      <c r="B1" s="17">
        <v>6</v>
      </c>
      <c r="C1" s="17">
        <v>18</v>
      </c>
      <c r="D1" s="17">
        <v>30</v>
      </c>
      <c r="E1" s="17">
        <v>42</v>
      </c>
      <c r="F1" s="17">
        <v>54</v>
      </c>
      <c r="G1" s="17">
        <v>66</v>
      </c>
      <c r="H1" s="17">
        <v>78</v>
      </c>
      <c r="I1" s="17">
        <v>90</v>
      </c>
      <c r="J1" s="17">
        <v>102</v>
      </c>
      <c r="K1" s="16">
        <v>114</v>
      </c>
    </row>
    <row r="2" spans="1:11">
      <c r="A2" s="19">
        <v>2000</v>
      </c>
      <c r="B2" s="34" t="s">
        <v>121</v>
      </c>
      <c r="C2" s="35" t="s">
        <v>122</v>
      </c>
      <c r="D2" s="35" t="s">
        <v>123</v>
      </c>
      <c r="E2" s="35" t="s">
        <v>124</v>
      </c>
      <c r="F2" s="35" t="s">
        <v>125</v>
      </c>
      <c r="G2" s="35" t="s">
        <v>126</v>
      </c>
      <c r="H2" s="35" t="s">
        <v>127</v>
      </c>
      <c r="I2" s="35" t="s">
        <v>128</v>
      </c>
      <c r="J2" s="35" t="s">
        <v>129</v>
      </c>
      <c r="K2" s="36"/>
    </row>
    <row r="3" spans="1:11">
      <c r="A3" s="20">
        <v>2001</v>
      </c>
      <c r="B3" s="37" t="s">
        <v>130</v>
      </c>
      <c r="C3" s="38" t="s">
        <v>131</v>
      </c>
      <c r="D3" s="38" t="s">
        <v>132</v>
      </c>
      <c r="E3" s="38" t="s">
        <v>133</v>
      </c>
      <c r="F3" s="38" t="s">
        <v>134</v>
      </c>
      <c r="G3" s="38" t="s">
        <v>135</v>
      </c>
      <c r="H3" s="38" t="s">
        <v>136</v>
      </c>
      <c r="I3" s="38" t="s">
        <v>128</v>
      </c>
      <c r="J3" s="38"/>
      <c r="K3" s="39"/>
    </row>
    <row r="4" spans="1:11">
      <c r="A4" s="20">
        <v>2002</v>
      </c>
      <c r="B4" s="37" t="s">
        <v>137</v>
      </c>
      <c r="C4" s="38" t="s">
        <v>138</v>
      </c>
      <c r="D4" s="38" t="s">
        <v>139</v>
      </c>
      <c r="E4" s="38" t="s">
        <v>140</v>
      </c>
      <c r="F4" s="38" t="s">
        <v>141</v>
      </c>
      <c r="G4" s="38" t="s">
        <v>142</v>
      </c>
      <c r="H4" s="38" t="s">
        <v>143</v>
      </c>
      <c r="I4" s="38"/>
      <c r="J4" s="38"/>
      <c r="K4" s="39"/>
    </row>
    <row r="5" spans="1:11">
      <c r="A5" s="20">
        <v>2003</v>
      </c>
      <c r="B5" s="37" t="s">
        <v>144</v>
      </c>
      <c r="C5" s="38" t="s">
        <v>145</v>
      </c>
      <c r="D5" s="38" t="s">
        <v>146</v>
      </c>
      <c r="E5" s="38" t="s">
        <v>147</v>
      </c>
      <c r="F5" s="38" t="s">
        <v>148</v>
      </c>
      <c r="G5" s="38" t="s">
        <v>135</v>
      </c>
      <c r="H5" s="38"/>
      <c r="I5" s="38"/>
      <c r="J5" s="38"/>
      <c r="K5" s="39"/>
    </row>
    <row r="6" spans="1:11">
      <c r="A6" s="20">
        <v>2004</v>
      </c>
      <c r="B6" s="37" t="s">
        <v>149</v>
      </c>
      <c r="C6" s="38" t="s">
        <v>150</v>
      </c>
      <c r="D6" s="38" t="s">
        <v>151</v>
      </c>
      <c r="E6" s="38" t="s">
        <v>152</v>
      </c>
      <c r="F6" s="38" t="s">
        <v>134</v>
      </c>
      <c r="G6" s="38"/>
      <c r="H6" s="38"/>
      <c r="I6" s="38"/>
      <c r="J6" s="38"/>
      <c r="K6" s="39"/>
    </row>
    <row r="7" spans="1:11">
      <c r="A7" s="20">
        <v>2005</v>
      </c>
      <c r="B7" s="37" t="s">
        <v>153</v>
      </c>
      <c r="C7" s="38" t="s">
        <v>154</v>
      </c>
      <c r="D7" s="38" t="s">
        <v>155</v>
      </c>
      <c r="E7" s="38" t="s">
        <v>156</v>
      </c>
      <c r="F7" s="38"/>
      <c r="G7" s="38"/>
      <c r="H7" s="38"/>
      <c r="I7" s="38"/>
      <c r="J7" s="38"/>
      <c r="K7" s="39"/>
    </row>
    <row r="8" spans="1:11">
      <c r="A8" s="20">
        <v>2006</v>
      </c>
      <c r="B8" s="37" t="s">
        <v>157</v>
      </c>
      <c r="C8" s="38" t="s">
        <v>158</v>
      </c>
      <c r="D8" s="38" t="s">
        <v>155</v>
      </c>
      <c r="E8" s="38"/>
      <c r="F8" s="38"/>
      <c r="G8" s="38"/>
      <c r="H8" s="38"/>
      <c r="I8" s="38"/>
      <c r="J8" s="38"/>
      <c r="K8" s="39"/>
    </row>
    <row r="9" spans="1:11">
      <c r="A9" s="20">
        <v>2007</v>
      </c>
      <c r="B9" s="37" t="s">
        <v>159</v>
      </c>
      <c r="C9" s="38" t="s">
        <v>160</v>
      </c>
      <c r="D9" s="38"/>
      <c r="E9" s="38"/>
      <c r="F9" s="38"/>
      <c r="G9" s="38"/>
      <c r="H9" s="38"/>
      <c r="I9" s="38"/>
      <c r="J9" s="38"/>
      <c r="K9" s="39"/>
    </row>
    <row r="10" spans="1:11">
      <c r="A10" s="20">
        <v>2008</v>
      </c>
      <c r="B10" s="37" t="s">
        <v>161</v>
      </c>
      <c r="C10" s="38"/>
      <c r="D10" s="38"/>
      <c r="E10" s="38"/>
      <c r="F10" s="38"/>
      <c r="G10" s="38"/>
      <c r="H10" s="38"/>
      <c r="I10" s="38"/>
      <c r="J10" s="38"/>
      <c r="K10" s="39"/>
    </row>
    <row r="11" spans="1:11">
      <c r="A11" s="21">
        <v>2009</v>
      </c>
      <c r="B11" s="40"/>
      <c r="C11" s="41"/>
      <c r="D11" s="41"/>
      <c r="E11" s="41"/>
      <c r="F11" s="41"/>
      <c r="G11" s="41"/>
      <c r="H11" s="41"/>
      <c r="I11" s="41"/>
      <c r="J11" s="41"/>
      <c r="K11" s="4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6ED94-C56B-4CBD-AAE1-CD0C679298EE}">
  <dimension ref="A1:K13"/>
  <sheetViews>
    <sheetView zoomScale="130" zoomScaleNormal="130" workbookViewId="0">
      <selection activeCell="Q21" sqref="Q21"/>
    </sheetView>
  </sheetViews>
  <sheetFormatPr defaultRowHeight="15"/>
  <cols>
    <col min="1" max="1" width="15.85546875" customWidth="1"/>
  </cols>
  <sheetData>
    <row r="1" spans="1:11">
      <c r="A1" s="18" t="s">
        <v>165</v>
      </c>
      <c r="B1" s="17">
        <v>6</v>
      </c>
      <c r="C1" s="17">
        <v>18</v>
      </c>
      <c r="D1" s="17">
        <v>30</v>
      </c>
      <c r="E1" s="17">
        <v>42</v>
      </c>
      <c r="F1" s="17">
        <v>54</v>
      </c>
      <c r="G1" s="17">
        <v>66</v>
      </c>
      <c r="H1" s="17">
        <v>78</v>
      </c>
      <c r="I1" s="17">
        <v>90</v>
      </c>
      <c r="J1" s="17">
        <v>102</v>
      </c>
      <c r="K1" s="16">
        <v>114</v>
      </c>
    </row>
    <row r="2" spans="1:11">
      <c r="A2" s="19">
        <v>2000</v>
      </c>
      <c r="B2" s="132">
        <v>1.4285714285714286</v>
      </c>
      <c r="C2" s="75">
        <v>1.1833333333333333</v>
      </c>
      <c r="D2" s="75">
        <v>1.1267605633802817</v>
      </c>
      <c r="E2" s="75">
        <v>1.1000000000000001</v>
      </c>
      <c r="F2" s="75">
        <v>1.0568181818181819</v>
      </c>
      <c r="G2" s="75">
        <v>1.032258064516129</v>
      </c>
      <c r="H2" s="75">
        <v>1.0208333333333333</v>
      </c>
      <c r="I2" s="75">
        <v>1.010204081632653</v>
      </c>
      <c r="J2" s="76">
        <v>1.0101010101010102</v>
      </c>
      <c r="K2" s="77"/>
    </row>
    <row r="3" spans="1:11">
      <c r="A3" s="20">
        <v>2001</v>
      </c>
      <c r="B3" s="78">
        <v>1.4750000000000001</v>
      </c>
      <c r="C3" s="79">
        <v>1.152542372881356</v>
      </c>
      <c r="D3" s="79">
        <v>1.1470588235294117</v>
      </c>
      <c r="E3" s="79">
        <v>1.1153846153846154</v>
      </c>
      <c r="F3" s="79">
        <v>1.0574712643678161</v>
      </c>
      <c r="G3" s="79">
        <v>1.0326086956521738</v>
      </c>
      <c r="H3" s="79">
        <v>1.0315789473684212</v>
      </c>
      <c r="I3" s="79">
        <v>1.010204081632653</v>
      </c>
      <c r="J3" s="79"/>
      <c r="K3" s="80"/>
    </row>
    <row r="4" spans="1:11">
      <c r="A4" s="20">
        <v>2002</v>
      </c>
      <c r="B4" s="78">
        <v>1.5277777777777777</v>
      </c>
      <c r="C4" s="79">
        <v>1.1818181818181819</v>
      </c>
      <c r="D4" s="79">
        <v>1.1692307692307693</v>
      </c>
      <c r="E4" s="79">
        <v>1.118421052631579</v>
      </c>
      <c r="F4" s="79">
        <v>1.0705882352941176</v>
      </c>
      <c r="G4" s="79">
        <v>1.0329670329670331</v>
      </c>
      <c r="H4" s="79">
        <v>1.0319148936170213</v>
      </c>
      <c r="I4" s="79"/>
      <c r="J4" s="79"/>
      <c r="K4" s="80"/>
    </row>
    <row r="5" spans="1:11">
      <c r="A5" s="20">
        <v>2003</v>
      </c>
      <c r="B5" s="78">
        <v>1.5</v>
      </c>
      <c r="C5" s="79">
        <v>1.1578947368421053</v>
      </c>
      <c r="D5" s="79">
        <v>1.1666666666666667</v>
      </c>
      <c r="E5" s="79">
        <v>1.1168831168831168</v>
      </c>
      <c r="F5" s="79">
        <v>1.069767441860465</v>
      </c>
      <c r="G5" s="79">
        <v>1.0326086956521738</v>
      </c>
      <c r="H5" s="79"/>
      <c r="I5" s="79"/>
      <c r="J5" s="79"/>
      <c r="K5" s="80"/>
    </row>
    <row r="6" spans="1:11">
      <c r="A6" s="20">
        <v>2004</v>
      </c>
      <c r="B6" s="78">
        <v>1.4871794871794872</v>
      </c>
      <c r="C6" s="79">
        <v>1.1551724137931034</v>
      </c>
      <c r="D6" s="79">
        <v>1.1492537313432836</v>
      </c>
      <c r="E6" s="79">
        <v>1.1298701298701299</v>
      </c>
      <c r="F6" s="79">
        <v>1.0574712643678161</v>
      </c>
      <c r="G6" s="79"/>
      <c r="H6" s="79"/>
      <c r="I6" s="79"/>
      <c r="J6" s="79"/>
      <c r="K6" s="80"/>
    </row>
    <row r="7" spans="1:11">
      <c r="A7" s="20">
        <v>2005</v>
      </c>
      <c r="B7" s="78">
        <v>1.4634146341463414</v>
      </c>
      <c r="C7" s="79">
        <v>1.1666666666666667</v>
      </c>
      <c r="D7" s="79">
        <v>1.1285714285714286</v>
      </c>
      <c r="E7" s="79">
        <v>1.1139240506329113</v>
      </c>
      <c r="F7" s="79"/>
      <c r="G7" s="79"/>
      <c r="H7" s="79"/>
      <c r="I7" s="79"/>
      <c r="J7" s="79"/>
      <c r="K7" s="80"/>
    </row>
    <row r="8" spans="1:11">
      <c r="A8" s="20">
        <v>2006</v>
      </c>
      <c r="B8" s="78">
        <v>1.4523809523809523</v>
      </c>
      <c r="C8" s="79">
        <v>1.1475409836065573</v>
      </c>
      <c r="D8" s="79">
        <v>1.1285714285714286</v>
      </c>
      <c r="E8" s="79"/>
      <c r="F8" s="79"/>
      <c r="G8" s="79"/>
      <c r="H8" s="79"/>
      <c r="I8" s="79"/>
      <c r="J8" s="79"/>
      <c r="K8" s="80"/>
    </row>
    <row r="9" spans="1:11">
      <c r="A9" s="20">
        <v>2007</v>
      </c>
      <c r="B9" s="78">
        <v>1.441860465116279</v>
      </c>
      <c r="C9" s="79">
        <v>1.1612903225806452</v>
      </c>
      <c r="D9" s="79"/>
      <c r="E9" s="79"/>
      <c r="F9" s="79"/>
      <c r="G9" s="79"/>
      <c r="H9" s="79"/>
      <c r="I9" s="79"/>
      <c r="J9" s="79"/>
      <c r="K9" s="80"/>
    </row>
    <row r="10" spans="1:11">
      <c r="A10" s="20">
        <v>2008</v>
      </c>
      <c r="B10" s="78">
        <v>1.4651162790697674</v>
      </c>
      <c r="C10" s="79"/>
      <c r="D10" s="79"/>
      <c r="E10" s="79"/>
      <c r="F10" s="79"/>
      <c r="G10" s="79"/>
      <c r="H10" s="79"/>
      <c r="I10" s="79"/>
      <c r="J10" s="79"/>
      <c r="K10" s="80"/>
    </row>
    <row r="11" spans="1:11">
      <c r="A11" s="21">
        <v>2009</v>
      </c>
      <c r="B11" s="81"/>
      <c r="C11" s="82"/>
      <c r="D11" s="82"/>
      <c r="E11" s="82"/>
      <c r="F11" s="82"/>
      <c r="G11" s="82"/>
      <c r="H11" s="82"/>
      <c r="I11" s="82"/>
      <c r="J11" s="82"/>
      <c r="K11" s="80"/>
    </row>
    <row r="12" spans="1:11">
      <c r="B12" s="133" t="s">
        <v>174</v>
      </c>
      <c r="C12" s="134" t="s">
        <v>166</v>
      </c>
      <c r="D12" s="134" t="s">
        <v>167</v>
      </c>
      <c r="E12" s="134" t="s">
        <v>168</v>
      </c>
      <c r="F12" s="134" t="s">
        <v>169</v>
      </c>
      <c r="G12" s="134" t="s">
        <v>170</v>
      </c>
      <c r="H12" s="134" t="s">
        <v>171</v>
      </c>
      <c r="I12" s="134" t="s">
        <v>172</v>
      </c>
      <c r="J12" s="135" t="s">
        <v>173</v>
      </c>
      <c r="K12" s="136"/>
    </row>
    <row r="13" spans="1:11">
      <c r="A13" t="s">
        <v>211</v>
      </c>
      <c r="B13" s="43">
        <v>1.4712556693602261</v>
      </c>
      <c r="C13" s="44">
        <v>1.1632823764402438</v>
      </c>
      <c r="D13" s="44">
        <v>1.1451590587561815</v>
      </c>
      <c r="E13" s="44">
        <v>1.1157471609003922</v>
      </c>
      <c r="F13" s="44">
        <v>1.0624232775416793</v>
      </c>
      <c r="G13" s="44">
        <v>1.0326106221968774</v>
      </c>
      <c r="H13" s="44">
        <v>1.0281090581062586</v>
      </c>
      <c r="I13" s="44">
        <v>1.010204081632653</v>
      </c>
      <c r="J13" s="44">
        <v>1.0101010101010102</v>
      </c>
      <c r="K13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E99AC-76B3-4885-A70D-87DEFE81CAC5}">
  <dimension ref="A1:J3"/>
  <sheetViews>
    <sheetView zoomScale="145" zoomScaleNormal="145" workbookViewId="0">
      <selection sqref="A1:J3"/>
    </sheetView>
  </sheetViews>
  <sheetFormatPr defaultRowHeight="15"/>
  <cols>
    <col min="1" max="1" width="9.140625" customWidth="1"/>
  </cols>
  <sheetData>
    <row r="1" spans="1:10">
      <c r="A1" s="67" t="s">
        <v>174</v>
      </c>
      <c r="B1" s="68" t="s">
        <v>166</v>
      </c>
      <c r="C1" s="68" t="s">
        <v>167</v>
      </c>
      <c r="D1" s="68" t="s">
        <v>168</v>
      </c>
      <c r="E1" s="68" t="s">
        <v>169</v>
      </c>
      <c r="F1" s="68" t="s">
        <v>170</v>
      </c>
      <c r="G1" s="68" t="s">
        <v>171</v>
      </c>
      <c r="H1" s="68" t="s">
        <v>172</v>
      </c>
      <c r="I1" s="68" t="s">
        <v>173</v>
      </c>
      <c r="J1" s="69" t="s">
        <v>175</v>
      </c>
    </row>
    <row r="2" spans="1:10">
      <c r="A2" s="43">
        <v>1.4712556693602261</v>
      </c>
      <c r="B2" s="44">
        <v>1.1632823764402438</v>
      </c>
      <c r="C2" s="44">
        <v>1.1451590587561815</v>
      </c>
      <c r="D2" s="44">
        <v>1.1157471609003922</v>
      </c>
      <c r="E2" s="44">
        <v>1.0624232775416793</v>
      </c>
      <c r="F2" s="44">
        <v>1.0326106221968774</v>
      </c>
      <c r="G2" s="44">
        <v>1.0281090581062586</v>
      </c>
      <c r="H2" s="44">
        <v>1.010204081632653</v>
      </c>
      <c r="I2" s="44">
        <v>1.0101010101010102</v>
      </c>
      <c r="J2" s="44">
        <v>1</v>
      </c>
    </row>
    <row r="3" spans="1:10">
      <c r="A3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81D56-4606-4245-8195-B81D3AD63B0C}">
  <dimension ref="A1:K13"/>
  <sheetViews>
    <sheetView zoomScale="145" zoomScaleNormal="145" workbookViewId="0">
      <selection activeCell="P21" sqref="P21"/>
    </sheetView>
  </sheetViews>
  <sheetFormatPr defaultRowHeight="15"/>
  <cols>
    <col min="1" max="1" width="18.85546875" customWidth="1"/>
    <col min="3" max="7" width="12.28515625" bestFit="1" customWidth="1"/>
    <col min="8" max="11" width="13.42578125" bestFit="1" customWidth="1"/>
  </cols>
  <sheetData>
    <row r="1" spans="1:11">
      <c r="A1" s="18" t="s">
        <v>165</v>
      </c>
      <c r="B1" s="17">
        <v>6</v>
      </c>
      <c r="C1" s="17">
        <v>18</v>
      </c>
      <c r="D1" s="17">
        <v>30</v>
      </c>
      <c r="E1" s="17">
        <v>42</v>
      </c>
      <c r="F1" s="17">
        <v>54</v>
      </c>
      <c r="G1" s="17">
        <v>66</v>
      </c>
      <c r="H1" s="17">
        <v>78</v>
      </c>
      <c r="I1" s="17">
        <v>90</v>
      </c>
      <c r="J1" s="17">
        <v>102</v>
      </c>
      <c r="K1" s="93" t="s">
        <v>212</v>
      </c>
    </row>
    <row r="2" spans="1:11">
      <c r="A2" s="22">
        <v>2000</v>
      </c>
      <c r="B2" s="58"/>
      <c r="C2" s="59"/>
      <c r="D2" s="59"/>
      <c r="E2" s="59"/>
      <c r="F2" s="59"/>
      <c r="G2" s="59"/>
      <c r="H2" s="59"/>
      <c r="I2" s="59"/>
      <c r="J2" s="59"/>
      <c r="K2" s="60"/>
    </row>
    <row r="3" spans="1:11">
      <c r="A3" s="23">
        <v>2001</v>
      </c>
      <c r="B3" s="61"/>
      <c r="C3" s="89"/>
      <c r="D3" s="89"/>
      <c r="E3" s="89"/>
      <c r="F3" s="89"/>
      <c r="G3" s="90"/>
      <c r="H3" s="90"/>
      <c r="I3" s="90"/>
      <c r="J3" s="90"/>
      <c r="K3" s="62">
        <v>100000</v>
      </c>
    </row>
    <row r="4" spans="1:11">
      <c r="A4" s="23">
        <v>2002</v>
      </c>
      <c r="B4" s="61"/>
      <c r="C4" s="89"/>
      <c r="D4" s="89"/>
      <c r="E4" s="89"/>
      <c r="F4" s="89"/>
      <c r="G4" s="89"/>
      <c r="H4" s="90"/>
      <c r="I4" s="90"/>
      <c r="J4" s="90">
        <v>97989.795918367337</v>
      </c>
      <c r="K4" s="62">
        <v>98979.591836734689</v>
      </c>
    </row>
    <row r="5" spans="1:11">
      <c r="A5" s="23">
        <v>2003</v>
      </c>
      <c r="B5" s="61"/>
      <c r="C5" s="89"/>
      <c r="D5" s="89"/>
      <c r="E5" s="89"/>
      <c r="F5" s="89"/>
      <c r="G5" s="89"/>
      <c r="H5" s="90"/>
      <c r="I5" s="90">
        <v>97670.360520094575</v>
      </c>
      <c r="J5" s="90">
        <v>98666.996851932272</v>
      </c>
      <c r="K5" s="62">
        <v>99663.633183769969</v>
      </c>
    </row>
    <row r="6" spans="1:11">
      <c r="A6" s="23">
        <v>2004</v>
      </c>
      <c r="B6" s="61"/>
      <c r="C6" s="89"/>
      <c r="D6" s="89"/>
      <c r="E6" s="89"/>
      <c r="F6" s="89"/>
      <c r="G6" s="89"/>
      <c r="H6" s="90">
        <v>95000.17724211271</v>
      </c>
      <c r="I6" s="90">
        <v>97670.542744316117</v>
      </c>
      <c r="J6" s="90">
        <v>98667.180935584634</v>
      </c>
      <c r="K6" s="62">
        <v>99663.819126853181</v>
      </c>
    </row>
    <row r="7" spans="1:11">
      <c r="A7" s="23">
        <v>2005</v>
      </c>
      <c r="B7" s="61"/>
      <c r="C7" s="89"/>
      <c r="D7" s="89"/>
      <c r="E7" s="89"/>
      <c r="F7" s="89"/>
      <c r="G7" s="89">
        <v>93493.248423667785</v>
      </c>
      <c r="H7" s="90">
        <v>96542.121425970807</v>
      </c>
      <c r="I7" s="90">
        <v>99255.829526834903</v>
      </c>
      <c r="J7" s="90">
        <v>100268.6441138434</v>
      </c>
      <c r="K7" s="62">
        <v>101281.45870085193</v>
      </c>
    </row>
    <row r="8" spans="1:11">
      <c r="A8" s="23">
        <v>2006</v>
      </c>
      <c r="B8" s="61"/>
      <c r="C8" s="89"/>
      <c r="D8" s="89"/>
      <c r="E8" s="89"/>
      <c r="F8" s="89">
        <v>88144.025711130977</v>
      </c>
      <c r="G8" s="89">
        <v>93646.26469173783</v>
      </c>
      <c r="H8" s="90">
        <v>96700.127649748858</v>
      </c>
      <c r="I8" s="90">
        <v>99418.277156738288</v>
      </c>
      <c r="J8" s="90">
        <v>100432.74937262337</v>
      </c>
      <c r="K8" s="62">
        <v>101447.22158850846</v>
      </c>
    </row>
    <row r="9" spans="1:11">
      <c r="A9" s="23">
        <v>2007</v>
      </c>
      <c r="B9" s="61"/>
      <c r="C9" s="89"/>
      <c r="D9" s="89"/>
      <c r="E9" s="89">
        <v>82451.452230445066</v>
      </c>
      <c r="F9" s="89">
        <v>91994.973738233399</v>
      </c>
      <c r="G9" s="89">
        <v>97737.601516334631</v>
      </c>
      <c r="H9" s="90">
        <v>100924.88551381277</v>
      </c>
      <c r="I9" s="90">
        <v>103761.78898508803</v>
      </c>
      <c r="J9" s="90">
        <v>104820.58275024199</v>
      </c>
      <c r="K9" s="62">
        <v>105879.37651539595</v>
      </c>
    </row>
    <row r="10" spans="1:11">
      <c r="A10" s="23">
        <v>2008</v>
      </c>
      <c r="B10" s="61"/>
      <c r="C10" s="89"/>
      <c r="D10" s="89">
        <v>73286.789715735358</v>
      </c>
      <c r="E10" s="89">
        <v>83925.031130133706</v>
      </c>
      <c r="F10" s="89">
        <v>93639.115211923709</v>
      </c>
      <c r="G10" s="89">
        <v>99484.375689554916</v>
      </c>
      <c r="H10" s="90">
        <v>102728.6230796592</v>
      </c>
      <c r="I10" s="90">
        <v>105616.22791498128</v>
      </c>
      <c r="J10" s="90">
        <v>106693.94452635864</v>
      </c>
      <c r="K10" s="62">
        <v>107771.66113773601</v>
      </c>
    </row>
    <row r="11" spans="1:11">
      <c r="A11" s="25">
        <v>2009</v>
      </c>
      <c r="B11" s="91"/>
      <c r="C11" s="92">
        <v>61792.738113129497</v>
      </c>
      <c r="D11" s="92">
        <v>71882.403238990897</v>
      </c>
      <c r="E11" s="92">
        <v>82316.785234295108</v>
      </c>
      <c r="F11" s="92">
        <v>91844.719419612084</v>
      </c>
      <c r="G11" s="92">
        <v>97577.967830680194</v>
      </c>
      <c r="H11" s="64">
        <v>100760.04607434556</v>
      </c>
      <c r="I11" s="64">
        <v>103592.31606423865</v>
      </c>
      <c r="J11" s="64">
        <v>104649.38051387372</v>
      </c>
      <c r="K11" s="65">
        <v>105706.44496350881</v>
      </c>
    </row>
    <row r="12" spans="1:11">
      <c r="B12" s="83"/>
      <c r="C12" s="45"/>
      <c r="D12" s="45"/>
      <c r="E12" s="45"/>
      <c r="F12" s="45"/>
      <c r="G12" s="45"/>
      <c r="H12" s="45"/>
      <c r="I12" s="45"/>
      <c r="J12" s="45"/>
      <c r="K12" s="45"/>
    </row>
    <row r="13" spans="1:11">
      <c r="B13" s="43"/>
      <c r="C13" s="44"/>
      <c r="D13" s="44"/>
      <c r="E13" s="44"/>
      <c r="F13" s="44"/>
      <c r="G13" s="44"/>
      <c r="H13" s="44"/>
      <c r="I13" s="44"/>
      <c r="J13" s="44"/>
      <c r="K13" s="4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37494-2FF1-4195-9D60-4466A21995BE}">
  <dimension ref="A1:M22"/>
  <sheetViews>
    <sheetView zoomScale="145" zoomScaleNormal="145" workbookViewId="0">
      <selection activeCell="B13" sqref="B13:J13"/>
    </sheetView>
  </sheetViews>
  <sheetFormatPr defaultRowHeight="15"/>
  <cols>
    <col min="1" max="1" width="18" bestFit="1" customWidth="1"/>
    <col min="2" max="7" width="12" bestFit="1" customWidth="1"/>
    <col min="8" max="11" width="12.5703125" bestFit="1" customWidth="1"/>
    <col min="13" max="13" width="10.140625" bestFit="1" customWidth="1"/>
  </cols>
  <sheetData>
    <row r="1" spans="1:13">
      <c r="A1" s="24" t="s">
        <v>165</v>
      </c>
      <c r="B1" s="8">
        <v>12</v>
      </c>
      <c r="C1" s="8">
        <v>24</v>
      </c>
      <c r="D1" s="8">
        <v>36</v>
      </c>
      <c r="E1" s="8">
        <v>48</v>
      </c>
      <c r="F1" s="8">
        <v>60</v>
      </c>
      <c r="G1" s="8">
        <v>72</v>
      </c>
      <c r="H1" s="8">
        <v>84</v>
      </c>
      <c r="I1" s="8">
        <v>96</v>
      </c>
      <c r="J1" s="8">
        <v>108</v>
      </c>
      <c r="K1" s="24">
        <v>120</v>
      </c>
    </row>
    <row r="2" spans="1:13">
      <c r="A2" s="36" t="s">
        <v>246</v>
      </c>
      <c r="B2" s="66">
        <v>42000</v>
      </c>
      <c r="C2" s="66">
        <v>60000</v>
      </c>
      <c r="D2" s="66">
        <v>71000</v>
      </c>
      <c r="E2" s="66">
        <v>80000</v>
      </c>
      <c r="F2" s="66">
        <v>88000</v>
      </c>
      <c r="G2" s="66">
        <v>93000</v>
      </c>
      <c r="H2" s="66">
        <v>96000</v>
      </c>
      <c r="I2" s="66">
        <v>98000</v>
      </c>
      <c r="J2" s="66">
        <v>99000</v>
      </c>
      <c r="K2" s="60">
        <v>100000</v>
      </c>
      <c r="M2" s="57">
        <f>(SUM(K3:K11)-SUM(J3,I4,H5,G6,F7,E8,D9,C10,B11))</f>
        <v>193393.20705335913</v>
      </c>
    </row>
    <row r="3" spans="1:13">
      <c r="A3" s="39" t="s">
        <v>247</v>
      </c>
      <c r="B3" s="66">
        <v>40000</v>
      </c>
      <c r="C3" s="66">
        <v>59000</v>
      </c>
      <c r="D3" s="66">
        <v>68000</v>
      </c>
      <c r="E3" s="66">
        <v>78000</v>
      </c>
      <c r="F3" s="66">
        <v>87000</v>
      </c>
      <c r="G3" s="66">
        <v>92000</v>
      </c>
      <c r="H3" s="66">
        <v>95000</v>
      </c>
      <c r="I3" s="66">
        <v>98000</v>
      </c>
      <c r="J3" s="66">
        <v>99000</v>
      </c>
      <c r="K3" s="94">
        <v>100000</v>
      </c>
    </row>
    <row r="4" spans="1:13">
      <c r="A4" s="39" t="s">
        <v>248</v>
      </c>
      <c r="B4" s="66">
        <v>36000</v>
      </c>
      <c r="C4" s="66">
        <v>55000</v>
      </c>
      <c r="D4" s="66">
        <v>65000</v>
      </c>
      <c r="E4" s="66">
        <v>76000</v>
      </c>
      <c r="F4" s="66">
        <v>85000</v>
      </c>
      <c r="G4" s="66">
        <v>91000</v>
      </c>
      <c r="H4" s="66">
        <v>94000</v>
      </c>
      <c r="I4" s="66">
        <v>97000</v>
      </c>
      <c r="J4" s="95">
        <v>97989.795918367337</v>
      </c>
      <c r="K4" s="94">
        <v>98979.591836734689</v>
      </c>
    </row>
    <row r="5" spans="1:13">
      <c r="A5" s="39" t="s">
        <v>249</v>
      </c>
      <c r="B5" s="66">
        <v>38000</v>
      </c>
      <c r="C5" s="66">
        <v>57000</v>
      </c>
      <c r="D5" s="66">
        <v>66000</v>
      </c>
      <c r="E5" s="66">
        <v>77000</v>
      </c>
      <c r="F5" s="66">
        <v>86000</v>
      </c>
      <c r="G5" s="66">
        <v>92000</v>
      </c>
      <c r="H5" s="66">
        <v>95000</v>
      </c>
      <c r="I5" s="95">
        <v>97670.360520094575</v>
      </c>
      <c r="J5" s="95">
        <v>98666.996851932272</v>
      </c>
      <c r="K5" s="94">
        <v>99663.633183769969</v>
      </c>
    </row>
    <row r="6" spans="1:13">
      <c r="A6" s="39" t="s">
        <v>250</v>
      </c>
      <c r="B6" s="66">
        <v>39000</v>
      </c>
      <c r="C6" s="66">
        <v>58000</v>
      </c>
      <c r="D6" s="66">
        <v>67000</v>
      </c>
      <c r="E6" s="66">
        <v>77000</v>
      </c>
      <c r="F6" s="66">
        <v>87000</v>
      </c>
      <c r="G6" s="66">
        <v>92000</v>
      </c>
      <c r="H6" s="95">
        <v>95000.17724211271</v>
      </c>
      <c r="I6" s="95">
        <v>97670.542744316117</v>
      </c>
      <c r="J6" s="95">
        <v>98667.180935584634</v>
      </c>
      <c r="K6" s="94">
        <v>99663.819126853181</v>
      </c>
    </row>
    <row r="7" spans="1:13">
      <c r="A7" s="39" t="s">
        <v>251</v>
      </c>
      <c r="B7" s="66">
        <v>41000</v>
      </c>
      <c r="C7" s="66">
        <v>60000</v>
      </c>
      <c r="D7" s="66">
        <v>70000</v>
      </c>
      <c r="E7" s="66">
        <v>79000</v>
      </c>
      <c r="F7" s="66">
        <v>88000</v>
      </c>
      <c r="G7" s="95">
        <v>93493.248423667785</v>
      </c>
      <c r="H7" s="95">
        <v>96542.121425970807</v>
      </c>
      <c r="I7" s="95">
        <v>99255.829526834903</v>
      </c>
      <c r="J7" s="95">
        <v>100268.6441138434</v>
      </c>
      <c r="K7" s="94">
        <v>101281.45870085193</v>
      </c>
    </row>
    <row r="8" spans="1:13">
      <c r="A8" s="39" t="s">
        <v>252</v>
      </c>
      <c r="B8" s="66">
        <v>42000</v>
      </c>
      <c r="C8" s="66">
        <v>61000</v>
      </c>
      <c r="D8" s="66">
        <v>70000</v>
      </c>
      <c r="E8" s="66">
        <v>79000</v>
      </c>
      <c r="F8" s="95">
        <v>88144.025711130977</v>
      </c>
      <c r="G8" s="95">
        <v>93646.26469173783</v>
      </c>
      <c r="H8" s="95">
        <v>96700.127649748858</v>
      </c>
      <c r="I8" s="95">
        <v>99418.277156738288</v>
      </c>
      <c r="J8" s="95">
        <v>100432.74937262337</v>
      </c>
      <c r="K8" s="94">
        <v>101447.22158850846</v>
      </c>
    </row>
    <row r="9" spans="1:13">
      <c r="A9" s="39" t="s">
        <v>253</v>
      </c>
      <c r="B9" s="66">
        <v>43000</v>
      </c>
      <c r="C9" s="66">
        <v>62000</v>
      </c>
      <c r="D9" s="66">
        <v>72000</v>
      </c>
      <c r="E9" s="95">
        <v>82451.452230445066</v>
      </c>
      <c r="F9" s="95">
        <v>91994.973738233399</v>
      </c>
      <c r="G9" s="95">
        <v>97737.601516334631</v>
      </c>
      <c r="H9" s="95">
        <v>100924.88551381277</v>
      </c>
      <c r="I9" s="95">
        <v>103761.78898508803</v>
      </c>
      <c r="J9" s="95">
        <v>104820.58275024199</v>
      </c>
      <c r="K9" s="94">
        <v>105879.37651539595</v>
      </c>
    </row>
    <row r="10" spans="1:13">
      <c r="A10" s="39" t="s">
        <v>254</v>
      </c>
      <c r="B10" s="66">
        <v>43000</v>
      </c>
      <c r="C10" s="66">
        <v>63000</v>
      </c>
      <c r="D10" s="95">
        <v>73286.789715735358</v>
      </c>
      <c r="E10" s="95">
        <v>83925.031130133706</v>
      </c>
      <c r="F10" s="95">
        <v>93639.115211923709</v>
      </c>
      <c r="G10" s="95">
        <v>99484.375689554916</v>
      </c>
      <c r="H10" s="95">
        <v>102728.6230796592</v>
      </c>
      <c r="I10" s="95">
        <v>105616.22791498128</v>
      </c>
      <c r="J10" s="95">
        <v>106693.94452635864</v>
      </c>
      <c r="K10" s="94">
        <v>107771.66113773601</v>
      </c>
    </row>
    <row r="11" spans="1:13">
      <c r="A11" s="39" t="s">
        <v>255</v>
      </c>
      <c r="B11" s="66">
        <v>42000</v>
      </c>
      <c r="C11" s="95">
        <v>61792.738113129497</v>
      </c>
      <c r="D11" s="95">
        <v>71882.403238990897</v>
      </c>
      <c r="E11" s="95">
        <v>82316.785234295108</v>
      </c>
      <c r="F11" s="95">
        <v>91844.719419612084</v>
      </c>
      <c r="G11" s="95">
        <v>97577.967830680194</v>
      </c>
      <c r="H11" s="95">
        <v>100760.04607434556</v>
      </c>
      <c r="I11" s="95">
        <v>103592.31606423865</v>
      </c>
      <c r="J11" s="95">
        <v>104649.38051387372</v>
      </c>
      <c r="K11" s="96">
        <v>105706.44496350881</v>
      </c>
    </row>
    <row r="12" spans="1:13">
      <c r="A12" s="13" t="s">
        <v>1</v>
      </c>
      <c r="B12" s="97">
        <v>1.4712556693602261</v>
      </c>
      <c r="C12" s="97">
        <v>1.1632823764402438</v>
      </c>
      <c r="D12" s="97">
        <v>1.1451590587561815</v>
      </c>
      <c r="E12" s="181">
        <v>1.1157471609003922</v>
      </c>
      <c r="F12" s="97">
        <v>1.0624232775416793</v>
      </c>
      <c r="G12" s="97">
        <v>1.0326106221968774</v>
      </c>
      <c r="H12" s="97">
        <v>1.0281090581062586</v>
      </c>
      <c r="I12" s="97">
        <v>1.010204081632653</v>
      </c>
      <c r="J12" s="182">
        <v>1.0101010101010102</v>
      </c>
    </row>
    <row r="13" spans="1:13">
      <c r="A13" s="183" t="s">
        <v>198</v>
      </c>
      <c r="B13" s="184">
        <v>2.5168201181787815</v>
      </c>
      <c r="C13" s="184">
        <v>1.7106612879005714</v>
      </c>
      <c r="D13" s="184">
        <v>1.4705468960471659</v>
      </c>
      <c r="E13" s="185">
        <v>1.2841420454241574</v>
      </c>
      <c r="F13" s="184">
        <v>1.1509256670551355</v>
      </c>
      <c r="G13" s="184">
        <v>1.0833023818136216</v>
      </c>
      <c r="H13" s="184">
        <v>1.0490908756186312</v>
      </c>
      <c r="I13" s="184">
        <v>1.0204081632653061</v>
      </c>
      <c r="J13" s="186">
        <v>1.0101010101010102</v>
      </c>
    </row>
    <row r="19" spans="2:11">
      <c r="B19" t="s">
        <v>177</v>
      </c>
      <c r="C19" t="s">
        <v>182</v>
      </c>
      <c r="D19" t="s">
        <v>178</v>
      </c>
      <c r="E19" t="s">
        <v>179</v>
      </c>
      <c r="F19" t="s">
        <v>180</v>
      </c>
      <c r="G19" t="s">
        <v>181</v>
      </c>
      <c r="H19" t="s">
        <v>183</v>
      </c>
      <c r="I19" t="s">
        <v>184</v>
      </c>
      <c r="J19" t="s">
        <v>185</v>
      </c>
      <c r="K19" t="s">
        <v>186</v>
      </c>
    </row>
    <row r="20" spans="2:11">
      <c r="B20" t="s">
        <v>10</v>
      </c>
      <c r="C20">
        <v>2.5168201181787815</v>
      </c>
      <c r="D20">
        <v>1.7106612879005714</v>
      </c>
      <c r="E20">
        <v>1.4705468960471659</v>
      </c>
      <c r="F20">
        <v>1.2841420454241574</v>
      </c>
      <c r="G20">
        <v>1.1509256670551355</v>
      </c>
      <c r="H20">
        <v>1.0833023818136216</v>
      </c>
      <c r="I20">
        <v>1.0490908756186312</v>
      </c>
      <c r="J20">
        <v>1.0204081632653061</v>
      </c>
      <c r="K20">
        <v>1.0101010101010102</v>
      </c>
    </row>
    <row r="21" spans="2:11">
      <c r="B21" t="s">
        <v>197</v>
      </c>
      <c r="C21">
        <v>0.39732676673119527</v>
      </c>
      <c r="D21">
        <v>0.58456925814183902</v>
      </c>
      <c r="E21">
        <v>0.68001911580514895</v>
      </c>
      <c r="F21">
        <v>0.77873005059163514</v>
      </c>
      <c r="G21">
        <v>0.86886584305543568</v>
      </c>
      <c r="H21">
        <v>0.92310329672297031</v>
      </c>
      <c r="I21">
        <v>0.953206269581095</v>
      </c>
      <c r="J21">
        <v>0.98</v>
      </c>
      <c r="K21">
        <v>0.99</v>
      </c>
    </row>
    <row r="22" spans="2:11">
      <c r="B22" t="s">
        <v>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3757D-4890-4E94-852A-DF5C3CCA4B8F}">
  <dimension ref="A1:M11"/>
  <sheetViews>
    <sheetView zoomScale="160" zoomScaleNormal="160" workbookViewId="0">
      <selection activeCell="L2" sqref="L2"/>
    </sheetView>
  </sheetViews>
  <sheetFormatPr defaultRowHeight="15"/>
  <cols>
    <col min="1" max="1" width="13.42578125" bestFit="1" customWidth="1"/>
    <col min="8" max="11" width="10" bestFit="1" customWidth="1"/>
    <col min="12" max="12" width="16" bestFit="1" customWidth="1"/>
    <col min="13" max="13" width="13.140625" bestFit="1" customWidth="1"/>
  </cols>
  <sheetData>
    <row r="1" spans="1:13">
      <c r="A1" s="24" t="s">
        <v>165</v>
      </c>
      <c r="B1" s="8">
        <v>6</v>
      </c>
      <c r="C1" s="8">
        <v>18</v>
      </c>
      <c r="D1" s="8">
        <v>30</v>
      </c>
      <c r="E1" s="8">
        <v>42</v>
      </c>
      <c r="F1" s="8">
        <v>54</v>
      </c>
      <c r="G1" s="8">
        <v>66</v>
      </c>
      <c r="H1" s="8">
        <v>78</v>
      </c>
      <c r="I1" s="8">
        <v>90</v>
      </c>
      <c r="J1" s="8">
        <v>102</v>
      </c>
      <c r="K1" s="15">
        <v>114</v>
      </c>
      <c r="L1" t="s">
        <v>229</v>
      </c>
      <c r="M1" t="s">
        <v>228</v>
      </c>
    </row>
    <row r="2" spans="1:13">
      <c r="A2" s="36" t="s">
        <v>246</v>
      </c>
      <c r="B2" s="137">
        <v>42000</v>
      </c>
      <c r="C2" s="137">
        <v>60000</v>
      </c>
      <c r="D2" s="137">
        <v>71000</v>
      </c>
      <c r="E2" s="137">
        <v>80000</v>
      </c>
      <c r="F2" s="137">
        <v>88000</v>
      </c>
      <c r="G2" s="137">
        <v>93000</v>
      </c>
      <c r="H2" s="137">
        <v>96000</v>
      </c>
      <c r="I2" s="137">
        <v>98000</v>
      </c>
      <c r="J2" s="137">
        <v>99000</v>
      </c>
      <c r="K2" s="138">
        <v>100000</v>
      </c>
      <c r="L2" s="188">
        <v>0</v>
      </c>
      <c r="M2" s="172">
        <f>SUM(L3:L11)</f>
        <v>193393.20705335902</v>
      </c>
    </row>
    <row r="3" spans="1:13">
      <c r="A3" s="39" t="s">
        <v>247</v>
      </c>
      <c r="B3" s="137">
        <v>40000</v>
      </c>
      <c r="C3" s="137">
        <v>59000</v>
      </c>
      <c r="D3" s="137">
        <v>68000</v>
      </c>
      <c r="E3" s="137">
        <v>78000</v>
      </c>
      <c r="F3" s="137">
        <v>87000</v>
      </c>
      <c r="G3" s="137">
        <v>92000</v>
      </c>
      <c r="H3" s="137">
        <v>95000</v>
      </c>
      <c r="I3" s="137">
        <v>98000</v>
      </c>
      <c r="J3" s="142">
        <v>99000</v>
      </c>
      <c r="K3" s="140">
        <v>100000</v>
      </c>
      <c r="L3" s="57">
        <f>K3-J3</f>
        <v>1000</v>
      </c>
    </row>
    <row r="4" spans="1:13">
      <c r="A4" s="39" t="s">
        <v>248</v>
      </c>
      <c r="B4" s="137">
        <v>36000</v>
      </c>
      <c r="C4" s="137">
        <v>55000</v>
      </c>
      <c r="D4" s="137">
        <v>65000</v>
      </c>
      <c r="E4" s="137">
        <v>76000</v>
      </c>
      <c r="F4" s="137">
        <v>85000</v>
      </c>
      <c r="G4" s="137">
        <v>91000</v>
      </c>
      <c r="H4" s="137">
        <v>94000</v>
      </c>
      <c r="I4" s="142">
        <v>97000</v>
      </c>
      <c r="J4" s="137">
        <v>97989.795918367337</v>
      </c>
      <c r="K4" s="140">
        <v>98979.591836734689</v>
      </c>
      <c r="L4" s="57">
        <f>K4-I4</f>
        <v>1979.5918367346894</v>
      </c>
    </row>
    <row r="5" spans="1:13">
      <c r="A5" s="39" t="s">
        <v>249</v>
      </c>
      <c r="B5" s="137">
        <v>38000</v>
      </c>
      <c r="C5" s="137">
        <v>57000</v>
      </c>
      <c r="D5" s="137">
        <v>66000</v>
      </c>
      <c r="E5" s="137">
        <v>77000</v>
      </c>
      <c r="F5" s="137">
        <v>86000</v>
      </c>
      <c r="G5" s="137">
        <v>92000</v>
      </c>
      <c r="H5" s="142">
        <v>95000</v>
      </c>
      <c r="I5" s="137">
        <v>97670.360520094575</v>
      </c>
      <c r="J5" s="137">
        <v>98666.996851932272</v>
      </c>
      <c r="K5" s="140">
        <v>99663.633183769969</v>
      </c>
      <c r="L5" s="57">
        <f>K5-H5</f>
        <v>4663.633183769969</v>
      </c>
    </row>
    <row r="6" spans="1:13">
      <c r="A6" s="39" t="s">
        <v>250</v>
      </c>
      <c r="B6" s="137">
        <v>39000</v>
      </c>
      <c r="C6" s="137">
        <v>58000</v>
      </c>
      <c r="D6" s="137">
        <v>67000</v>
      </c>
      <c r="E6" s="137">
        <v>77000</v>
      </c>
      <c r="F6" s="137">
        <v>87000</v>
      </c>
      <c r="G6" s="142">
        <v>92000</v>
      </c>
      <c r="H6" s="137">
        <v>95000.17724211271</v>
      </c>
      <c r="I6" s="137">
        <v>97670.542744316117</v>
      </c>
      <c r="J6" s="137">
        <v>98667.180935584634</v>
      </c>
      <c r="K6" s="140">
        <v>99663.819126853181</v>
      </c>
      <c r="L6" s="57">
        <f>K6-G6</f>
        <v>7663.8191268531809</v>
      </c>
    </row>
    <row r="7" spans="1:13">
      <c r="A7" s="39" t="s">
        <v>251</v>
      </c>
      <c r="B7" s="137">
        <v>41000</v>
      </c>
      <c r="C7" s="137">
        <v>60000</v>
      </c>
      <c r="D7" s="137">
        <v>70000</v>
      </c>
      <c r="E7" s="137">
        <v>79000</v>
      </c>
      <c r="F7" s="142">
        <v>88000</v>
      </c>
      <c r="G7" s="137">
        <v>93493.248423667785</v>
      </c>
      <c r="H7" s="137">
        <v>96542.121425970807</v>
      </c>
      <c r="I7" s="137">
        <v>99255.829526834903</v>
      </c>
      <c r="J7" s="137">
        <v>100268.6441138434</v>
      </c>
      <c r="K7" s="140">
        <v>101281.45870085193</v>
      </c>
      <c r="L7" s="57">
        <f>K7-F7</f>
        <v>13281.45870085193</v>
      </c>
    </row>
    <row r="8" spans="1:13">
      <c r="A8" s="39" t="s">
        <v>252</v>
      </c>
      <c r="B8" s="137">
        <v>42000</v>
      </c>
      <c r="C8" s="137">
        <v>61000</v>
      </c>
      <c r="D8" s="137">
        <v>70000</v>
      </c>
      <c r="E8" s="142">
        <v>79000</v>
      </c>
      <c r="F8" s="137">
        <v>88144.025711130977</v>
      </c>
      <c r="G8" s="137">
        <v>93646.26469173783</v>
      </c>
      <c r="H8" s="137">
        <v>96700.127649748858</v>
      </c>
      <c r="I8" s="137">
        <v>99418.277156738288</v>
      </c>
      <c r="J8" s="137">
        <v>100432.74937262337</v>
      </c>
      <c r="K8" s="140">
        <v>101447.22158850846</v>
      </c>
      <c r="L8" s="57">
        <f>K8-E8</f>
        <v>22447.221588508459</v>
      </c>
    </row>
    <row r="9" spans="1:13">
      <c r="A9" s="39" t="s">
        <v>253</v>
      </c>
      <c r="B9" s="137">
        <v>43000</v>
      </c>
      <c r="C9" s="137">
        <v>62000</v>
      </c>
      <c r="D9" s="142">
        <v>72000</v>
      </c>
      <c r="E9" s="137">
        <v>82451.452230445066</v>
      </c>
      <c r="F9" s="137">
        <v>91994.973738233399</v>
      </c>
      <c r="G9" s="137">
        <v>97737.601516334631</v>
      </c>
      <c r="H9" s="137">
        <v>100924.88551381277</v>
      </c>
      <c r="I9" s="137">
        <v>103761.78898508803</v>
      </c>
      <c r="J9" s="137">
        <v>104820.58275024199</v>
      </c>
      <c r="K9" s="140">
        <v>105879.37651539595</v>
      </c>
      <c r="L9" s="57">
        <f>K9-D9</f>
        <v>33879.376515395954</v>
      </c>
    </row>
    <row r="10" spans="1:13">
      <c r="A10" s="39" t="s">
        <v>254</v>
      </c>
      <c r="B10" s="137">
        <v>43000</v>
      </c>
      <c r="C10" s="142">
        <v>63000</v>
      </c>
      <c r="D10" s="137">
        <v>73286.789715735358</v>
      </c>
      <c r="E10" s="137">
        <v>83925.031130133706</v>
      </c>
      <c r="F10" s="137">
        <v>93639.115211923709</v>
      </c>
      <c r="G10" s="137">
        <v>99484.375689554916</v>
      </c>
      <c r="H10" s="137">
        <v>102728.6230796592</v>
      </c>
      <c r="I10" s="137">
        <v>105616.22791498128</v>
      </c>
      <c r="J10" s="137">
        <v>106693.94452635864</v>
      </c>
      <c r="K10" s="140">
        <v>107771.66113773601</v>
      </c>
      <c r="L10" s="57">
        <f>K10-C10</f>
        <v>44771.66113773601</v>
      </c>
    </row>
    <row r="11" spans="1:13">
      <c r="A11" s="42" t="s">
        <v>255</v>
      </c>
      <c r="B11" s="143">
        <v>42000</v>
      </c>
      <c r="C11" s="139">
        <v>61792.738113129497</v>
      </c>
      <c r="D11" s="139">
        <v>71882.403238990897</v>
      </c>
      <c r="E11" s="139">
        <v>82316.785234295108</v>
      </c>
      <c r="F11" s="139">
        <v>91844.719419612084</v>
      </c>
      <c r="G11" s="139">
        <v>97577.967830680194</v>
      </c>
      <c r="H11" s="139">
        <v>100760.04607434556</v>
      </c>
      <c r="I11" s="139">
        <v>103592.31606423865</v>
      </c>
      <c r="J11" s="139">
        <v>104649.38051387372</v>
      </c>
      <c r="K11" s="141">
        <v>105706.44496350881</v>
      </c>
      <c r="L11" s="57">
        <f>K11-B11</f>
        <v>63706.444963508809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668CB-2EE2-430D-8BFF-5EF1BB6540A2}">
  <dimension ref="A1:L12"/>
  <sheetViews>
    <sheetView zoomScale="160" zoomScaleNormal="160" workbookViewId="0">
      <selection activeCell="P18" sqref="P18"/>
    </sheetView>
  </sheetViews>
  <sheetFormatPr defaultRowHeight="15"/>
  <cols>
    <col min="1" max="1" width="13.42578125" bestFit="1" customWidth="1"/>
    <col min="8" max="10" width="10" bestFit="1" customWidth="1"/>
    <col min="11" max="11" width="12" customWidth="1"/>
    <col min="12" max="12" width="16" bestFit="1" customWidth="1"/>
    <col min="13" max="13" width="13.140625" bestFit="1" customWidth="1"/>
  </cols>
  <sheetData>
    <row r="1" spans="1:12">
      <c r="A1" s="24" t="s">
        <v>165</v>
      </c>
      <c r="B1" s="8">
        <v>6</v>
      </c>
      <c r="C1" s="8">
        <v>18</v>
      </c>
      <c r="D1" s="8">
        <v>30</v>
      </c>
      <c r="E1" s="8">
        <v>42</v>
      </c>
      <c r="F1" s="8">
        <v>54</v>
      </c>
      <c r="G1" s="8">
        <v>66</v>
      </c>
      <c r="H1" s="8">
        <v>78</v>
      </c>
      <c r="I1" s="8">
        <v>90</v>
      </c>
      <c r="J1" s="8">
        <v>102</v>
      </c>
      <c r="K1" s="15">
        <v>114</v>
      </c>
      <c r="L1" s="173" t="s">
        <v>227</v>
      </c>
    </row>
    <row r="2" spans="1:12">
      <c r="A2" s="36" t="s">
        <v>246</v>
      </c>
      <c r="B2" s="137">
        <v>42000</v>
      </c>
      <c r="C2" s="137">
        <v>60000</v>
      </c>
      <c r="D2" s="137">
        <v>71000</v>
      </c>
      <c r="E2" s="137">
        <v>80000</v>
      </c>
      <c r="F2" s="137">
        <v>88000</v>
      </c>
      <c r="G2" s="137">
        <v>93000</v>
      </c>
      <c r="H2" s="137">
        <v>96000</v>
      </c>
      <c r="I2" s="137">
        <v>98000</v>
      </c>
      <c r="J2" s="137">
        <v>99000</v>
      </c>
      <c r="K2" s="187">
        <v>100000</v>
      </c>
      <c r="L2" s="189">
        <v>0</v>
      </c>
    </row>
    <row r="3" spans="1:12">
      <c r="A3" s="39" t="s">
        <v>247</v>
      </c>
      <c r="B3" s="137">
        <v>40000</v>
      </c>
      <c r="C3" s="137">
        <v>59000</v>
      </c>
      <c r="D3" s="137">
        <v>68000</v>
      </c>
      <c r="E3" s="137">
        <v>78000</v>
      </c>
      <c r="F3" s="137">
        <v>87000</v>
      </c>
      <c r="G3" s="137">
        <v>92000</v>
      </c>
      <c r="H3" s="137">
        <v>95000</v>
      </c>
      <c r="I3" s="137">
        <v>98000</v>
      </c>
      <c r="J3" s="142">
        <v>99000</v>
      </c>
      <c r="K3" s="140">
        <v>100000</v>
      </c>
      <c r="L3" s="57">
        <f>K3-J3</f>
        <v>1000</v>
      </c>
    </row>
    <row r="4" spans="1:12">
      <c r="A4" s="39" t="s">
        <v>248</v>
      </c>
      <c r="B4" s="137">
        <v>36000</v>
      </c>
      <c r="C4" s="137">
        <v>55000</v>
      </c>
      <c r="D4" s="137">
        <v>65000</v>
      </c>
      <c r="E4" s="137">
        <v>76000</v>
      </c>
      <c r="F4" s="137">
        <v>85000</v>
      </c>
      <c r="G4" s="137">
        <v>91000</v>
      </c>
      <c r="H4" s="137">
        <v>94000</v>
      </c>
      <c r="I4" s="142">
        <v>97000</v>
      </c>
      <c r="J4" s="137"/>
      <c r="K4" s="140">
        <v>98979.591836734689</v>
      </c>
      <c r="L4" s="57">
        <f>K4-I4</f>
        <v>1979.5918367346894</v>
      </c>
    </row>
    <row r="5" spans="1:12">
      <c r="A5" s="39" t="s">
        <v>249</v>
      </c>
      <c r="B5" s="137">
        <v>38000</v>
      </c>
      <c r="C5" s="137">
        <v>57000</v>
      </c>
      <c r="D5" s="137">
        <v>66000</v>
      </c>
      <c r="E5" s="137">
        <v>77000</v>
      </c>
      <c r="F5" s="137">
        <v>86000</v>
      </c>
      <c r="G5" s="137">
        <v>92000</v>
      </c>
      <c r="H5" s="142">
        <v>95000</v>
      </c>
      <c r="I5" s="137"/>
      <c r="J5" s="137"/>
      <c r="K5" s="140">
        <v>99663.633183769969</v>
      </c>
      <c r="L5" s="57">
        <f>K5-H5</f>
        <v>4663.633183769969</v>
      </c>
    </row>
    <row r="6" spans="1:12">
      <c r="A6" s="39" t="s">
        <v>250</v>
      </c>
      <c r="B6" s="137">
        <v>39000</v>
      </c>
      <c r="C6" s="137">
        <v>58000</v>
      </c>
      <c r="D6" s="137">
        <v>67000</v>
      </c>
      <c r="E6" s="137">
        <v>77000</v>
      </c>
      <c r="F6" s="137">
        <v>87000</v>
      </c>
      <c r="G6" s="142">
        <v>92000</v>
      </c>
      <c r="H6" s="137"/>
      <c r="I6" s="137"/>
      <c r="J6" s="137"/>
      <c r="K6" s="140">
        <v>99663.819126853181</v>
      </c>
      <c r="L6" s="57">
        <f>K6-G6</f>
        <v>7663.8191268531809</v>
      </c>
    </row>
    <row r="7" spans="1:12">
      <c r="A7" s="39" t="s">
        <v>251</v>
      </c>
      <c r="B7" s="137">
        <v>41000</v>
      </c>
      <c r="C7" s="137">
        <v>60000</v>
      </c>
      <c r="D7" s="137">
        <v>70000</v>
      </c>
      <c r="E7" s="137">
        <v>79000</v>
      </c>
      <c r="F7" s="142">
        <v>88000</v>
      </c>
      <c r="G7" s="137"/>
      <c r="H7" s="137"/>
      <c r="I7" s="137"/>
      <c r="J7" s="137"/>
      <c r="K7" s="140">
        <v>101281.45870085193</v>
      </c>
      <c r="L7" s="57">
        <f>K7-F7</f>
        <v>13281.45870085193</v>
      </c>
    </row>
    <row r="8" spans="1:12">
      <c r="A8" s="39" t="s">
        <v>252</v>
      </c>
      <c r="B8" s="137">
        <v>42000</v>
      </c>
      <c r="C8" s="137">
        <v>61000</v>
      </c>
      <c r="D8" s="137">
        <v>70000</v>
      </c>
      <c r="E8" s="142">
        <v>79000</v>
      </c>
      <c r="F8" s="137"/>
      <c r="G8" s="137"/>
      <c r="H8" s="137"/>
      <c r="I8" s="137"/>
      <c r="J8" s="137"/>
      <c r="K8" s="140">
        <v>101447.22158850846</v>
      </c>
      <c r="L8" s="57">
        <f>K8-E8</f>
        <v>22447.221588508459</v>
      </c>
    </row>
    <row r="9" spans="1:12">
      <c r="A9" s="39" t="s">
        <v>253</v>
      </c>
      <c r="B9" s="137">
        <v>43000</v>
      </c>
      <c r="C9" s="137">
        <v>62000</v>
      </c>
      <c r="D9" s="142">
        <v>72000</v>
      </c>
      <c r="E9" s="137"/>
      <c r="F9" s="137"/>
      <c r="G9" s="137"/>
      <c r="H9" s="137"/>
      <c r="I9" s="137"/>
      <c r="J9" s="137"/>
      <c r="K9" s="140">
        <v>105879.37651539595</v>
      </c>
      <c r="L9" s="57">
        <f>K9-D9</f>
        <v>33879.376515395954</v>
      </c>
    </row>
    <row r="10" spans="1:12">
      <c r="A10" s="39" t="s">
        <v>254</v>
      </c>
      <c r="B10" s="137">
        <v>43000</v>
      </c>
      <c r="C10" s="142">
        <v>63000</v>
      </c>
      <c r="D10" s="137"/>
      <c r="E10" s="137"/>
      <c r="F10" s="137"/>
      <c r="G10" s="137"/>
      <c r="H10" s="137"/>
      <c r="I10" s="137"/>
      <c r="J10" s="137"/>
      <c r="K10" s="140">
        <v>107771.66113773601</v>
      </c>
      <c r="L10" s="57">
        <f>K10-C10</f>
        <v>44771.66113773601</v>
      </c>
    </row>
    <row r="11" spans="1:12" ht="15.75" thickBot="1">
      <c r="A11" s="42" t="s">
        <v>255</v>
      </c>
      <c r="B11" s="143">
        <v>42000</v>
      </c>
      <c r="C11" s="139"/>
      <c r="D11" s="139"/>
      <c r="E11" s="139"/>
      <c r="F11" s="139"/>
      <c r="G11" s="139"/>
      <c r="H11" s="139"/>
      <c r="I11" s="139"/>
      <c r="J11" s="139"/>
      <c r="K11" s="141">
        <v>105706.44496350881</v>
      </c>
      <c r="L11" s="190">
        <f>K11-B11</f>
        <v>63706.444963508809</v>
      </c>
    </row>
    <row r="12" spans="1:12" ht="15.75" thickTop="1">
      <c r="K12" s="173" t="s">
        <v>228</v>
      </c>
      <c r="L12" s="172">
        <f>SUM(L3:L11)</f>
        <v>193393.20705335902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470B5-DEA6-494B-86B2-3CEB85EEB236}">
  <dimension ref="G8:K17"/>
  <sheetViews>
    <sheetView topLeftCell="D3" zoomScale="175" zoomScaleNormal="175" workbookViewId="0">
      <selection activeCell="D22" sqref="D22"/>
    </sheetView>
  </sheetViews>
  <sheetFormatPr defaultRowHeight="15"/>
  <cols>
    <col min="9" max="9" width="26.28515625" customWidth="1"/>
    <col min="10" max="10" width="3.28515625" customWidth="1"/>
  </cols>
  <sheetData>
    <row r="8" spans="7:11" ht="18">
      <c r="G8" s="18" t="s">
        <v>177</v>
      </c>
      <c r="H8" s="18" t="s">
        <v>213</v>
      </c>
      <c r="I8" s="17" t="s">
        <v>188</v>
      </c>
      <c r="J8" s="17"/>
      <c r="K8" s="16"/>
    </row>
    <row r="9" spans="7:11">
      <c r="G9" s="20" t="s">
        <v>189</v>
      </c>
      <c r="H9" s="103">
        <v>2.5168201181787815</v>
      </c>
      <c r="I9" s="105">
        <v>0.39732676673119527</v>
      </c>
      <c r="J9" s="99" t="s">
        <v>199</v>
      </c>
      <c r="K9" s="100" t="s">
        <v>214</v>
      </c>
    </row>
    <row r="10" spans="7:11">
      <c r="G10" s="20" t="s">
        <v>190</v>
      </c>
      <c r="H10" s="103">
        <v>1.7106612879005714</v>
      </c>
      <c r="I10" s="105">
        <v>0.58456925814183902</v>
      </c>
      <c r="J10" s="99" t="s">
        <v>199</v>
      </c>
      <c r="K10" s="100" t="s">
        <v>215</v>
      </c>
    </row>
    <row r="11" spans="7:11">
      <c r="G11" s="20" t="s">
        <v>191</v>
      </c>
      <c r="H11" s="103">
        <v>1.4705468960471659</v>
      </c>
      <c r="I11" s="105">
        <v>0.68001911580514895</v>
      </c>
      <c r="J11" s="99" t="s">
        <v>199</v>
      </c>
      <c r="K11" s="100" t="s">
        <v>216</v>
      </c>
    </row>
    <row r="12" spans="7:11">
      <c r="G12" s="20" t="s">
        <v>192</v>
      </c>
      <c r="H12" s="103">
        <v>1.2841420454241574</v>
      </c>
      <c r="I12" s="105">
        <v>0.77873005059163514</v>
      </c>
      <c r="J12" s="99" t="s">
        <v>199</v>
      </c>
      <c r="K12" s="100" t="s">
        <v>217</v>
      </c>
    </row>
    <row r="13" spans="7:11">
      <c r="G13" s="155" t="s">
        <v>193</v>
      </c>
      <c r="H13" s="156">
        <v>1.1509256670551355</v>
      </c>
      <c r="I13" s="157">
        <v>0.86886584305543568</v>
      </c>
      <c r="J13" s="158" t="s">
        <v>199</v>
      </c>
      <c r="K13" s="159" t="s">
        <v>218</v>
      </c>
    </row>
    <row r="14" spans="7:11">
      <c r="G14" s="20" t="s">
        <v>194</v>
      </c>
      <c r="H14" s="103">
        <v>1.0833023818136216</v>
      </c>
      <c r="I14" s="105">
        <v>0.92310329672297031</v>
      </c>
      <c r="J14" s="99" t="s">
        <v>199</v>
      </c>
      <c r="K14" s="100" t="s">
        <v>219</v>
      </c>
    </row>
    <row r="15" spans="7:11">
      <c r="G15" s="20" t="s">
        <v>195</v>
      </c>
      <c r="H15" s="103">
        <v>1.0490908756186312</v>
      </c>
      <c r="I15" s="105">
        <v>0.953206269581095</v>
      </c>
      <c r="J15" s="99" t="s">
        <v>199</v>
      </c>
      <c r="K15" s="100" t="s">
        <v>220</v>
      </c>
    </row>
    <row r="16" spans="7:11">
      <c r="G16" s="20" t="s">
        <v>196</v>
      </c>
      <c r="H16" s="103">
        <v>1.0204081632653061</v>
      </c>
      <c r="I16" s="105">
        <v>0.98</v>
      </c>
      <c r="J16" s="99" t="s">
        <v>199</v>
      </c>
      <c r="K16" s="100" t="s">
        <v>221</v>
      </c>
    </row>
    <row r="17" spans="7:11">
      <c r="G17" s="21" t="s">
        <v>186</v>
      </c>
      <c r="H17" s="104">
        <v>1.0101010101010102</v>
      </c>
      <c r="I17" s="106">
        <v>0.99</v>
      </c>
      <c r="J17" s="101" t="s">
        <v>199</v>
      </c>
      <c r="K17" s="102" t="s">
        <v>222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3E3B9-957B-4372-86D9-B3CC7C3FD98C}">
  <dimension ref="A1:M5"/>
  <sheetViews>
    <sheetView zoomScale="145" zoomScaleNormal="145" workbookViewId="0">
      <selection activeCell="A26" sqref="A26"/>
    </sheetView>
  </sheetViews>
  <sheetFormatPr defaultRowHeight="15"/>
  <cols>
    <col min="1" max="1" width="30" customWidth="1"/>
  </cols>
  <sheetData>
    <row r="1" spans="1:13">
      <c r="A1" t="s">
        <v>200</v>
      </c>
      <c r="B1" s="25">
        <v>0</v>
      </c>
      <c r="C1" s="17">
        <v>6</v>
      </c>
      <c r="D1" s="17">
        <v>18</v>
      </c>
      <c r="E1" s="17">
        <v>30</v>
      </c>
      <c r="F1" s="17">
        <v>42</v>
      </c>
      <c r="G1" s="17">
        <v>54</v>
      </c>
      <c r="H1" s="17">
        <v>66</v>
      </c>
      <c r="I1" s="17">
        <v>78</v>
      </c>
      <c r="J1" s="17">
        <v>90</v>
      </c>
      <c r="K1" s="17">
        <v>102</v>
      </c>
      <c r="L1" s="16">
        <v>114</v>
      </c>
    </row>
    <row r="2" spans="1:13">
      <c r="A2" t="s">
        <v>201</v>
      </c>
      <c r="B2" s="145">
        <v>0</v>
      </c>
      <c r="C2" s="146">
        <v>0.35703235333045513</v>
      </c>
      <c r="D2" s="146">
        <v>0.52376921896526063</v>
      </c>
      <c r="E2" s="146">
        <v>0.63387235610361947</v>
      </c>
      <c r="F2" s="146">
        <v>0.71237033059256805</v>
      </c>
      <c r="G2" s="146">
        <v>0.77064752923828372</v>
      </c>
      <c r="H2" s="146">
        <v>0.81505672513698812</v>
      </c>
      <c r="I2" s="146">
        <v>0.84953522234363765</v>
      </c>
      <c r="J2" s="146">
        <v>0.87668692304619644</v>
      </c>
      <c r="K2" s="146">
        <v>0.89831212918454806</v>
      </c>
      <c r="L2" s="149">
        <v>0.91569663214007124</v>
      </c>
    </row>
    <row r="3" spans="1:13">
      <c r="A3" t="s">
        <v>230</v>
      </c>
      <c r="B3" s="147" t="s">
        <v>231</v>
      </c>
      <c r="C3" s="144" t="s">
        <v>232</v>
      </c>
      <c r="D3" s="144" t="s">
        <v>233</v>
      </c>
      <c r="E3" s="144" t="s">
        <v>234</v>
      </c>
      <c r="F3" s="144" t="s">
        <v>235</v>
      </c>
      <c r="G3" s="144" t="s">
        <v>236</v>
      </c>
      <c r="H3" s="144" t="s">
        <v>237</v>
      </c>
      <c r="I3" s="144" t="s">
        <v>238</v>
      </c>
      <c r="J3" s="144" t="s">
        <v>239</v>
      </c>
      <c r="K3" s="144" t="s">
        <v>240</v>
      </c>
      <c r="L3" s="148" t="s">
        <v>241</v>
      </c>
      <c r="M3" s="107"/>
    </row>
    <row r="4" spans="1:13">
      <c r="A4" t="s">
        <v>202</v>
      </c>
      <c r="B4" s="150">
        <v>0</v>
      </c>
      <c r="C4" s="150">
        <v>0.38990244235805055</v>
      </c>
      <c r="D4" s="150">
        <v>0.57198989335710615</v>
      </c>
      <c r="E4" s="150">
        <v>0.69222964664858355</v>
      </c>
      <c r="F4" s="150">
        <v>0.77795451636388568</v>
      </c>
      <c r="G4" s="150">
        <v>0.84159698986465226</v>
      </c>
      <c r="H4" s="150">
        <v>0.89009470661928947</v>
      </c>
      <c r="I4" s="150">
        <v>0.9277474575375384</v>
      </c>
      <c r="J4" s="150">
        <v>0.95739887237249599</v>
      </c>
      <c r="K4" s="150">
        <v>0.98101499738522147</v>
      </c>
      <c r="L4" s="150">
        <v>1</v>
      </c>
    </row>
    <row r="5" spans="1:13">
      <c r="A5" s="5" t="s">
        <v>203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A5CBB-14AD-4CAC-B36A-0AFA2463740E}">
  <dimension ref="A1:N15"/>
  <sheetViews>
    <sheetView zoomScale="145" zoomScaleNormal="145" workbookViewId="0">
      <selection activeCell="R25" sqref="R25"/>
    </sheetView>
  </sheetViews>
  <sheetFormatPr defaultRowHeight="15"/>
  <cols>
    <col min="1" max="1" width="20.5703125" customWidth="1"/>
    <col min="2" max="2" width="13" customWidth="1"/>
  </cols>
  <sheetData>
    <row r="1" spans="1:14">
      <c r="B1" s="18" t="s">
        <v>165</v>
      </c>
      <c r="C1" s="17">
        <v>6</v>
      </c>
      <c r="D1" s="17">
        <v>18</v>
      </c>
      <c r="E1" s="17">
        <v>30</v>
      </c>
      <c r="F1" s="17">
        <v>42</v>
      </c>
      <c r="G1" s="17">
        <v>54</v>
      </c>
      <c r="H1" s="17">
        <v>66</v>
      </c>
      <c r="I1" s="17">
        <v>78</v>
      </c>
      <c r="J1" s="17">
        <v>90</v>
      </c>
      <c r="K1" s="17">
        <v>102</v>
      </c>
      <c r="L1" s="16">
        <v>114</v>
      </c>
      <c r="N1" s="19" t="s">
        <v>18</v>
      </c>
    </row>
    <row r="2" spans="1:14">
      <c r="A2" t="s">
        <v>176</v>
      </c>
      <c r="B2" s="20">
        <v>2000</v>
      </c>
      <c r="C2" s="107">
        <v>38.990245289220653</v>
      </c>
      <c r="D2" s="107">
        <v>18.208745591858776</v>
      </c>
      <c r="E2" s="107">
        <v>12.023975654004467</v>
      </c>
      <c r="F2" s="107">
        <v>8.5724872031366477</v>
      </c>
      <c r="G2" s="107">
        <v>6.3642475220221666</v>
      </c>
      <c r="H2" s="107">
        <v>4.8497718064920132</v>
      </c>
      <c r="I2" s="107">
        <v>3.7652751935528919</v>
      </c>
      <c r="J2" s="107">
        <v>2.9651415636062159</v>
      </c>
      <c r="K2" s="107">
        <v>2.3616125650772117</v>
      </c>
      <c r="L2" s="84">
        <v>1.8985003127704223</v>
      </c>
      <c r="N2" s="103">
        <v>100.00000270174145</v>
      </c>
    </row>
    <row r="3" spans="1:14">
      <c r="B3" s="20">
        <v>2001</v>
      </c>
      <c r="C3" s="107">
        <v>39.347351491034011</v>
      </c>
      <c r="D3" s="107">
        <v>18.375516945305279</v>
      </c>
      <c r="E3" s="107">
        <v>12.134101564848248</v>
      </c>
      <c r="F3" s="107">
        <v>8.6510014141270588</v>
      </c>
      <c r="G3" s="107">
        <v>6.4225367747091138</v>
      </c>
      <c r="H3" s="107">
        <v>4.8941901879777197</v>
      </c>
      <c r="I3" s="107">
        <v>3.7997608222833033</v>
      </c>
      <c r="J3" s="107">
        <v>2.9922988803597752</v>
      </c>
      <c r="K3" s="107">
        <v>2.3832422441678065</v>
      </c>
      <c r="L3" s="86">
        <v>1.9158884115322001</v>
      </c>
      <c r="N3" s="103">
        <v>100.91588873634448</v>
      </c>
    </row>
    <row r="4" spans="1:14">
      <c r="B4" s="20">
        <v>2002</v>
      </c>
      <c r="C4" s="107">
        <v>39.503427769912612</v>
      </c>
      <c r="D4" s="107">
        <v>18.448405772598967</v>
      </c>
      <c r="E4" s="107">
        <v>12.182233023460096</v>
      </c>
      <c r="F4" s="107">
        <v>8.6853167125683832</v>
      </c>
      <c r="G4" s="107">
        <v>6.4480125844592564</v>
      </c>
      <c r="H4" s="107">
        <v>4.9136036164225239</v>
      </c>
      <c r="I4" s="107">
        <v>3.8148330573206684</v>
      </c>
      <c r="J4" s="107">
        <v>3.0041682148090225</v>
      </c>
      <c r="K4" s="107">
        <v>2.3926956779324851</v>
      </c>
      <c r="L4" s="86">
        <v>1.9234880268223609</v>
      </c>
      <c r="N4" s="103">
        <v>101.31618445630636</v>
      </c>
    </row>
    <row r="5" spans="1:14">
      <c r="B5" s="20">
        <v>2003</v>
      </c>
      <c r="C5" s="107">
        <v>39.925445791542153</v>
      </c>
      <c r="D5" s="107">
        <v>18.645491447080637</v>
      </c>
      <c r="E5" s="107">
        <v>12.312376714016144</v>
      </c>
      <c r="F5" s="107">
        <v>8.7781025892171893</v>
      </c>
      <c r="G5" s="107">
        <v>6.5168971767074373</v>
      </c>
      <c r="H5" s="107">
        <v>4.9660960049147889</v>
      </c>
      <c r="I5" s="107">
        <v>3.8555871991909498</v>
      </c>
      <c r="J5" s="107">
        <v>3.0362619645980389</v>
      </c>
      <c r="K5" s="107">
        <v>2.4182570216782473</v>
      </c>
      <c r="L5" s="86">
        <v>1.9440367907533214</v>
      </c>
      <c r="N5" s="103">
        <v>102.39855269969888</v>
      </c>
    </row>
    <row r="6" spans="1:14">
      <c r="B6" s="20">
        <v>2004</v>
      </c>
      <c r="C6" s="107">
        <v>40.300233138500232</v>
      </c>
      <c r="D6" s="107">
        <v>18.820520031824987</v>
      </c>
      <c r="E6" s="107">
        <v>12.427955210684352</v>
      </c>
      <c r="F6" s="107">
        <v>8.8605042184417133</v>
      </c>
      <c r="G6" s="107">
        <v>6.578072463666266</v>
      </c>
      <c r="H6" s="107">
        <v>5.0127136421013327</v>
      </c>
      <c r="I6" s="107">
        <v>3.8917802903062007</v>
      </c>
      <c r="J6" s="107">
        <v>3.0647639022425892</v>
      </c>
      <c r="K6" s="107">
        <v>2.4409576356713796</v>
      </c>
      <c r="L6" s="86">
        <v>1.962285814070418</v>
      </c>
      <c r="N6" s="103">
        <v>103.35978634750946</v>
      </c>
    </row>
    <row r="7" spans="1:14">
      <c r="B7" s="20">
        <v>2005</v>
      </c>
      <c r="C7" s="107">
        <v>40.769411763796846</v>
      </c>
      <c r="D7" s="107">
        <v>19.039630072343915</v>
      </c>
      <c r="E7" s="107">
        <v>12.572642486337514</v>
      </c>
      <c r="F7" s="107">
        <v>8.9636589365386641</v>
      </c>
      <c r="G7" s="107">
        <v>6.6546549237477697</v>
      </c>
      <c r="H7" s="107">
        <v>5.07107206617109</v>
      </c>
      <c r="I7" s="107">
        <v>3.937088716197612</v>
      </c>
      <c r="J7" s="107">
        <v>3.1004441353958607</v>
      </c>
      <c r="K7" s="107">
        <v>2.4693754650168254</v>
      </c>
      <c r="L7" s="86">
        <v>1.9851309067407399</v>
      </c>
      <c r="N7" s="103">
        <v>104.56310947228683</v>
      </c>
    </row>
    <row r="8" spans="1:14">
      <c r="B8" s="20">
        <v>2006</v>
      </c>
      <c r="C8" s="107">
        <v>39.593948969271246</v>
      </c>
      <c r="D8" s="107">
        <v>18.490679871609238</v>
      </c>
      <c r="E8" s="107">
        <v>12.210148331229663</v>
      </c>
      <c r="F8" s="107">
        <v>8.7052189167571061</v>
      </c>
      <c r="G8" s="107">
        <v>6.4627880575150245</v>
      </c>
      <c r="H8" s="107">
        <v>4.9248630264950402</v>
      </c>
      <c r="I8" s="107">
        <v>3.8235746598396436</v>
      </c>
      <c r="J8" s="107">
        <v>3.0110521974209496</v>
      </c>
      <c r="K8" s="107">
        <v>2.3981784852404533</v>
      </c>
      <c r="L8" s="86">
        <v>1.9278956555515454</v>
      </c>
      <c r="N8" s="103">
        <v>101.54834817092993</v>
      </c>
    </row>
    <row r="9" spans="1:14">
      <c r="B9" s="20">
        <v>2007</v>
      </c>
      <c r="C9" s="107">
        <v>40.554424399194993</v>
      </c>
      <c r="D9" s="107">
        <v>18.939229313167836</v>
      </c>
      <c r="E9" s="107">
        <v>12.506343779604165</v>
      </c>
      <c r="F9" s="107">
        <v>8.9163913079763208</v>
      </c>
      <c r="G9" s="107">
        <v>6.6195632542216041</v>
      </c>
      <c r="H9" s="107">
        <v>5.0443310274352715</v>
      </c>
      <c r="I9" s="107">
        <v>3.9163274569426858</v>
      </c>
      <c r="J9" s="107">
        <v>3.0840947134903929</v>
      </c>
      <c r="K9" s="107">
        <v>2.4563538269683733</v>
      </c>
      <c r="L9" s="86">
        <v>1.9746628120696053</v>
      </c>
      <c r="N9" s="103">
        <v>104.01172189107125</v>
      </c>
    </row>
    <row r="10" spans="1:14">
      <c r="B10" s="20">
        <v>2008</v>
      </c>
      <c r="C10" s="107">
        <v>42.94455891501967</v>
      </c>
      <c r="D10" s="107">
        <v>20.055440586170626</v>
      </c>
      <c r="E10" s="107">
        <v>13.243423503388744</v>
      </c>
      <c r="F10" s="107">
        <v>9.4418919145689877</v>
      </c>
      <c r="G10" s="107">
        <v>7.0096969288574558</v>
      </c>
      <c r="H10" s="107">
        <v>5.341626079122844</v>
      </c>
      <c r="I10" s="107">
        <v>4.1471419628513528</v>
      </c>
      <c r="J10" s="107">
        <v>3.265860361357217</v>
      </c>
      <c r="K10" s="107">
        <v>2.6011226444745517</v>
      </c>
      <c r="L10" s="86">
        <v>2.0910424627283057</v>
      </c>
      <c r="N10" s="103">
        <v>110.14180535853976</v>
      </c>
    </row>
    <row r="11" spans="1:14">
      <c r="B11" s="21">
        <v>2009</v>
      </c>
      <c r="C11" s="108">
        <v>41.999999690248636</v>
      </c>
      <c r="D11" s="87">
        <v>19.614324135306592</v>
      </c>
      <c r="E11" s="87">
        <v>12.952136361228801</v>
      </c>
      <c r="F11" s="87">
        <v>9.2342188977184634</v>
      </c>
      <c r="G11" s="87">
        <v>6.8555196811622698</v>
      </c>
      <c r="H11" s="87">
        <v>5.2241378031739112</v>
      </c>
      <c r="I11" s="87">
        <v>4.0559261884572591</v>
      </c>
      <c r="J11" s="87">
        <v>3.1940282455066771</v>
      </c>
      <c r="K11" s="87">
        <v>2.5439113364375752</v>
      </c>
      <c r="L11" s="88">
        <v>2.0450502928828453</v>
      </c>
      <c r="N11" s="104">
        <v>107.71925263212303</v>
      </c>
    </row>
    <row r="14" spans="1:14">
      <c r="B14" t="s">
        <v>13</v>
      </c>
      <c r="C14" s="107">
        <v>0.38990244235805055</v>
      </c>
      <c r="D14" s="107">
        <v>0.1820874509990556</v>
      </c>
      <c r="E14" s="107">
        <v>0.1202397532914774</v>
      </c>
      <c r="F14" s="107">
        <v>8.5724869715302132E-2</v>
      </c>
      <c r="G14" s="107">
        <v>6.3642473500766572E-2</v>
      </c>
      <c r="H14" s="107">
        <v>4.849771675463721E-2</v>
      </c>
      <c r="I14" s="107">
        <v>3.7652750918248934E-2</v>
      </c>
      <c r="J14" s="107">
        <v>2.965141483495759E-2</v>
      </c>
      <c r="K14" s="107">
        <v>2.3616125012725475E-2</v>
      </c>
      <c r="L14" s="107">
        <v>1.8985002614778534E-2</v>
      </c>
    </row>
    <row r="15" spans="1:14">
      <c r="C15" t="s">
        <v>223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6A090-AEF7-4850-BE33-727DE6E29588}">
  <dimension ref="A1:K13"/>
  <sheetViews>
    <sheetView zoomScale="175" zoomScaleNormal="175" workbookViewId="0">
      <selection activeCell="A2" sqref="A2:A11"/>
    </sheetView>
  </sheetViews>
  <sheetFormatPr defaultRowHeight="15"/>
  <cols>
    <col min="1" max="1" width="14.42578125" customWidth="1"/>
  </cols>
  <sheetData>
    <row r="1" spans="1:11">
      <c r="A1" t="s">
        <v>165</v>
      </c>
      <c r="B1" s="17">
        <v>6</v>
      </c>
      <c r="C1" s="17">
        <v>18</v>
      </c>
      <c r="D1" s="17">
        <v>30</v>
      </c>
      <c r="E1" s="17">
        <v>42</v>
      </c>
      <c r="F1" s="17">
        <v>54</v>
      </c>
      <c r="G1" s="17">
        <v>66</v>
      </c>
      <c r="H1" s="17">
        <v>78</v>
      </c>
      <c r="I1" s="17">
        <v>90</v>
      </c>
      <c r="J1" s="17">
        <v>102</v>
      </c>
      <c r="K1" s="16">
        <v>114</v>
      </c>
    </row>
    <row r="2" spans="1:11">
      <c r="A2">
        <v>2000</v>
      </c>
      <c r="B2">
        <v>1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  <c r="I2">
        <v>1</v>
      </c>
      <c r="J2">
        <v>1</v>
      </c>
      <c r="K2">
        <v>1</v>
      </c>
    </row>
    <row r="3" spans="1:11">
      <c r="A3">
        <v>2001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0</v>
      </c>
    </row>
    <row r="4" spans="1:11">
      <c r="A4">
        <v>2002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0</v>
      </c>
      <c r="K4">
        <v>0</v>
      </c>
    </row>
    <row r="5" spans="1:11">
      <c r="A5">
        <v>2003</v>
      </c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0</v>
      </c>
      <c r="J5">
        <v>0</v>
      </c>
      <c r="K5">
        <v>0</v>
      </c>
    </row>
    <row r="6" spans="1:11">
      <c r="A6">
        <v>2004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0</v>
      </c>
      <c r="I6">
        <v>0</v>
      </c>
      <c r="J6">
        <v>0</v>
      </c>
      <c r="K6">
        <v>0</v>
      </c>
    </row>
    <row r="7" spans="1:11">
      <c r="A7">
        <v>2005</v>
      </c>
      <c r="B7">
        <v>1</v>
      </c>
      <c r="C7">
        <v>1</v>
      </c>
      <c r="D7">
        <v>1</v>
      </c>
      <c r="E7">
        <v>1</v>
      </c>
      <c r="F7">
        <v>1</v>
      </c>
      <c r="G7">
        <v>0</v>
      </c>
      <c r="H7">
        <v>0</v>
      </c>
      <c r="I7">
        <v>0</v>
      </c>
      <c r="J7">
        <v>0</v>
      </c>
      <c r="K7">
        <v>0</v>
      </c>
    </row>
    <row r="8" spans="1:11">
      <c r="A8">
        <v>2006</v>
      </c>
      <c r="B8">
        <v>1</v>
      </c>
      <c r="C8">
        <v>1</v>
      </c>
      <c r="D8">
        <v>1</v>
      </c>
      <c r="E8">
        <v>1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</row>
    <row r="9" spans="1:11">
      <c r="A9">
        <v>2007</v>
      </c>
      <c r="B9">
        <v>1</v>
      </c>
      <c r="C9">
        <v>1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</row>
    <row r="10" spans="1:11">
      <c r="A10">
        <v>2008</v>
      </c>
      <c r="B10">
        <v>1</v>
      </c>
      <c r="C10">
        <v>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</row>
    <row r="11" spans="1:11">
      <c r="A11">
        <v>2009</v>
      </c>
      <c r="B11">
        <v>1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</row>
    <row r="13" spans="1:11">
      <c r="B13" t="s">
        <v>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8ECAC-FEA7-413B-978C-92E3914660F7}">
  <dimension ref="A1:L11"/>
  <sheetViews>
    <sheetView zoomScale="145" zoomScaleNormal="145" workbookViewId="0">
      <selection activeCell="S22" sqref="S22"/>
    </sheetView>
  </sheetViews>
  <sheetFormatPr defaultRowHeight="15"/>
  <cols>
    <col min="2" max="2" width="15" customWidth="1"/>
  </cols>
  <sheetData>
    <row r="1" spans="1:12">
      <c r="A1" s="5" t="s">
        <v>14</v>
      </c>
      <c r="B1" s="21" t="s">
        <v>165</v>
      </c>
      <c r="C1" s="17">
        <v>6</v>
      </c>
      <c r="D1" s="17">
        <v>18</v>
      </c>
      <c r="E1" s="17">
        <v>30</v>
      </c>
      <c r="F1" s="17">
        <v>42</v>
      </c>
      <c r="G1" s="17">
        <v>54</v>
      </c>
      <c r="H1" s="17">
        <v>66</v>
      </c>
      <c r="I1" s="17">
        <v>78</v>
      </c>
      <c r="J1" s="17">
        <v>90</v>
      </c>
      <c r="K1" s="17">
        <v>102</v>
      </c>
      <c r="L1" s="16">
        <v>114</v>
      </c>
    </row>
    <row r="2" spans="1:12">
      <c r="B2" s="20">
        <v>2000</v>
      </c>
      <c r="C2" s="109">
        <v>3.66</v>
      </c>
      <c r="D2" s="110">
        <v>2.9019020056918183</v>
      </c>
      <c r="E2" s="110">
        <v>2.4869026276652293</v>
      </c>
      <c r="F2" s="110">
        <v>2.1485579125730307</v>
      </c>
      <c r="G2" s="110">
        <v>1.850696003814434</v>
      </c>
      <c r="H2" s="110">
        <v>1.5789316536346638</v>
      </c>
      <c r="I2" s="110">
        <v>1.325820951157854</v>
      </c>
      <c r="J2" s="110">
        <v>1.0869247762024219</v>
      </c>
      <c r="K2" s="110">
        <v>0.85934467598794972</v>
      </c>
      <c r="L2" s="115">
        <v>0.64106426543578088</v>
      </c>
    </row>
    <row r="3" spans="1:12">
      <c r="B3" s="20">
        <v>2001</v>
      </c>
      <c r="C3" s="111">
        <v>3.6724286661441998</v>
      </c>
      <c r="D3" s="112">
        <v>2.9110191777810113</v>
      </c>
      <c r="E3" s="112">
        <v>2.4960197997544218</v>
      </c>
      <c r="F3" s="112">
        <v>2.1576750846622232</v>
      </c>
      <c r="G3" s="112">
        <v>1.8598131759036267</v>
      </c>
      <c r="H3" s="112">
        <v>1.5880488257238563</v>
      </c>
      <c r="I3" s="112">
        <v>1.3349381232470465</v>
      </c>
      <c r="J3" s="112">
        <v>1.0960419482916146</v>
      </c>
      <c r="K3" s="112">
        <v>0.86846184807714222</v>
      </c>
      <c r="L3" s="116">
        <v>0.65018143752497337</v>
      </c>
    </row>
    <row r="4" spans="1:12">
      <c r="B4" s="20">
        <v>2002</v>
      </c>
      <c r="C4" s="111">
        <v>3.6763874471271274</v>
      </c>
      <c r="D4" s="112">
        <v>2.9149779587639348</v>
      </c>
      <c r="E4" s="112">
        <v>2.4999785807373458</v>
      </c>
      <c r="F4" s="112">
        <v>2.1616338656451473</v>
      </c>
      <c r="G4" s="112">
        <v>1.8637719568865505</v>
      </c>
      <c r="H4" s="112">
        <v>1.5920076067067803</v>
      </c>
      <c r="I4" s="112">
        <v>1.3388969042299703</v>
      </c>
      <c r="J4" s="112">
        <v>1.1000007292745384</v>
      </c>
      <c r="K4" s="112">
        <v>0.87242062906006612</v>
      </c>
      <c r="L4" s="116">
        <v>0.65414021850789728</v>
      </c>
    </row>
    <row r="5" spans="1:12">
      <c r="B5" s="20">
        <v>2003</v>
      </c>
      <c r="C5" s="111">
        <v>3.6870138597630269</v>
      </c>
      <c r="D5" s="112">
        <v>2.9256043713998343</v>
      </c>
      <c r="E5" s="112">
        <v>2.5106049933732453</v>
      </c>
      <c r="F5" s="112">
        <v>2.1722602782810467</v>
      </c>
      <c r="G5" s="112">
        <v>1.87439836952245</v>
      </c>
      <c r="H5" s="112">
        <v>1.6026340193426796</v>
      </c>
      <c r="I5" s="112">
        <v>1.3495233168658698</v>
      </c>
      <c r="J5" s="112">
        <v>1.1106271419104379</v>
      </c>
      <c r="K5" s="112">
        <v>0.88304704169596571</v>
      </c>
      <c r="L5" s="116">
        <v>0.66476663114379675</v>
      </c>
    </row>
    <row r="6" spans="1:12">
      <c r="B6" s="20">
        <v>2004</v>
      </c>
      <c r="C6" s="111">
        <v>3.6963572540103513</v>
      </c>
      <c r="D6" s="112">
        <v>2.9349477656471588</v>
      </c>
      <c r="E6" s="112">
        <v>2.5199483876205697</v>
      </c>
      <c r="F6" s="112">
        <v>2.1816036725283712</v>
      </c>
      <c r="G6" s="112">
        <v>1.8837417637697744</v>
      </c>
      <c r="H6" s="112">
        <v>1.6119774135900042</v>
      </c>
      <c r="I6" s="112">
        <v>1.3588667111131942</v>
      </c>
      <c r="J6" s="112">
        <v>1.1199705361577623</v>
      </c>
      <c r="K6" s="112">
        <v>0.89239043594329015</v>
      </c>
      <c r="L6" s="116">
        <v>0.67411002539112119</v>
      </c>
    </row>
    <row r="7" spans="1:12">
      <c r="B7" s="20">
        <v>2005</v>
      </c>
      <c r="C7" s="111">
        <v>3.7079320885641329</v>
      </c>
      <c r="D7" s="112">
        <v>2.9465226002009404</v>
      </c>
      <c r="E7" s="112">
        <v>2.5315232221743513</v>
      </c>
      <c r="F7" s="112">
        <v>2.1931785070821528</v>
      </c>
      <c r="G7" s="112">
        <v>1.8953165983235563</v>
      </c>
      <c r="H7" s="112">
        <v>1.6235522481437858</v>
      </c>
      <c r="I7" s="112">
        <v>1.3704415456669761</v>
      </c>
      <c r="J7" s="112">
        <v>1.1315453707115442</v>
      </c>
      <c r="K7" s="112">
        <v>0.90396527049707176</v>
      </c>
      <c r="L7" s="116">
        <v>0.68568485994490291</v>
      </c>
    </row>
    <row r="8" spans="1:12">
      <c r="B8" s="20">
        <v>2006</v>
      </c>
      <c r="C8" s="111">
        <v>3.6786763027784621</v>
      </c>
      <c r="D8" s="112">
        <v>2.91726681441527</v>
      </c>
      <c r="E8" s="112">
        <v>2.5022674363886805</v>
      </c>
      <c r="F8" s="112">
        <v>2.163922721296482</v>
      </c>
      <c r="G8" s="112">
        <v>1.8660608125378855</v>
      </c>
      <c r="H8" s="112">
        <v>1.5942964623581151</v>
      </c>
      <c r="I8" s="112">
        <v>1.3411857598813053</v>
      </c>
      <c r="J8" s="112">
        <v>1.1022895849258734</v>
      </c>
      <c r="K8" s="112">
        <v>0.87470948471140109</v>
      </c>
      <c r="L8" s="116">
        <v>0.65642907415923213</v>
      </c>
    </row>
    <row r="9" spans="1:12">
      <c r="B9" s="20">
        <v>2007</v>
      </c>
      <c r="C9" s="111">
        <v>3.7026448843305975</v>
      </c>
      <c r="D9" s="112">
        <v>2.9412353959674049</v>
      </c>
      <c r="E9" s="112">
        <v>2.5262360179408159</v>
      </c>
      <c r="F9" s="112">
        <v>2.1878913028486173</v>
      </c>
      <c r="G9" s="112">
        <v>1.8900293940900206</v>
      </c>
      <c r="H9" s="112">
        <v>1.6182650439102502</v>
      </c>
      <c r="I9" s="112">
        <v>1.3651543414334406</v>
      </c>
      <c r="J9" s="112">
        <v>1.1262581664780085</v>
      </c>
      <c r="K9" s="112">
        <v>0.89867806626353619</v>
      </c>
      <c r="L9" s="116">
        <v>0.68039765571136723</v>
      </c>
    </row>
    <row r="10" spans="1:12">
      <c r="B10" s="20">
        <v>2008</v>
      </c>
      <c r="C10" s="111">
        <v>3.7599099562379688</v>
      </c>
      <c r="D10" s="112">
        <v>2.9985004678747762</v>
      </c>
      <c r="E10" s="112">
        <v>2.5835010898481872</v>
      </c>
      <c r="F10" s="112">
        <v>2.2451563747559886</v>
      </c>
      <c r="G10" s="112">
        <v>1.9472944659973919</v>
      </c>
      <c r="H10" s="112">
        <v>1.6755301158176217</v>
      </c>
      <c r="I10" s="112">
        <v>1.4224194133408117</v>
      </c>
      <c r="J10" s="112">
        <v>1.1835232383853798</v>
      </c>
      <c r="K10" s="112">
        <v>0.95594313817090759</v>
      </c>
      <c r="L10" s="116">
        <v>0.73766272761873863</v>
      </c>
    </row>
    <row r="11" spans="1:12">
      <c r="B11" s="21">
        <v>2009</v>
      </c>
      <c r="C11" s="113">
        <v>3.7376696109083358</v>
      </c>
      <c r="D11" s="114">
        <v>2.9762601225451433</v>
      </c>
      <c r="E11" s="114">
        <v>2.5612607445185542</v>
      </c>
      <c r="F11" s="114">
        <v>2.2229160294263557</v>
      </c>
      <c r="G11" s="114">
        <v>1.9250541206677589</v>
      </c>
      <c r="H11" s="114">
        <v>1.6532897704879885</v>
      </c>
      <c r="I11" s="114">
        <v>1.4001790680111788</v>
      </c>
      <c r="J11" s="114">
        <v>1.1612828930557468</v>
      </c>
      <c r="K11" s="114">
        <v>0.93370279284127455</v>
      </c>
      <c r="L11" s="117">
        <v>0.71542238228910571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840EB-588A-47A0-A9E3-C83FB330CA85}">
  <dimension ref="A1:L11"/>
  <sheetViews>
    <sheetView zoomScale="160" zoomScaleNormal="160" workbookViewId="0">
      <selection activeCell="P18" sqref="P18"/>
    </sheetView>
  </sheetViews>
  <sheetFormatPr defaultRowHeight="15"/>
  <cols>
    <col min="2" max="2" width="16.140625" customWidth="1"/>
  </cols>
  <sheetData>
    <row r="1" spans="1:12">
      <c r="A1" t="s">
        <v>15</v>
      </c>
      <c r="B1" s="21" t="s">
        <v>165</v>
      </c>
      <c r="C1" s="17">
        <v>6</v>
      </c>
      <c r="D1" s="17">
        <v>18</v>
      </c>
      <c r="E1" s="17">
        <v>30</v>
      </c>
      <c r="F1" s="17">
        <v>42</v>
      </c>
      <c r="G1" s="17">
        <v>54</v>
      </c>
      <c r="H1" s="17">
        <v>66</v>
      </c>
      <c r="I1" s="17">
        <v>78</v>
      </c>
      <c r="J1" s="17">
        <v>90</v>
      </c>
      <c r="K1" s="17">
        <v>102</v>
      </c>
      <c r="L1" s="16">
        <v>114</v>
      </c>
    </row>
    <row r="2" spans="1:12">
      <c r="B2" s="20">
        <v>2000</v>
      </c>
      <c r="C2" s="107">
        <v>153.85908275031045</v>
      </c>
      <c r="D2" s="107">
        <v>52.234236102452726</v>
      </c>
      <c r="E2" s="107">
        <v>27.355928904317523</v>
      </c>
      <c r="F2" s="107">
        <v>19.337021213157279</v>
      </c>
      <c r="G2" s="107">
        <v>14.805568030515472</v>
      </c>
      <c r="H2" s="107">
        <v>7.8946582681733188</v>
      </c>
      <c r="I2" s="107">
        <v>3.9774628534735621</v>
      </c>
      <c r="J2" s="107">
        <v>2.1738495524048438</v>
      </c>
      <c r="K2" s="107">
        <v>0.85934467598794972</v>
      </c>
      <c r="L2" s="84">
        <v>0.64106426543578088</v>
      </c>
    </row>
    <row r="3" spans="1:12">
      <c r="B3" s="20">
        <v>2001</v>
      </c>
      <c r="C3" s="107">
        <v>146.89714664576815</v>
      </c>
      <c r="D3" s="107">
        <v>55.309364377839216</v>
      </c>
      <c r="E3" s="107">
        <v>22.464178197789796</v>
      </c>
      <c r="F3" s="107">
        <v>21.576750846622232</v>
      </c>
      <c r="G3" s="107">
        <v>16.738318583132639</v>
      </c>
      <c r="H3" s="107">
        <v>7.9402441286192813</v>
      </c>
      <c r="I3" s="107">
        <v>4.0048143697411396</v>
      </c>
      <c r="J3" s="107">
        <v>3.2881258448748438</v>
      </c>
      <c r="K3" s="107">
        <v>0.86846184807714222</v>
      </c>
      <c r="L3" s="86"/>
    </row>
    <row r="4" spans="1:12">
      <c r="B4" s="20">
        <v>2002</v>
      </c>
      <c r="C4" s="107">
        <v>132.34994809657658</v>
      </c>
      <c r="D4" s="107">
        <v>55.384581216514761</v>
      </c>
      <c r="E4" s="107">
        <v>24.999785807373456</v>
      </c>
      <c r="F4" s="107">
        <v>23.777972522096618</v>
      </c>
      <c r="G4" s="107">
        <v>16.773947611978954</v>
      </c>
      <c r="H4" s="107">
        <v>9.5520456402406815</v>
      </c>
      <c r="I4" s="107">
        <v>4.0166907126899112</v>
      </c>
      <c r="J4" s="107">
        <v>3.3000021878236154</v>
      </c>
      <c r="K4" s="107"/>
      <c r="L4" s="86"/>
    </row>
    <row r="5" spans="1:12">
      <c r="B5" s="20">
        <v>2003</v>
      </c>
      <c r="C5" s="107">
        <v>140.10652667099501</v>
      </c>
      <c r="D5" s="107">
        <v>55.586483056596855</v>
      </c>
      <c r="E5" s="107">
        <v>22.595444940359208</v>
      </c>
      <c r="F5" s="107">
        <v>23.894863061091513</v>
      </c>
      <c r="G5" s="107">
        <v>16.869585325702051</v>
      </c>
      <c r="H5" s="107">
        <v>9.6158041160560774</v>
      </c>
      <c r="I5" s="107">
        <v>4.0485699505976092</v>
      </c>
      <c r="J5" s="107"/>
      <c r="K5" s="107"/>
      <c r="L5" s="86"/>
    </row>
    <row r="6" spans="1:12">
      <c r="B6" s="20">
        <v>2004</v>
      </c>
      <c r="C6" s="107">
        <v>144.15793290640369</v>
      </c>
      <c r="D6" s="107">
        <v>55.764007547296018</v>
      </c>
      <c r="E6" s="107">
        <v>22.679535488585127</v>
      </c>
      <c r="F6" s="107">
        <v>21.816036725283713</v>
      </c>
      <c r="G6" s="107">
        <v>18.837417637697744</v>
      </c>
      <c r="H6" s="107">
        <v>8.0598870679500205</v>
      </c>
      <c r="I6" s="107"/>
      <c r="J6" s="107"/>
      <c r="K6" s="107"/>
      <c r="L6" s="86"/>
    </row>
    <row r="7" spans="1:12">
      <c r="B7" s="20">
        <v>2005</v>
      </c>
      <c r="C7" s="107">
        <v>152.02521563112944</v>
      </c>
      <c r="D7" s="107">
        <v>55.983929403817868</v>
      </c>
      <c r="E7" s="107">
        <v>25.315232221743514</v>
      </c>
      <c r="F7" s="107">
        <v>19.738606563739374</v>
      </c>
      <c r="G7" s="107">
        <v>17.057849384912007</v>
      </c>
      <c r="H7" s="107"/>
      <c r="I7" s="107"/>
      <c r="J7" s="107"/>
      <c r="K7" s="107"/>
      <c r="L7" s="86"/>
    </row>
    <row r="8" spans="1:12">
      <c r="B8" s="20">
        <v>2006</v>
      </c>
      <c r="C8" s="107">
        <v>154.5044047166954</v>
      </c>
      <c r="D8" s="107">
        <v>55.428069473890133</v>
      </c>
      <c r="E8" s="107">
        <v>22.520406927498126</v>
      </c>
      <c r="F8" s="107">
        <v>19.475304491668339</v>
      </c>
      <c r="G8" s="107"/>
      <c r="H8" s="107"/>
      <c r="I8" s="107"/>
      <c r="J8" s="107"/>
      <c r="K8" s="107"/>
      <c r="L8" s="86"/>
    </row>
    <row r="9" spans="1:12">
      <c r="B9" s="20">
        <v>2007</v>
      </c>
      <c r="C9" s="107">
        <v>159.2137300262157</v>
      </c>
      <c r="D9" s="107">
        <v>55.883472523380696</v>
      </c>
      <c r="E9" s="107">
        <v>25.262360179408159</v>
      </c>
      <c r="F9" s="107"/>
      <c r="G9" s="107"/>
      <c r="H9" s="107"/>
      <c r="I9" s="107"/>
      <c r="J9" s="107"/>
      <c r="K9" s="107"/>
      <c r="L9" s="86"/>
    </row>
    <row r="10" spans="1:12">
      <c r="B10" s="20">
        <v>2008</v>
      </c>
      <c r="C10" s="107">
        <v>161.67612811823267</v>
      </c>
      <c r="D10" s="107">
        <v>59.970009357495528</v>
      </c>
      <c r="E10" s="107"/>
      <c r="F10" s="107"/>
      <c r="G10" s="107"/>
      <c r="H10" s="107"/>
      <c r="I10" s="107"/>
      <c r="J10" s="107"/>
      <c r="K10" s="107"/>
      <c r="L10" s="86"/>
    </row>
    <row r="11" spans="1:12">
      <c r="B11" s="21">
        <v>2009</v>
      </c>
      <c r="C11" s="87">
        <v>156.9821236581501</v>
      </c>
      <c r="D11" s="87"/>
      <c r="E11" s="87"/>
      <c r="F11" s="87"/>
      <c r="G11" s="87"/>
      <c r="H11" s="87"/>
      <c r="I11" s="87"/>
      <c r="J11" s="87"/>
      <c r="K11" s="87"/>
      <c r="L11" s="8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2C58A-D671-4B97-9D59-5905D9FB9B53}">
  <dimension ref="A1:L11"/>
  <sheetViews>
    <sheetView zoomScale="145" zoomScaleNormal="145" workbookViewId="0">
      <selection activeCell="S22" sqref="S22"/>
    </sheetView>
  </sheetViews>
  <sheetFormatPr defaultRowHeight="15"/>
  <cols>
    <col min="2" max="2" width="13.42578125" customWidth="1"/>
  </cols>
  <sheetData>
    <row r="1" spans="1:12">
      <c r="A1" t="s">
        <v>16</v>
      </c>
      <c r="B1" s="21" t="s">
        <v>165</v>
      </c>
      <c r="C1" s="17">
        <v>6</v>
      </c>
      <c r="D1" s="17">
        <v>18</v>
      </c>
      <c r="E1" s="17">
        <v>30</v>
      </c>
      <c r="F1" s="17">
        <v>42</v>
      </c>
      <c r="G1" s="17">
        <v>54</v>
      </c>
      <c r="H1" s="17">
        <v>66</v>
      </c>
      <c r="I1" s="17">
        <v>78</v>
      </c>
      <c r="J1" s="17">
        <v>90</v>
      </c>
      <c r="K1" s="17">
        <v>102</v>
      </c>
      <c r="L1" s="16">
        <v>114</v>
      </c>
    </row>
    <row r="2" spans="1:12">
      <c r="B2" s="20">
        <v>2000</v>
      </c>
      <c r="C2" s="107">
        <v>114.8688374610898</v>
      </c>
      <c r="D2" s="107">
        <v>34.025490510593954</v>
      </c>
      <c r="E2" s="107">
        <v>15.331953250313056</v>
      </c>
      <c r="F2" s="107">
        <v>10.764534010020631</v>
      </c>
      <c r="G2" s="107">
        <v>8.4413205084933054</v>
      </c>
      <c r="H2" s="107">
        <v>3.0448864616813056</v>
      </c>
      <c r="I2" s="107">
        <v>0.21218765992067024</v>
      </c>
      <c r="J2" s="107">
        <v>-0.79129201120137216</v>
      </c>
      <c r="K2" s="107">
        <v>-1.502267889089262</v>
      </c>
      <c r="L2" s="84">
        <v>-1.2574360473346413</v>
      </c>
    </row>
    <row r="3" spans="1:12">
      <c r="B3" s="20">
        <v>2001</v>
      </c>
      <c r="C3" s="107">
        <v>107.54979515473414</v>
      </c>
      <c r="D3" s="107">
        <v>36.933847432533938</v>
      </c>
      <c r="E3" s="107">
        <v>10.330076632941548</v>
      </c>
      <c r="F3" s="107">
        <v>12.925749432495174</v>
      </c>
      <c r="G3" s="107">
        <v>10.315781808423525</v>
      </c>
      <c r="H3" s="107">
        <v>3.0460539406415617</v>
      </c>
      <c r="I3" s="107">
        <v>0.20505354745783633</v>
      </c>
      <c r="J3" s="107">
        <v>0.29582696451506862</v>
      </c>
      <c r="K3" s="107">
        <v>-1.5147803960906643</v>
      </c>
      <c r="L3" s="86"/>
    </row>
    <row r="4" spans="1:12">
      <c r="B4" s="20">
        <v>2002</v>
      </c>
      <c r="C4" s="107">
        <v>92.846520326663978</v>
      </c>
      <c r="D4" s="107">
        <v>36.936175443915793</v>
      </c>
      <c r="E4" s="107">
        <v>12.81755278391336</v>
      </c>
      <c r="F4" s="107">
        <v>15.092655809528235</v>
      </c>
      <c r="G4" s="107">
        <v>10.325935027519698</v>
      </c>
      <c r="H4" s="107">
        <v>4.6384420238181576</v>
      </c>
      <c r="I4" s="107">
        <v>0.20185765536924283</v>
      </c>
      <c r="J4" s="107">
        <v>0.29583397301459291</v>
      </c>
      <c r="K4" s="107"/>
      <c r="L4" s="86"/>
    </row>
    <row r="5" spans="1:12">
      <c r="B5" s="20">
        <v>2003</v>
      </c>
      <c r="C5" s="107">
        <v>100.18108087945285</v>
      </c>
      <c r="D5" s="107">
        <v>36.940991609516217</v>
      </c>
      <c r="E5" s="107">
        <v>10.283068226343064</v>
      </c>
      <c r="F5" s="107">
        <v>15.116760471874324</v>
      </c>
      <c r="G5" s="107">
        <v>10.352688148994613</v>
      </c>
      <c r="H5" s="107">
        <v>4.6497081111412886</v>
      </c>
      <c r="I5" s="107">
        <v>0.19298275140665933</v>
      </c>
      <c r="J5" s="107"/>
      <c r="K5" s="107"/>
      <c r="L5" s="86"/>
    </row>
    <row r="6" spans="1:12">
      <c r="B6" s="20">
        <v>2004</v>
      </c>
      <c r="C6" s="107">
        <v>103.85769976790345</v>
      </c>
      <c r="D6" s="107">
        <v>36.943487515471034</v>
      </c>
      <c r="E6" s="107">
        <v>10.251580277900775</v>
      </c>
      <c r="F6" s="107">
        <v>12.955532506841999</v>
      </c>
      <c r="G6" s="107">
        <v>12.259345174031477</v>
      </c>
      <c r="H6" s="107">
        <v>3.0471734258486878</v>
      </c>
      <c r="I6" s="107"/>
      <c r="J6" s="107"/>
      <c r="K6" s="107"/>
      <c r="L6" s="86"/>
    </row>
    <row r="7" spans="1:12">
      <c r="B7" s="20">
        <v>2005</v>
      </c>
      <c r="C7" s="107">
        <v>111.25580386733259</v>
      </c>
      <c r="D7" s="107">
        <v>36.944299331473957</v>
      </c>
      <c r="E7" s="107">
        <v>12.742589735406</v>
      </c>
      <c r="F7" s="107">
        <v>10.77494762720071</v>
      </c>
      <c r="G7" s="107">
        <v>10.403194461164237</v>
      </c>
      <c r="H7" s="107"/>
      <c r="I7" s="107"/>
      <c r="J7" s="107"/>
      <c r="K7" s="107"/>
      <c r="L7" s="86"/>
    </row>
    <row r="8" spans="1:12">
      <c r="B8" s="20">
        <v>2006</v>
      </c>
      <c r="C8" s="107">
        <v>114.91045574742415</v>
      </c>
      <c r="D8" s="107">
        <v>36.937389602280895</v>
      </c>
      <c r="E8" s="107">
        <v>10.310258596268463</v>
      </c>
      <c r="F8" s="107">
        <v>10.770085574911233</v>
      </c>
      <c r="G8" s="107"/>
      <c r="H8" s="107"/>
      <c r="I8" s="107"/>
      <c r="J8" s="107"/>
      <c r="K8" s="107"/>
      <c r="L8" s="86"/>
    </row>
    <row r="9" spans="1:12">
      <c r="B9" s="20">
        <v>2007</v>
      </c>
      <c r="C9" s="107">
        <v>118.6593056270207</v>
      </c>
      <c r="D9" s="107">
        <v>36.944243210212861</v>
      </c>
      <c r="E9" s="107">
        <v>12.756016399803993</v>
      </c>
      <c r="F9" s="107"/>
      <c r="G9" s="107"/>
      <c r="H9" s="107"/>
      <c r="I9" s="107"/>
      <c r="J9" s="107"/>
      <c r="K9" s="107"/>
      <c r="L9" s="86"/>
    </row>
    <row r="10" spans="1:12">
      <c r="B10" s="20">
        <v>2008</v>
      </c>
      <c r="C10" s="107">
        <v>118.731569203213</v>
      </c>
      <c r="D10" s="107">
        <v>39.914568771324902</v>
      </c>
      <c r="E10" s="107"/>
      <c r="F10" s="107"/>
      <c r="G10" s="107"/>
      <c r="H10" s="107"/>
      <c r="I10" s="107"/>
      <c r="J10" s="107"/>
      <c r="K10" s="107"/>
      <c r="L10" s="86"/>
    </row>
    <row r="11" spans="1:12">
      <c r="B11" s="21">
        <v>2009</v>
      </c>
      <c r="C11" s="87">
        <v>114.98212396790146</v>
      </c>
      <c r="D11" s="87"/>
      <c r="E11" s="87"/>
      <c r="F11" s="87"/>
      <c r="G11" s="87"/>
      <c r="H11" s="87"/>
      <c r="I11" s="87"/>
      <c r="J11" s="87"/>
      <c r="K11" s="87"/>
      <c r="L11" s="8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8A37D-08E2-4962-96DD-B31DD4209585}">
  <dimension ref="A1:K15"/>
  <sheetViews>
    <sheetView zoomScale="145" zoomScaleNormal="145" workbookViewId="0">
      <selection activeCell="B20" sqref="B20"/>
    </sheetView>
  </sheetViews>
  <sheetFormatPr defaultRowHeight="15"/>
  <cols>
    <col min="1" max="1" width="16.28515625" customWidth="1"/>
  </cols>
  <sheetData>
    <row r="1" spans="1:11">
      <c r="A1" t="s">
        <v>165</v>
      </c>
      <c r="B1" s="17">
        <v>6</v>
      </c>
      <c r="C1" s="17">
        <v>18</v>
      </c>
      <c r="D1" s="17">
        <v>30</v>
      </c>
      <c r="E1" s="17">
        <v>42</v>
      </c>
      <c r="F1" s="17">
        <v>54</v>
      </c>
      <c r="G1" s="17">
        <v>66</v>
      </c>
      <c r="H1" s="17">
        <v>78</v>
      </c>
      <c r="I1" s="17">
        <v>90</v>
      </c>
      <c r="J1" s="17">
        <v>102</v>
      </c>
      <c r="K1" s="16">
        <v>114</v>
      </c>
    </row>
    <row r="2" spans="1:11">
      <c r="A2">
        <v>2000</v>
      </c>
      <c r="B2">
        <v>114.8688374610898</v>
      </c>
      <c r="C2">
        <v>34.025490510593954</v>
      </c>
      <c r="D2">
        <v>15.331953250313056</v>
      </c>
      <c r="E2">
        <v>10.764534010020631</v>
      </c>
      <c r="F2">
        <v>8.4413205084933054</v>
      </c>
      <c r="G2">
        <v>3.0448864616813056</v>
      </c>
      <c r="H2">
        <v>0.21218765992067024</v>
      </c>
      <c r="I2">
        <v>-0.79129201120137216</v>
      </c>
      <c r="J2">
        <v>-1.502267889089262</v>
      </c>
      <c r="K2">
        <v>-1.2574360473346413</v>
      </c>
    </row>
    <row r="3" spans="1:11">
      <c r="A3">
        <v>2001</v>
      </c>
      <c r="B3">
        <v>107.54979515473414</v>
      </c>
      <c r="C3">
        <v>36.933847432533938</v>
      </c>
      <c r="D3">
        <v>10.330076632941548</v>
      </c>
      <c r="E3">
        <v>12.925749432495174</v>
      </c>
      <c r="F3">
        <v>10.315781808423525</v>
      </c>
      <c r="G3">
        <v>3.0460539406415617</v>
      </c>
      <c r="H3">
        <v>0.20505354745783633</v>
      </c>
      <c r="I3">
        <v>0.29582696451506862</v>
      </c>
      <c r="J3">
        <v>-1.5147803960906643</v>
      </c>
      <c r="K3">
        <v>0</v>
      </c>
    </row>
    <row r="4" spans="1:11">
      <c r="A4">
        <v>2002</v>
      </c>
      <c r="B4">
        <v>92.846520326663978</v>
      </c>
      <c r="C4">
        <v>36.936175443915793</v>
      </c>
      <c r="D4">
        <v>12.81755278391336</v>
      </c>
      <c r="E4">
        <v>15.092655809528235</v>
      </c>
      <c r="F4">
        <v>10.325935027519698</v>
      </c>
      <c r="G4">
        <v>4.6384420238181576</v>
      </c>
      <c r="H4">
        <v>0.20185765536924283</v>
      </c>
      <c r="I4">
        <v>0.29583397301459291</v>
      </c>
      <c r="J4">
        <v>0</v>
      </c>
      <c r="K4">
        <v>0</v>
      </c>
    </row>
    <row r="5" spans="1:11">
      <c r="A5">
        <v>2003</v>
      </c>
      <c r="B5">
        <v>100.18108087945285</v>
      </c>
      <c r="C5">
        <v>36.940991609516217</v>
      </c>
      <c r="D5">
        <v>10.283068226343064</v>
      </c>
      <c r="E5">
        <v>15.116760471874324</v>
      </c>
      <c r="F5">
        <v>10.352688148994613</v>
      </c>
      <c r="G5">
        <v>4.6497081111412886</v>
      </c>
      <c r="H5">
        <v>0.19298275140665933</v>
      </c>
      <c r="I5">
        <v>0</v>
      </c>
      <c r="J5">
        <v>0</v>
      </c>
      <c r="K5">
        <v>0</v>
      </c>
    </row>
    <row r="6" spans="1:11">
      <c r="A6">
        <v>2004</v>
      </c>
      <c r="B6">
        <v>103.85769976790345</v>
      </c>
      <c r="C6">
        <v>36.943487515471034</v>
      </c>
      <c r="D6">
        <v>10.251580277900775</v>
      </c>
      <c r="E6">
        <v>12.955532506841999</v>
      </c>
      <c r="F6">
        <v>12.259345174031477</v>
      </c>
      <c r="G6">
        <v>3.0471734258486878</v>
      </c>
      <c r="H6">
        <v>0</v>
      </c>
      <c r="I6">
        <v>0</v>
      </c>
      <c r="J6">
        <v>0</v>
      </c>
      <c r="K6">
        <v>0</v>
      </c>
    </row>
    <row r="7" spans="1:11">
      <c r="A7">
        <v>2005</v>
      </c>
      <c r="B7">
        <v>111.25580386733259</v>
      </c>
      <c r="C7">
        <v>36.944299331473957</v>
      </c>
      <c r="D7">
        <v>12.742589735406</v>
      </c>
      <c r="E7">
        <v>10.77494762720071</v>
      </c>
      <c r="F7">
        <v>10.403194461164237</v>
      </c>
      <c r="G7">
        <v>0</v>
      </c>
      <c r="H7">
        <v>0</v>
      </c>
      <c r="I7">
        <v>0</v>
      </c>
      <c r="J7">
        <v>0</v>
      </c>
      <c r="K7">
        <v>0</v>
      </c>
    </row>
    <row r="8" spans="1:11">
      <c r="A8">
        <v>2006</v>
      </c>
      <c r="B8">
        <v>114.91045574742415</v>
      </c>
      <c r="C8">
        <v>36.937389602280895</v>
      </c>
      <c r="D8">
        <v>10.310258596268463</v>
      </c>
      <c r="E8">
        <v>10.770085574911233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</row>
    <row r="9" spans="1:11">
      <c r="A9">
        <v>2007</v>
      </c>
      <c r="B9">
        <v>118.6593056270207</v>
      </c>
      <c r="C9">
        <v>36.944243210212861</v>
      </c>
      <c r="D9">
        <v>12.756016399803993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</row>
    <row r="10" spans="1:11">
      <c r="A10">
        <v>2008</v>
      </c>
      <c r="B10">
        <v>118.731569203213</v>
      </c>
      <c r="C10">
        <v>39.914568771324902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</row>
    <row r="11" spans="1:11">
      <c r="A11">
        <v>2009</v>
      </c>
      <c r="B11">
        <v>114.98212396790146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</row>
    <row r="15" spans="1:11">
      <c r="A15" t="s">
        <v>17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85C54-90DB-42FF-8FCD-06F17FDD6428}">
  <dimension ref="A1:T37"/>
  <sheetViews>
    <sheetView zoomScale="130" zoomScaleNormal="130" workbookViewId="0">
      <selection activeCell="AB19" sqref="AB19"/>
    </sheetView>
  </sheetViews>
  <sheetFormatPr defaultRowHeight="15"/>
  <cols>
    <col min="1" max="1" width="16.7109375" customWidth="1"/>
  </cols>
  <sheetData>
    <row r="1" spans="1:20">
      <c r="A1" s="15" t="s">
        <v>165</v>
      </c>
      <c r="B1" s="8">
        <v>6</v>
      </c>
      <c r="C1" s="8" t="s">
        <v>0</v>
      </c>
      <c r="D1" s="8">
        <v>18</v>
      </c>
      <c r="E1" s="8" t="s">
        <v>0</v>
      </c>
      <c r="F1" s="8">
        <v>30</v>
      </c>
      <c r="G1" s="8" t="s">
        <v>0</v>
      </c>
      <c r="H1" s="8">
        <v>42</v>
      </c>
      <c r="I1" s="8" t="s">
        <v>0</v>
      </c>
      <c r="J1" s="8">
        <v>54</v>
      </c>
      <c r="K1" s="8" t="s">
        <v>0</v>
      </c>
      <c r="L1" s="8">
        <v>66</v>
      </c>
      <c r="M1" s="8" t="s">
        <v>0</v>
      </c>
      <c r="N1" s="8">
        <v>78</v>
      </c>
      <c r="O1" s="8" t="s">
        <v>0</v>
      </c>
      <c r="P1" s="8">
        <v>90</v>
      </c>
      <c r="Q1" s="8" t="s">
        <v>0</v>
      </c>
      <c r="R1" s="8">
        <v>102</v>
      </c>
      <c r="S1" s="8" t="s">
        <v>0</v>
      </c>
      <c r="T1" s="8">
        <v>114</v>
      </c>
    </row>
    <row r="2" spans="1:20">
      <c r="A2" s="13">
        <v>2000</v>
      </c>
      <c r="B2">
        <v>42</v>
      </c>
      <c r="C2" s="1">
        <f>D2/B2</f>
        <v>1.4285714285714286</v>
      </c>
      <c r="D2">
        <v>60</v>
      </c>
      <c r="E2" s="1">
        <f>F2/D2</f>
        <v>1.1833333333333333</v>
      </c>
      <c r="F2">
        <v>71</v>
      </c>
      <c r="G2" s="1">
        <f>H2/F2</f>
        <v>1.1267605633802817</v>
      </c>
      <c r="H2">
        <v>80</v>
      </c>
      <c r="I2" s="1">
        <f>J2/H2</f>
        <v>1.1000000000000001</v>
      </c>
      <c r="J2">
        <v>88</v>
      </c>
      <c r="K2" s="1">
        <f>L2/J2</f>
        <v>1.0568181818181819</v>
      </c>
      <c r="L2">
        <v>93</v>
      </c>
      <c r="M2" s="1">
        <f>N2/L2</f>
        <v>1.032258064516129</v>
      </c>
      <c r="N2">
        <v>96</v>
      </c>
      <c r="O2" s="1">
        <f>P2/N2</f>
        <v>1.0208333333333333</v>
      </c>
      <c r="P2">
        <v>98</v>
      </c>
      <c r="Q2" s="1">
        <f>R2/P2</f>
        <v>1.010204081632653</v>
      </c>
      <c r="R2">
        <v>99</v>
      </c>
      <c r="S2" s="1">
        <f>T2/R2</f>
        <v>1.0101010101010102</v>
      </c>
      <c r="T2">
        <v>100</v>
      </c>
    </row>
    <row r="3" spans="1:20">
      <c r="A3" s="14">
        <v>2001</v>
      </c>
      <c r="B3">
        <v>40</v>
      </c>
      <c r="C3" s="1">
        <f>D3/B3</f>
        <v>1.4750000000000001</v>
      </c>
      <c r="D3">
        <v>59</v>
      </c>
      <c r="E3" s="1">
        <f t="shared" ref="E3:E9" si="0">F3/D3</f>
        <v>1.152542372881356</v>
      </c>
      <c r="F3">
        <v>68</v>
      </c>
      <c r="G3" s="1">
        <f t="shared" ref="G3:G8" si="1">H3/F3</f>
        <v>1.1470588235294117</v>
      </c>
      <c r="H3">
        <v>78</v>
      </c>
      <c r="I3" s="1">
        <f t="shared" ref="I3:I7" si="2">J3/H3</f>
        <v>1.1153846153846154</v>
      </c>
      <c r="J3">
        <v>87</v>
      </c>
      <c r="K3" s="1">
        <f t="shared" ref="K3:K6" si="3">L3/J3</f>
        <v>1.0574712643678161</v>
      </c>
      <c r="L3">
        <v>92</v>
      </c>
      <c r="M3" s="1">
        <f t="shared" ref="M3:M5" si="4">N3/L3</f>
        <v>1.0326086956521738</v>
      </c>
      <c r="N3">
        <v>95</v>
      </c>
      <c r="O3" s="1">
        <f>P3/N3</f>
        <v>1.0315789473684212</v>
      </c>
      <c r="P3">
        <v>98</v>
      </c>
      <c r="Q3" s="1">
        <f>R3/P3</f>
        <v>1.010204081632653</v>
      </c>
      <c r="R3">
        <v>99</v>
      </c>
    </row>
    <row r="4" spans="1:20">
      <c r="A4" s="14">
        <v>2002</v>
      </c>
      <c r="B4">
        <v>36</v>
      </c>
      <c r="C4" s="1">
        <f>D4/B4</f>
        <v>1.5277777777777777</v>
      </c>
      <c r="D4">
        <v>55</v>
      </c>
      <c r="E4" s="1">
        <f t="shared" si="0"/>
        <v>1.1818181818181819</v>
      </c>
      <c r="F4">
        <v>65</v>
      </c>
      <c r="G4" s="1">
        <f t="shared" si="1"/>
        <v>1.1692307692307693</v>
      </c>
      <c r="H4">
        <v>76</v>
      </c>
      <c r="I4" s="1">
        <f t="shared" si="2"/>
        <v>1.118421052631579</v>
      </c>
      <c r="J4">
        <v>85</v>
      </c>
      <c r="K4" s="1">
        <f t="shared" si="3"/>
        <v>1.0705882352941176</v>
      </c>
      <c r="L4">
        <v>91</v>
      </c>
      <c r="M4" s="1">
        <f t="shared" si="4"/>
        <v>1.0329670329670331</v>
      </c>
      <c r="N4">
        <v>94</v>
      </c>
      <c r="O4" s="1">
        <f>P4/N4</f>
        <v>1.0319148936170213</v>
      </c>
      <c r="P4">
        <v>97</v>
      </c>
    </row>
    <row r="5" spans="1:20">
      <c r="A5" s="14">
        <v>2003</v>
      </c>
      <c r="B5">
        <v>38</v>
      </c>
      <c r="C5" s="1">
        <f>D5/B5</f>
        <v>1.5</v>
      </c>
      <c r="D5">
        <v>57</v>
      </c>
      <c r="E5" s="1">
        <f t="shared" si="0"/>
        <v>1.1578947368421053</v>
      </c>
      <c r="F5">
        <v>66</v>
      </c>
      <c r="G5" s="1">
        <f t="shared" si="1"/>
        <v>1.1666666666666667</v>
      </c>
      <c r="H5">
        <v>77</v>
      </c>
      <c r="I5" s="1">
        <f t="shared" si="2"/>
        <v>1.1168831168831168</v>
      </c>
      <c r="J5">
        <v>86</v>
      </c>
      <c r="K5" s="1">
        <f t="shared" si="3"/>
        <v>1.069767441860465</v>
      </c>
      <c r="L5">
        <v>92</v>
      </c>
      <c r="M5" s="1">
        <f t="shared" si="4"/>
        <v>1.0326086956521738</v>
      </c>
      <c r="N5">
        <v>95</v>
      </c>
    </row>
    <row r="6" spans="1:20">
      <c r="A6" s="14">
        <v>2004</v>
      </c>
      <c r="B6">
        <v>39</v>
      </c>
      <c r="C6" s="1">
        <f t="shared" ref="C6:C10" si="5">D6/B6</f>
        <v>1.4871794871794872</v>
      </c>
      <c r="D6">
        <v>58</v>
      </c>
      <c r="E6" s="1">
        <f t="shared" si="0"/>
        <v>1.1551724137931034</v>
      </c>
      <c r="F6">
        <v>67</v>
      </c>
      <c r="G6" s="1">
        <f t="shared" si="1"/>
        <v>1.1492537313432836</v>
      </c>
      <c r="H6">
        <v>77</v>
      </c>
      <c r="I6" s="1">
        <f t="shared" si="2"/>
        <v>1.1298701298701299</v>
      </c>
      <c r="J6">
        <v>87</v>
      </c>
      <c r="K6" s="1">
        <f t="shared" si="3"/>
        <v>1.0574712643678161</v>
      </c>
      <c r="L6">
        <v>92</v>
      </c>
    </row>
    <row r="7" spans="1:20">
      <c r="A7" s="14">
        <v>2005</v>
      </c>
      <c r="B7">
        <v>41</v>
      </c>
      <c r="C7" s="1">
        <f t="shared" si="5"/>
        <v>1.4634146341463414</v>
      </c>
      <c r="D7">
        <v>60</v>
      </c>
      <c r="E7" s="1">
        <f t="shared" si="0"/>
        <v>1.1666666666666667</v>
      </c>
      <c r="F7">
        <v>70</v>
      </c>
      <c r="G7" s="1">
        <f t="shared" si="1"/>
        <v>1.1285714285714286</v>
      </c>
      <c r="H7">
        <v>79</v>
      </c>
      <c r="I7" s="1">
        <f t="shared" si="2"/>
        <v>1.1139240506329113</v>
      </c>
      <c r="J7">
        <v>88</v>
      </c>
    </row>
    <row r="8" spans="1:20">
      <c r="A8" s="14">
        <v>2006</v>
      </c>
      <c r="B8">
        <v>42</v>
      </c>
      <c r="C8" s="1">
        <f t="shared" si="5"/>
        <v>1.4523809523809523</v>
      </c>
      <c r="D8">
        <v>61</v>
      </c>
      <c r="E8" s="1">
        <f t="shared" si="0"/>
        <v>1.1475409836065573</v>
      </c>
      <c r="F8">
        <v>70</v>
      </c>
      <c r="G8" s="1">
        <f t="shared" si="1"/>
        <v>1.1285714285714286</v>
      </c>
      <c r="H8">
        <v>79</v>
      </c>
    </row>
    <row r="9" spans="1:20">
      <c r="A9" s="14">
        <v>2007</v>
      </c>
      <c r="B9">
        <v>43</v>
      </c>
      <c r="C9" s="1">
        <f t="shared" si="5"/>
        <v>1.441860465116279</v>
      </c>
      <c r="D9">
        <v>62</v>
      </c>
      <c r="E9" s="1">
        <f t="shared" si="0"/>
        <v>1.1612903225806452</v>
      </c>
      <c r="F9">
        <v>72</v>
      </c>
    </row>
    <row r="10" spans="1:20">
      <c r="A10" s="14">
        <v>2008</v>
      </c>
      <c r="B10">
        <v>43</v>
      </c>
      <c r="C10" s="1">
        <f t="shared" si="5"/>
        <v>1.4651162790697674</v>
      </c>
      <c r="D10">
        <v>63</v>
      </c>
    </row>
    <row r="11" spans="1:20">
      <c r="A11" s="14">
        <v>2009</v>
      </c>
      <c r="B11">
        <v>42</v>
      </c>
    </row>
    <row r="12" spans="1:20">
      <c r="A12" t="s">
        <v>1</v>
      </c>
      <c r="C12" s="2">
        <f>AVERAGE(C2:C10)</f>
        <v>1.4712556693602261</v>
      </c>
      <c r="E12" s="3">
        <f>AVERAGE(E2:E9)</f>
        <v>1.1632823764402438</v>
      </c>
      <c r="G12" s="3">
        <f>AVERAGE(G2:G8)</f>
        <v>1.1451590587561815</v>
      </c>
      <c r="I12" s="3">
        <f>AVERAGE(I2:I7)</f>
        <v>1.1157471609003922</v>
      </c>
      <c r="J12" s="3"/>
      <c r="K12" s="3">
        <f>AVERAGE(K2:K6)</f>
        <v>1.0624232775416793</v>
      </c>
      <c r="L12" s="3"/>
      <c r="M12" s="3">
        <f>AVERAGE(M2:M5)</f>
        <v>1.0326106221968774</v>
      </c>
      <c r="N12" s="3"/>
      <c r="O12" s="3">
        <f>AVERAGE(O2:O4)</f>
        <v>1.0281090581062586</v>
      </c>
      <c r="P12" s="3"/>
      <c r="Q12" s="3">
        <f>AVERAGE(Q2:Q3)</f>
        <v>1.010204081632653</v>
      </c>
      <c r="R12" s="3"/>
      <c r="S12" s="3">
        <f>AVERAGE(S2)</f>
        <v>1.0101010101010102</v>
      </c>
    </row>
    <row r="15" spans="1:20">
      <c r="A15" t="s">
        <v>2</v>
      </c>
      <c r="B15">
        <v>1</v>
      </c>
      <c r="G15" t="s">
        <v>3</v>
      </c>
    </row>
    <row r="16" spans="1:20">
      <c r="A16" t="s">
        <v>4</v>
      </c>
      <c r="B16">
        <v>1</v>
      </c>
    </row>
    <row r="17" spans="1:6">
      <c r="D17" s="5" t="s">
        <v>5</v>
      </c>
    </row>
    <row r="21" spans="1:6">
      <c r="A21" t="s">
        <v>6</v>
      </c>
    </row>
    <row r="22" spans="1:6">
      <c r="A22" t="s">
        <v>7</v>
      </c>
      <c r="B22" t="s">
        <v>8</v>
      </c>
    </row>
    <row r="23" spans="1:6">
      <c r="A23">
        <v>1</v>
      </c>
      <c r="B23">
        <v>0.42</v>
      </c>
      <c r="E23" s="12" cm="1">
        <f t="array" ref="E23:E32">_xlfn.WEIBULL.DIST(A23:A32,1,1,1)</f>
        <v>0.63212055882855767</v>
      </c>
      <c r="F23" s="12"/>
    </row>
    <row r="24" spans="1:6">
      <c r="A24">
        <v>2</v>
      </c>
      <c r="B24">
        <v>0.6</v>
      </c>
      <c r="E24">
        <v>0.8646647167633873</v>
      </c>
    </row>
    <row r="25" spans="1:6">
      <c r="A25">
        <v>3</v>
      </c>
      <c r="B25">
        <v>0.71</v>
      </c>
      <c r="E25">
        <v>0.95021293163213605</v>
      </c>
    </row>
    <row r="26" spans="1:6">
      <c r="A26">
        <v>4</v>
      </c>
      <c r="B26">
        <v>0.8</v>
      </c>
      <c r="E26">
        <v>0.98168436111126578</v>
      </c>
    </row>
    <row r="27" spans="1:6">
      <c r="A27">
        <v>5</v>
      </c>
      <c r="B27">
        <v>0.88</v>
      </c>
      <c r="E27">
        <v>0.99326205300091452</v>
      </c>
    </row>
    <row r="28" spans="1:6">
      <c r="A28">
        <v>6</v>
      </c>
      <c r="B28">
        <v>0.93</v>
      </c>
      <c r="E28">
        <v>0.99752124782333362</v>
      </c>
    </row>
    <row r="29" spans="1:6">
      <c r="A29">
        <v>7</v>
      </c>
      <c r="B29">
        <v>0.96</v>
      </c>
      <c r="E29">
        <v>0.99908811803444553</v>
      </c>
    </row>
    <row r="30" spans="1:6">
      <c r="A30">
        <v>8</v>
      </c>
      <c r="B30">
        <v>0.98</v>
      </c>
      <c r="E30">
        <v>0.99966453737209748</v>
      </c>
    </row>
    <row r="31" spans="1:6">
      <c r="A31">
        <v>9</v>
      </c>
      <c r="B31">
        <v>0.99</v>
      </c>
      <c r="E31">
        <v>0.99987659019591335</v>
      </c>
    </row>
    <row r="32" spans="1:6">
      <c r="A32">
        <v>10</v>
      </c>
      <c r="B32">
        <v>1</v>
      </c>
      <c r="E32">
        <v>0.99995460007023751</v>
      </c>
    </row>
    <row r="36" spans="1:1">
      <c r="A36" t="s">
        <v>9</v>
      </c>
    </row>
    <row r="37" spans="1:1">
      <c r="A37">
        <v>1</v>
      </c>
    </row>
  </sheetData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F92D0-E30F-457B-9200-42A6F9D8296E}">
  <dimension ref="A1:T21"/>
  <sheetViews>
    <sheetView zoomScale="130" zoomScaleNormal="130" workbookViewId="0">
      <selection activeCell="T3" sqref="T3:T11"/>
    </sheetView>
  </sheetViews>
  <sheetFormatPr defaultRowHeight="15" outlineLevelRow="1"/>
  <cols>
    <col min="1" max="1" width="14.28515625" customWidth="1"/>
  </cols>
  <sheetData>
    <row r="1" spans="1:20">
      <c r="A1" s="15" t="s">
        <v>165</v>
      </c>
      <c r="B1" s="8">
        <v>6</v>
      </c>
      <c r="C1" s="8" t="s">
        <v>0</v>
      </c>
      <c r="D1" s="8">
        <v>18</v>
      </c>
      <c r="E1" s="8" t="s">
        <v>0</v>
      </c>
      <c r="F1" s="8">
        <v>30</v>
      </c>
      <c r="G1" s="8" t="s">
        <v>0</v>
      </c>
      <c r="H1" s="8">
        <v>42</v>
      </c>
      <c r="I1" s="8" t="s">
        <v>0</v>
      </c>
      <c r="J1" s="8">
        <v>54</v>
      </c>
      <c r="K1" s="8" t="s">
        <v>0</v>
      </c>
      <c r="L1" s="8">
        <v>66</v>
      </c>
      <c r="M1" s="8" t="s">
        <v>0</v>
      </c>
      <c r="N1" s="8">
        <v>78</v>
      </c>
      <c r="O1" s="8" t="s">
        <v>0</v>
      </c>
      <c r="P1" s="8">
        <v>90</v>
      </c>
      <c r="Q1" s="8" t="s">
        <v>0</v>
      </c>
      <c r="R1" s="8">
        <v>102</v>
      </c>
      <c r="S1" s="8" t="s">
        <v>0</v>
      </c>
      <c r="T1" s="8">
        <v>114</v>
      </c>
    </row>
    <row r="2" spans="1:20" outlineLevel="1">
      <c r="A2">
        <v>2000</v>
      </c>
      <c r="B2">
        <v>42</v>
      </c>
      <c r="C2" s="46">
        <f>D2/B2</f>
        <v>1.4285714285714286</v>
      </c>
      <c r="D2">
        <v>60</v>
      </c>
      <c r="E2" s="46">
        <f>F2/D2</f>
        <v>1.1833333333333333</v>
      </c>
      <c r="F2">
        <v>71</v>
      </c>
      <c r="G2" s="46">
        <f>H2/F2</f>
        <v>1.1267605633802817</v>
      </c>
      <c r="H2">
        <v>80</v>
      </c>
      <c r="I2" s="46">
        <f>J2/H2</f>
        <v>1.1000000000000001</v>
      </c>
      <c r="J2">
        <v>88</v>
      </c>
      <c r="K2" s="46">
        <f>L2/J2</f>
        <v>1.0568181818181819</v>
      </c>
      <c r="L2">
        <v>93</v>
      </c>
      <c r="M2" s="46">
        <f>N2/L2</f>
        <v>1.032258064516129</v>
      </c>
      <c r="N2">
        <v>96</v>
      </c>
      <c r="O2" s="46">
        <f>P2/N2</f>
        <v>1.0208333333333333</v>
      </c>
      <c r="P2">
        <v>98</v>
      </c>
      <c r="Q2" s="46">
        <f>R2/P2</f>
        <v>1.010204081632653</v>
      </c>
      <c r="R2">
        <v>99</v>
      </c>
      <c r="S2" s="46">
        <f>T2/R2</f>
        <v>1.0101010101010102</v>
      </c>
      <c r="T2">
        <v>100</v>
      </c>
    </row>
    <row r="3" spans="1:20" outlineLevel="1">
      <c r="A3">
        <v>2001</v>
      </c>
      <c r="B3">
        <v>40</v>
      </c>
      <c r="C3" s="46">
        <f>D3/B3</f>
        <v>1.4750000000000001</v>
      </c>
      <c r="D3">
        <v>59</v>
      </c>
      <c r="E3" s="46">
        <f t="shared" ref="E3:E9" si="0">F3/D3</f>
        <v>1.152542372881356</v>
      </c>
      <c r="F3">
        <v>68</v>
      </c>
      <c r="G3" s="46">
        <f t="shared" ref="G3:G8" si="1">H3/F3</f>
        <v>1.1470588235294117</v>
      </c>
      <c r="H3">
        <v>78</v>
      </c>
      <c r="I3" s="46">
        <f t="shared" ref="I3:I7" si="2">J3/H3</f>
        <v>1.1153846153846154</v>
      </c>
      <c r="J3">
        <v>87</v>
      </c>
      <c r="K3" s="46">
        <f t="shared" ref="K3:K6" si="3">L3/J3</f>
        <v>1.0574712643678161</v>
      </c>
      <c r="L3">
        <v>92</v>
      </c>
      <c r="M3" s="46">
        <f t="shared" ref="M3:M5" si="4">N3/L3</f>
        <v>1.0326086956521738</v>
      </c>
      <c r="N3">
        <v>95</v>
      </c>
      <c r="O3" s="46">
        <f>P3/N3</f>
        <v>1.0315789473684212</v>
      </c>
      <c r="P3">
        <v>98</v>
      </c>
      <c r="Q3" s="46">
        <f>R3/P3</f>
        <v>1.010204081632653</v>
      </c>
      <c r="R3">
        <v>99</v>
      </c>
      <c r="S3" s="44"/>
      <c r="T3" s="51">
        <f>R3*S12</f>
        <v>100</v>
      </c>
    </row>
    <row r="4" spans="1:20" outlineLevel="1">
      <c r="A4">
        <v>2002</v>
      </c>
      <c r="B4">
        <v>36</v>
      </c>
      <c r="C4" s="46">
        <f>D4/B4</f>
        <v>1.5277777777777777</v>
      </c>
      <c r="D4">
        <v>55</v>
      </c>
      <c r="E4" s="46">
        <f t="shared" si="0"/>
        <v>1.1818181818181819</v>
      </c>
      <c r="F4">
        <v>65</v>
      </c>
      <c r="G4" s="46">
        <f t="shared" si="1"/>
        <v>1.1692307692307693</v>
      </c>
      <c r="H4">
        <v>76</v>
      </c>
      <c r="I4" s="46">
        <f t="shared" si="2"/>
        <v>1.118421052631579</v>
      </c>
      <c r="J4">
        <v>85</v>
      </c>
      <c r="K4" s="46">
        <f t="shared" si="3"/>
        <v>1.0705882352941176</v>
      </c>
      <c r="L4">
        <v>91</v>
      </c>
      <c r="M4" s="46">
        <f t="shared" si="4"/>
        <v>1.0329670329670331</v>
      </c>
      <c r="N4">
        <v>94</v>
      </c>
      <c r="O4" s="46">
        <f>P4/N4</f>
        <v>1.0319148936170213</v>
      </c>
      <c r="P4">
        <v>97</v>
      </c>
      <c r="Q4" s="44"/>
      <c r="R4" s="51">
        <f>P4*Q12</f>
        <v>97.989795918367335</v>
      </c>
      <c r="S4" s="44"/>
      <c r="T4" s="51">
        <f>R4*S12</f>
        <v>98.979591836734684</v>
      </c>
    </row>
    <row r="5" spans="1:20" outlineLevel="1">
      <c r="A5">
        <v>2003</v>
      </c>
      <c r="B5">
        <v>38</v>
      </c>
      <c r="C5" s="46">
        <f>D5/B5</f>
        <v>1.5</v>
      </c>
      <c r="D5">
        <v>57</v>
      </c>
      <c r="E5" s="46">
        <f t="shared" si="0"/>
        <v>1.1578947368421053</v>
      </c>
      <c r="F5">
        <v>66</v>
      </c>
      <c r="G5" s="46">
        <f t="shared" si="1"/>
        <v>1.1666666666666667</v>
      </c>
      <c r="H5">
        <v>77</v>
      </c>
      <c r="I5" s="46">
        <f t="shared" si="2"/>
        <v>1.1168831168831168</v>
      </c>
      <c r="J5">
        <v>86</v>
      </c>
      <c r="K5" s="46">
        <f t="shared" si="3"/>
        <v>1.069767441860465</v>
      </c>
      <c r="L5">
        <v>92</v>
      </c>
      <c r="M5" s="46">
        <f t="shared" si="4"/>
        <v>1.0326086956521738</v>
      </c>
      <c r="N5">
        <v>95</v>
      </c>
      <c r="O5" s="44"/>
      <c r="P5" s="51">
        <f>N5*O12</f>
        <v>97.670360520094576</v>
      </c>
      <c r="Q5" s="44"/>
      <c r="R5" s="51">
        <f>P5*Q12</f>
        <v>98.666996851932268</v>
      </c>
      <c r="S5" s="44"/>
      <c r="T5" s="51">
        <f>R5*S12</f>
        <v>99.663633183769974</v>
      </c>
    </row>
    <row r="6" spans="1:20" outlineLevel="1">
      <c r="A6">
        <v>2004</v>
      </c>
      <c r="B6">
        <v>39</v>
      </c>
      <c r="C6" s="46">
        <f t="shared" ref="C6:C10" si="5">D6/B6</f>
        <v>1.4871794871794872</v>
      </c>
      <c r="D6">
        <v>58</v>
      </c>
      <c r="E6" s="46">
        <f t="shared" si="0"/>
        <v>1.1551724137931034</v>
      </c>
      <c r="F6">
        <v>67</v>
      </c>
      <c r="G6" s="46">
        <f t="shared" si="1"/>
        <v>1.1492537313432836</v>
      </c>
      <c r="H6">
        <v>77</v>
      </c>
      <c r="I6" s="46">
        <f t="shared" si="2"/>
        <v>1.1298701298701299</v>
      </c>
      <c r="J6">
        <v>87</v>
      </c>
      <c r="K6" s="46">
        <f t="shared" si="3"/>
        <v>1.0574712643678161</v>
      </c>
      <c r="L6">
        <v>92</v>
      </c>
      <c r="M6" s="44"/>
      <c r="N6" s="51">
        <f>L6*M12</f>
        <v>95.000177242112713</v>
      </c>
      <c r="O6" s="44"/>
      <c r="P6" s="51">
        <f>N6*O12</f>
        <v>97.670542744316123</v>
      </c>
      <c r="Q6" s="44"/>
      <c r="R6" s="51">
        <f>P6*Q12</f>
        <v>98.667180935584639</v>
      </c>
      <c r="S6" s="44"/>
      <c r="T6" s="51">
        <f>R6*S12</f>
        <v>99.663819126853184</v>
      </c>
    </row>
    <row r="7" spans="1:20" outlineLevel="1">
      <c r="A7">
        <v>2005</v>
      </c>
      <c r="B7">
        <v>41</v>
      </c>
      <c r="C7" s="46">
        <f t="shared" si="5"/>
        <v>1.4634146341463414</v>
      </c>
      <c r="D7">
        <v>60</v>
      </c>
      <c r="E7" s="46">
        <f t="shared" si="0"/>
        <v>1.1666666666666667</v>
      </c>
      <c r="F7">
        <v>70</v>
      </c>
      <c r="G7" s="46">
        <f t="shared" si="1"/>
        <v>1.1285714285714286</v>
      </c>
      <c r="H7">
        <v>79</v>
      </c>
      <c r="I7" s="46">
        <f t="shared" si="2"/>
        <v>1.1139240506329113</v>
      </c>
      <c r="J7">
        <v>88</v>
      </c>
      <c r="K7" s="44"/>
      <c r="L7" s="51">
        <f>J7*K12</f>
        <v>93.493248423667779</v>
      </c>
      <c r="M7" s="44"/>
      <c r="N7" s="51">
        <f>L7*M12</f>
        <v>96.542121425970805</v>
      </c>
      <c r="O7" s="44"/>
      <c r="P7" s="51">
        <f>N7*O12</f>
        <v>99.255829526834901</v>
      </c>
      <c r="Q7" s="44"/>
      <c r="R7" s="51">
        <f>P7*Q12</f>
        <v>100.26864411384341</v>
      </c>
      <c r="S7" s="44"/>
      <c r="T7" s="51">
        <f>R7*S12</f>
        <v>101.28145870085193</v>
      </c>
    </row>
    <row r="8" spans="1:20" outlineLevel="1">
      <c r="A8">
        <v>2006</v>
      </c>
      <c r="B8">
        <v>42</v>
      </c>
      <c r="C8" s="46">
        <f t="shared" si="5"/>
        <v>1.4523809523809523</v>
      </c>
      <c r="D8">
        <v>61</v>
      </c>
      <c r="E8" s="46">
        <f t="shared" si="0"/>
        <v>1.1475409836065573</v>
      </c>
      <c r="F8">
        <v>70</v>
      </c>
      <c r="G8" s="46">
        <f t="shared" si="1"/>
        <v>1.1285714285714286</v>
      </c>
      <c r="H8">
        <v>79</v>
      </c>
      <c r="I8" s="44"/>
      <c r="J8" s="51">
        <f>I12*H8</f>
        <v>88.144025711130979</v>
      </c>
      <c r="K8" s="44"/>
      <c r="L8" s="51">
        <f>J8*K12</f>
        <v>93.646264691737827</v>
      </c>
      <c r="M8" s="44"/>
      <c r="N8" s="51">
        <f>L8*M12</f>
        <v>96.700127649748865</v>
      </c>
      <c r="O8" s="44"/>
      <c r="P8" s="51">
        <f>N8*O12</f>
        <v>99.418277156738284</v>
      </c>
      <c r="Q8" s="44"/>
      <c r="R8" s="51">
        <f>P8*Q12</f>
        <v>100.43274937262336</v>
      </c>
      <c r="S8" s="44"/>
      <c r="T8" s="51">
        <f>R8*S12</f>
        <v>101.44722158850846</v>
      </c>
    </row>
    <row r="9" spans="1:20" outlineLevel="1">
      <c r="A9">
        <v>2007</v>
      </c>
      <c r="B9">
        <v>43</v>
      </c>
      <c r="C9" s="46">
        <f t="shared" si="5"/>
        <v>1.441860465116279</v>
      </c>
      <c r="D9">
        <v>62</v>
      </c>
      <c r="E9" s="46">
        <f t="shared" si="0"/>
        <v>1.1612903225806452</v>
      </c>
      <c r="F9">
        <v>72</v>
      </c>
      <c r="G9" s="44"/>
      <c r="H9" s="50">
        <f>G12*F9</f>
        <v>82.451452230445071</v>
      </c>
      <c r="I9" s="44"/>
      <c r="J9" s="51">
        <f>I12*H9</f>
        <v>91.994973738233398</v>
      </c>
      <c r="K9" s="44"/>
      <c r="L9" s="51">
        <f>K12*J9</f>
        <v>97.737601516334635</v>
      </c>
      <c r="M9" s="44"/>
      <c r="N9" s="51">
        <f>M12*L9</f>
        <v>100.92488551381277</v>
      </c>
      <c r="O9" s="44"/>
      <c r="P9" s="51">
        <f>O12*N9</f>
        <v>103.76178898508803</v>
      </c>
      <c r="Q9" s="44"/>
      <c r="R9" s="51">
        <f>Q12*P9</f>
        <v>104.82058275024198</v>
      </c>
      <c r="S9" s="44"/>
      <c r="T9" s="51">
        <f>S12*R9</f>
        <v>105.87937651539595</v>
      </c>
    </row>
    <row r="10" spans="1:20" outlineLevel="1">
      <c r="A10">
        <v>2008</v>
      </c>
      <c r="B10">
        <v>43</v>
      </c>
      <c r="C10" s="46">
        <f t="shared" si="5"/>
        <v>1.4651162790697674</v>
      </c>
      <c r="D10">
        <v>63</v>
      </c>
      <c r="F10" s="50">
        <f>E12*D10</f>
        <v>73.286789715735353</v>
      </c>
      <c r="G10" s="44"/>
      <c r="H10" s="50">
        <f>G12*F10</f>
        <v>83.925031130133704</v>
      </c>
      <c r="I10" s="44"/>
      <c r="J10" s="50">
        <f>I12*H10</f>
        <v>93.639115211923709</v>
      </c>
      <c r="K10" s="44"/>
      <c r="L10" s="50">
        <f>K12*J10</f>
        <v>99.484375689554909</v>
      </c>
      <c r="M10" s="44"/>
      <c r="N10" s="50">
        <f>M12*L10</f>
        <v>102.7286230796592</v>
      </c>
      <c r="O10" s="44"/>
      <c r="P10" s="50">
        <f>O12*N10</f>
        <v>105.61622791498128</v>
      </c>
      <c r="Q10" s="44"/>
      <c r="R10" s="50">
        <f>Q12*P10</f>
        <v>106.69394452635864</v>
      </c>
      <c r="S10" s="44"/>
      <c r="T10" s="50">
        <f>S12*R10</f>
        <v>107.771661137736</v>
      </c>
    </row>
    <row r="11" spans="1:20" outlineLevel="1">
      <c r="A11">
        <v>2009</v>
      </c>
      <c r="B11">
        <v>42</v>
      </c>
      <c r="C11" s="44"/>
      <c r="D11" s="48">
        <f>C12*B11</f>
        <v>61.792738113129495</v>
      </c>
      <c r="F11" s="50">
        <f>D11*E12</f>
        <v>71.882403238990904</v>
      </c>
      <c r="G11" s="44"/>
      <c r="H11" s="51">
        <f>F11*G12</f>
        <v>82.316785234295111</v>
      </c>
      <c r="I11" s="44"/>
      <c r="J11" s="51">
        <f>H11*I12</f>
        <v>91.84471941961209</v>
      </c>
      <c r="K11" s="44"/>
      <c r="L11" s="51">
        <f>J11*K12</f>
        <v>97.577967830680194</v>
      </c>
      <c r="M11" s="44"/>
      <c r="N11" s="51">
        <f>L11*M12</f>
        <v>100.76004607434557</v>
      </c>
      <c r="O11" s="44"/>
      <c r="P11" s="51">
        <f>N11*O12</f>
        <v>103.59231606423864</v>
      </c>
      <c r="Q11" s="44"/>
      <c r="R11" s="51">
        <f>P11*Q12</f>
        <v>104.64938051387372</v>
      </c>
      <c r="S11" s="44"/>
      <c r="T11" s="51">
        <f>R11*S12</f>
        <v>105.70644496350882</v>
      </c>
    </row>
    <row r="12" spans="1:20">
      <c r="A12" t="s">
        <v>1</v>
      </c>
      <c r="C12" s="47">
        <f>AVERAGE(C2:C10)</f>
        <v>1.4712556693602261</v>
      </c>
      <c r="E12" s="49">
        <f>AVERAGE(E2:E9)</f>
        <v>1.1632823764402438</v>
      </c>
      <c r="G12" s="49">
        <f>AVERAGE(G2:G8)</f>
        <v>1.1451590587561815</v>
      </c>
      <c r="I12" s="49">
        <f>AVERAGE(I2:I7)</f>
        <v>1.1157471609003922</v>
      </c>
      <c r="J12" s="3"/>
      <c r="K12" s="49">
        <f>AVERAGE(K2:K6)</f>
        <v>1.0624232775416793</v>
      </c>
      <c r="L12" s="49"/>
      <c r="M12" s="49">
        <f>AVERAGE(M2:M5)</f>
        <v>1.0326106221968774</v>
      </c>
      <c r="N12" s="3"/>
      <c r="O12" s="49">
        <f>AVERAGE(O2:O4)</f>
        <v>1.0281090581062586</v>
      </c>
      <c r="P12" s="3"/>
      <c r="Q12" s="49">
        <f>AVERAGE(Q2:Q3)</f>
        <v>1.010204081632653</v>
      </c>
      <c r="R12" s="3"/>
      <c r="S12" s="49">
        <f>AVERAGE(S2)</f>
        <v>1.0101010101010102</v>
      </c>
    </row>
    <row r="19" spans="2:20">
      <c r="B19" t="s">
        <v>177</v>
      </c>
      <c r="D19" s="54" t="s">
        <v>182</v>
      </c>
      <c r="E19" s="55"/>
      <c r="F19" s="55" t="s">
        <v>178</v>
      </c>
      <c r="G19" s="55"/>
      <c r="H19" s="55" t="s">
        <v>179</v>
      </c>
      <c r="I19" s="55"/>
      <c r="J19" s="55" t="s">
        <v>180</v>
      </c>
      <c r="K19" s="55"/>
      <c r="L19" s="55" t="s">
        <v>181</v>
      </c>
      <c r="M19" s="55"/>
      <c r="N19" s="55" t="s">
        <v>183</v>
      </c>
      <c r="O19" s="55"/>
      <c r="P19" s="55" t="s">
        <v>184</v>
      </c>
      <c r="Q19" s="55"/>
      <c r="R19" s="55" t="s">
        <v>185</v>
      </c>
      <c r="S19" s="55"/>
      <c r="T19" s="55" t="s">
        <v>186</v>
      </c>
    </row>
    <row r="20" spans="2:20">
      <c r="B20" t="s">
        <v>10</v>
      </c>
      <c r="D20" s="53">
        <f>F20*C12</f>
        <v>2.5168201181787815</v>
      </c>
      <c r="E20" s="52"/>
      <c r="F20" s="53">
        <f>H20*E12</f>
        <v>1.7106612879005714</v>
      </c>
      <c r="G20" s="52"/>
      <c r="H20" s="53">
        <f>J20*G12</f>
        <v>1.4705468960471659</v>
      </c>
      <c r="I20" s="52"/>
      <c r="J20" s="53">
        <f>L20*I12</f>
        <v>1.2841420454241574</v>
      </c>
      <c r="K20" s="52"/>
      <c r="L20" s="53">
        <f>N20*K12</f>
        <v>1.1509256670551355</v>
      </c>
      <c r="M20" s="52"/>
      <c r="N20" s="53">
        <f>P20*M12</f>
        <v>1.0833023818136216</v>
      </c>
      <c r="O20" s="52"/>
      <c r="P20" s="53">
        <f>R20*O12</f>
        <v>1.0490908756186312</v>
      </c>
      <c r="Q20" s="52"/>
      <c r="R20" s="53">
        <f>S12*Q12</f>
        <v>1.0204081632653061</v>
      </c>
      <c r="S20" s="52"/>
      <c r="T20" s="53">
        <f>S12</f>
        <v>1.0101010101010102</v>
      </c>
    </row>
    <row r="21" spans="2:20">
      <c r="B21" t="s">
        <v>11</v>
      </c>
      <c r="C21" t="s">
        <v>12</v>
      </c>
      <c r="D21" s="52">
        <f>1/D20</f>
        <v>0.39732676673119527</v>
      </c>
      <c r="E21" s="52"/>
      <c r="F21" s="52">
        <f>1/F20</f>
        <v>0.58456925814183902</v>
      </c>
      <c r="G21" s="52"/>
      <c r="H21" s="52">
        <f>1/H20</f>
        <v>0.68001911580514895</v>
      </c>
      <c r="I21" s="52"/>
      <c r="J21" s="52">
        <f>1/J20</f>
        <v>0.77873005059163514</v>
      </c>
      <c r="K21" s="52"/>
      <c r="L21" s="52">
        <f>1/L20</f>
        <v>0.86886584305543568</v>
      </c>
      <c r="M21" s="52"/>
      <c r="N21" s="52">
        <f>1/N20</f>
        <v>0.92310329672297031</v>
      </c>
      <c r="O21" s="52"/>
      <c r="P21" s="52">
        <f>1/P20</f>
        <v>0.953206269581095</v>
      </c>
      <c r="Q21" s="52"/>
      <c r="R21" s="52">
        <f>1/R20</f>
        <v>0.98</v>
      </c>
      <c r="S21" s="52"/>
      <c r="T21" s="52">
        <f>1/T20</f>
        <v>0.99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830B7-B57B-4772-A836-9306AF8ED338}">
  <dimension ref="A1:F56"/>
  <sheetViews>
    <sheetView workbookViewId="0">
      <selection activeCell="L38" sqref="L38"/>
    </sheetView>
  </sheetViews>
  <sheetFormatPr defaultRowHeight="15"/>
  <sheetData>
    <row r="1" spans="1:6">
      <c r="A1" t="s">
        <v>26</v>
      </c>
      <c r="B1" t="s">
        <v>27</v>
      </c>
      <c r="C1" t="s">
        <v>28</v>
      </c>
      <c r="D1" t="s">
        <v>29</v>
      </c>
      <c r="E1" t="s">
        <v>30</v>
      </c>
      <c r="F1" t="s">
        <v>31</v>
      </c>
    </row>
    <row r="2" spans="1:6">
      <c r="A2">
        <v>2000</v>
      </c>
      <c r="B2">
        <v>0</v>
      </c>
      <c r="C2">
        <v>1</v>
      </c>
      <c r="D2">
        <v>42</v>
      </c>
      <c r="E2">
        <v>120</v>
      </c>
      <c r="F2">
        <v>100</v>
      </c>
    </row>
    <row r="3" spans="1:6">
      <c r="A3">
        <v>2000</v>
      </c>
      <c r="B3">
        <v>1</v>
      </c>
      <c r="C3">
        <v>2</v>
      </c>
      <c r="D3">
        <v>18</v>
      </c>
      <c r="E3">
        <v>120</v>
      </c>
      <c r="F3">
        <v>100</v>
      </c>
    </row>
    <row r="4" spans="1:6">
      <c r="A4">
        <v>2000</v>
      </c>
      <c r="B4">
        <v>2</v>
      </c>
      <c r="C4">
        <v>3</v>
      </c>
      <c r="D4">
        <v>11</v>
      </c>
      <c r="E4">
        <v>120</v>
      </c>
      <c r="F4">
        <v>100</v>
      </c>
    </row>
    <row r="5" spans="1:6">
      <c r="A5">
        <v>2000</v>
      </c>
      <c r="B5">
        <v>3</v>
      </c>
      <c r="C5">
        <v>4</v>
      </c>
      <c r="D5">
        <v>9</v>
      </c>
      <c r="E5">
        <v>120</v>
      </c>
      <c r="F5">
        <v>100</v>
      </c>
    </row>
    <row r="6" spans="1:6">
      <c r="A6">
        <v>2000</v>
      </c>
      <c r="B6">
        <v>4</v>
      </c>
      <c r="C6">
        <v>5</v>
      </c>
      <c r="D6">
        <v>8</v>
      </c>
      <c r="E6">
        <v>120</v>
      </c>
      <c r="F6">
        <v>100</v>
      </c>
    </row>
    <row r="7" spans="1:6">
      <c r="A7">
        <v>2000</v>
      </c>
      <c r="B7">
        <v>5</v>
      </c>
      <c r="C7">
        <v>6</v>
      </c>
      <c r="D7">
        <v>5</v>
      </c>
      <c r="E7">
        <v>120</v>
      </c>
      <c r="F7">
        <v>100</v>
      </c>
    </row>
    <row r="8" spans="1:6">
      <c r="A8">
        <v>2000</v>
      </c>
      <c r="B8">
        <v>6</v>
      </c>
      <c r="C8">
        <v>7</v>
      </c>
      <c r="D8">
        <v>3</v>
      </c>
      <c r="E8">
        <v>120</v>
      </c>
      <c r="F8">
        <v>100</v>
      </c>
    </row>
    <row r="9" spans="1:6">
      <c r="A9">
        <v>2000</v>
      </c>
      <c r="B9">
        <v>7</v>
      </c>
      <c r="C9">
        <v>8</v>
      </c>
      <c r="D9">
        <v>2</v>
      </c>
      <c r="E9">
        <v>120</v>
      </c>
      <c r="F9">
        <v>100</v>
      </c>
    </row>
    <row r="10" spans="1:6">
      <c r="A10">
        <v>2000</v>
      </c>
      <c r="B10">
        <v>8</v>
      </c>
      <c r="C10">
        <v>9</v>
      </c>
      <c r="D10">
        <v>1</v>
      </c>
      <c r="E10">
        <v>120</v>
      </c>
      <c r="F10">
        <v>100</v>
      </c>
    </row>
    <row r="11" spans="1:6">
      <c r="A11">
        <v>2000</v>
      </c>
      <c r="B11">
        <v>9</v>
      </c>
      <c r="C11">
        <v>10</v>
      </c>
      <c r="D11">
        <v>1</v>
      </c>
      <c r="E11">
        <v>120</v>
      </c>
      <c r="F11">
        <v>100</v>
      </c>
    </row>
    <row r="12" spans="1:6">
      <c r="A12">
        <v>2001</v>
      </c>
      <c r="B12">
        <v>0</v>
      </c>
      <c r="C12">
        <v>1</v>
      </c>
      <c r="D12">
        <v>40</v>
      </c>
      <c r="E12">
        <v>108</v>
      </c>
      <c r="F12">
        <v>99</v>
      </c>
    </row>
    <row r="13" spans="1:6">
      <c r="A13">
        <v>2001</v>
      </c>
      <c r="B13">
        <v>1</v>
      </c>
      <c r="C13">
        <v>2</v>
      </c>
      <c r="D13">
        <v>19</v>
      </c>
      <c r="E13">
        <v>108</v>
      </c>
      <c r="F13">
        <v>99</v>
      </c>
    </row>
    <row r="14" spans="1:6">
      <c r="A14">
        <v>2001</v>
      </c>
      <c r="B14">
        <v>2</v>
      </c>
      <c r="C14">
        <v>3</v>
      </c>
      <c r="D14">
        <v>9</v>
      </c>
      <c r="E14">
        <v>108</v>
      </c>
      <c r="F14">
        <v>99</v>
      </c>
    </row>
    <row r="15" spans="1:6">
      <c r="A15">
        <v>2001</v>
      </c>
      <c r="B15">
        <v>3</v>
      </c>
      <c r="C15">
        <v>4</v>
      </c>
      <c r="D15">
        <v>10</v>
      </c>
      <c r="E15">
        <v>108</v>
      </c>
      <c r="F15">
        <v>99</v>
      </c>
    </row>
    <row r="16" spans="1:6">
      <c r="A16">
        <v>2001</v>
      </c>
      <c r="B16">
        <v>4</v>
      </c>
      <c r="C16">
        <v>5</v>
      </c>
      <c r="D16">
        <v>9</v>
      </c>
      <c r="E16">
        <v>108</v>
      </c>
      <c r="F16">
        <v>99</v>
      </c>
    </row>
    <row r="17" spans="1:6">
      <c r="A17">
        <v>2001</v>
      </c>
      <c r="B17">
        <v>5</v>
      </c>
      <c r="C17">
        <v>6</v>
      </c>
      <c r="D17">
        <v>5</v>
      </c>
      <c r="E17">
        <v>108</v>
      </c>
      <c r="F17">
        <v>99</v>
      </c>
    </row>
    <row r="18" spans="1:6">
      <c r="A18">
        <v>2001</v>
      </c>
      <c r="B18">
        <v>6</v>
      </c>
      <c r="C18">
        <v>7</v>
      </c>
      <c r="D18">
        <v>3</v>
      </c>
      <c r="E18">
        <v>108</v>
      </c>
      <c r="F18">
        <v>99</v>
      </c>
    </row>
    <row r="19" spans="1:6">
      <c r="A19">
        <v>2001</v>
      </c>
      <c r="B19">
        <v>7</v>
      </c>
      <c r="C19">
        <v>8</v>
      </c>
      <c r="D19">
        <v>3</v>
      </c>
      <c r="E19">
        <v>108</v>
      </c>
      <c r="F19">
        <v>99</v>
      </c>
    </row>
    <row r="20" spans="1:6">
      <c r="A20">
        <v>2001</v>
      </c>
      <c r="B20">
        <v>8</v>
      </c>
      <c r="C20">
        <v>9</v>
      </c>
      <c r="D20">
        <v>1</v>
      </c>
      <c r="E20">
        <v>108</v>
      </c>
      <c r="F20">
        <v>99</v>
      </c>
    </row>
    <row r="21" spans="1:6">
      <c r="A21">
        <v>2002</v>
      </c>
      <c r="B21">
        <v>0</v>
      </c>
      <c r="C21">
        <v>1</v>
      </c>
      <c r="D21">
        <v>36</v>
      </c>
      <c r="E21">
        <v>96</v>
      </c>
      <c r="F21">
        <v>97</v>
      </c>
    </row>
    <row r="22" spans="1:6">
      <c r="A22">
        <v>2002</v>
      </c>
      <c r="B22">
        <v>1</v>
      </c>
      <c r="C22">
        <v>2</v>
      </c>
      <c r="D22">
        <v>19</v>
      </c>
      <c r="E22">
        <v>96</v>
      </c>
      <c r="F22">
        <v>97</v>
      </c>
    </row>
    <row r="23" spans="1:6">
      <c r="A23">
        <v>2002</v>
      </c>
      <c r="B23">
        <v>2</v>
      </c>
      <c r="C23">
        <v>3</v>
      </c>
      <c r="D23">
        <v>10</v>
      </c>
      <c r="E23">
        <v>96</v>
      </c>
      <c r="F23">
        <v>97</v>
      </c>
    </row>
    <row r="24" spans="1:6">
      <c r="A24">
        <v>2002</v>
      </c>
      <c r="B24">
        <v>3</v>
      </c>
      <c r="C24">
        <v>4</v>
      </c>
      <c r="D24">
        <v>11</v>
      </c>
      <c r="E24">
        <v>96</v>
      </c>
      <c r="F24">
        <v>97</v>
      </c>
    </row>
    <row r="25" spans="1:6">
      <c r="A25">
        <v>2002</v>
      </c>
      <c r="B25">
        <v>4</v>
      </c>
      <c r="C25">
        <v>5</v>
      </c>
      <c r="D25">
        <v>9</v>
      </c>
      <c r="E25">
        <v>96</v>
      </c>
      <c r="F25">
        <v>97</v>
      </c>
    </row>
    <row r="26" spans="1:6">
      <c r="A26">
        <v>2002</v>
      </c>
      <c r="B26">
        <v>5</v>
      </c>
      <c r="C26">
        <v>6</v>
      </c>
      <c r="D26">
        <v>6</v>
      </c>
      <c r="E26">
        <v>96</v>
      </c>
      <c r="F26">
        <v>97</v>
      </c>
    </row>
    <row r="27" spans="1:6">
      <c r="A27">
        <v>2002</v>
      </c>
      <c r="B27">
        <v>6</v>
      </c>
      <c r="C27">
        <v>7</v>
      </c>
      <c r="D27">
        <v>3</v>
      </c>
      <c r="E27">
        <v>96</v>
      </c>
      <c r="F27">
        <v>97</v>
      </c>
    </row>
    <row r="28" spans="1:6">
      <c r="A28">
        <v>2002</v>
      </c>
      <c r="B28">
        <v>7</v>
      </c>
      <c r="C28">
        <v>8</v>
      </c>
      <c r="D28">
        <v>3</v>
      </c>
      <c r="E28">
        <v>96</v>
      </c>
      <c r="F28">
        <v>97</v>
      </c>
    </row>
    <row r="29" spans="1:6">
      <c r="A29">
        <v>2003</v>
      </c>
      <c r="B29">
        <v>0</v>
      </c>
      <c r="C29">
        <v>1</v>
      </c>
      <c r="D29">
        <v>38</v>
      </c>
      <c r="E29">
        <v>84</v>
      </c>
      <c r="F29">
        <v>95</v>
      </c>
    </row>
    <row r="30" spans="1:6">
      <c r="A30">
        <v>2003</v>
      </c>
      <c r="B30">
        <v>1</v>
      </c>
      <c r="C30">
        <v>2</v>
      </c>
      <c r="D30">
        <v>19</v>
      </c>
      <c r="E30">
        <v>84</v>
      </c>
      <c r="F30">
        <v>95</v>
      </c>
    </row>
    <row r="31" spans="1:6">
      <c r="A31">
        <v>2003</v>
      </c>
      <c r="B31">
        <v>2</v>
      </c>
      <c r="C31">
        <v>3</v>
      </c>
      <c r="D31">
        <v>9</v>
      </c>
      <c r="E31">
        <v>84</v>
      </c>
      <c r="F31">
        <v>95</v>
      </c>
    </row>
    <row r="32" spans="1:6">
      <c r="A32">
        <v>2003</v>
      </c>
      <c r="B32">
        <v>3</v>
      </c>
      <c r="C32">
        <v>4</v>
      </c>
      <c r="D32">
        <v>11</v>
      </c>
      <c r="E32">
        <v>84</v>
      </c>
      <c r="F32">
        <v>95</v>
      </c>
    </row>
    <row r="33" spans="1:6">
      <c r="A33">
        <v>2003</v>
      </c>
      <c r="B33">
        <v>4</v>
      </c>
      <c r="C33">
        <v>5</v>
      </c>
      <c r="D33">
        <v>9</v>
      </c>
      <c r="E33">
        <v>84</v>
      </c>
      <c r="F33">
        <v>95</v>
      </c>
    </row>
    <row r="34" spans="1:6">
      <c r="A34">
        <v>2003</v>
      </c>
      <c r="B34">
        <v>5</v>
      </c>
      <c r="C34">
        <v>6</v>
      </c>
      <c r="D34">
        <v>6</v>
      </c>
      <c r="E34">
        <v>84</v>
      </c>
      <c r="F34">
        <v>95</v>
      </c>
    </row>
    <row r="35" spans="1:6">
      <c r="A35">
        <v>2003</v>
      </c>
      <c r="B35">
        <v>6</v>
      </c>
      <c r="C35">
        <v>7</v>
      </c>
      <c r="D35">
        <v>3</v>
      </c>
      <c r="E35">
        <v>84</v>
      </c>
      <c r="F35">
        <v>95</v>
      </c>
    </row>
    <row r="36" spans="1:6">
      <c r="A36">
        <v>2004</v>
      </c>
      <c r="B36">
        <v>0</v>
      </c>
      <c r="C36">
        <v>1</v>
      </c>
      <c r="D36">
        <v>39</v>
      </c>
      <c r="E36">
        <v>72</v>
      </c>
      <c r="F36">
        <v>92</v>
      </c>
    </row>
    <row r="37" spans="1:6">
      <c r="A37">
        <v>2004</v>
      </c>
      <c r="B37">
        <v>1</v>
      </c>
      <c r="C37">
        <v>2</v>
      </c>
      <c r="D37">
        <v>19</v>
      </c>
      <c r="E37">
        <v>72</v>
      </c>
      <c r="F37">
        <v>92</v>
      </c>
    </row>
    <row r="38" spans="1:6">
      <c r="A38">
        <v>2004</v>
      </c>
      <c r="B38">
        <v>2</v>
      </c>
      <c r="C38">
        <v>3</v>
      </c>
      <c r="D38">
        <v>9</v>
      </c>
      <c r="E38">
        <v>72</v>
      </c>
      <c r="F38">
        <v>92</v>
      </c>
    </row>
    <row r="39" spans="1:6">
      <c r="A39">
        <v>2004</v>
      </c>
      <c r="B39">
        <v>3</v>
      </c>
      <c r="C39">
        <v>4</v>
      </c>
      <c r="D39">
        <v>10</v>
      </c>
      <c r="E39">
        <v>72</v>
      </c>
      <c r="F39">
        <v>92</v>
      </c>
    </row>
    <row r="40" spans="1:6">
      <c r="A40">
        <v>2004</v>
      </c>
      <c r="B40">
        <v>4</v>
      </c>
      <c r="C40">
        <v>5</v>
      </c>
      <c r="D40">
        <v>10</v>
      </c>
      <c r="E40">
        <v>72</v>
      </c>
      <c r="F40">
        <v>92</v>
      </c>
    </row>
    <row r="41" spans="1:6">
      <c r="A41">
        <v>2004</v>
      </c>
      <c r="B41">
        <v>5</v>
      </c>
      <c r="C41">
        <v>6</v>
      </c>
      <c r="D41">
        <v>5</v>
      </c>
      <c r="E41">
        <v>72</v>
      </c>
      <c r="F41">
        <v>92</v>
      </c>
    </row>
    <row r="42" spans="1:6">
      <c r="A42">
        <v>2005</v>
      </c>
      <c r="B42">
        <v>0</v>
      </c>
      <c r="C42">
        <v>1</v>
      </c>
      <c r="D42">
        <v>41</v>
      </c>
      <c r="E42">
        <v>60</v>
      </c>
      <c r="F42">
        <v>88</v>
      </c>
    </row>
    <row r="43" spans="1:6">
      <c r="A43">
        <v>2005</v>
      </c>
      <c r="B43">
        <v>1</v>
      </c>
      <c r="C43">
        <v>2</v>
      </c>
      <c r="D43">
        <v>19</v>
      </c>
      <c r="E43">
        <v>60</v>
      </c>
      <c r="F43">
        <v>88</v>
      </c>
    </row>
    <row r="44" spans="1:6">
      <c r="A44">
        <v>2005</v>
      </c>
      <c r="B44">
        <v>2</v>
      </c>
      <c r="C44">
        <v>3</v>
      </c>
      <c r="D44">
        <v>10</v>
      </c>
      <c r="E44">
        <v>60</v>
      </c>
      <c r="F44">
        <v>88</v>
      </c>
    </row>
    <row r="45" spans="1:6">
      <c r="A45">
        <v>2005</v>
      </c>
      <c r="B45">
        <v>3</v>
      </c>
      <c r="C45">
        <v>4</v>
      </c>
      <c r="D45">
        <v>9</v>
      </c>
      <c r="E45">
        <v>60</v>
      </c>
      <c r="F45">
        <v>88</v>
      </c>
    </row>
    <row r="46" spans="1:6">
      <c r="A46">
        <v>2005</v>
      </c>
      <c r="B46">
        <v>4</v>
      </c>
      <c r="C46">
        <v>5</v>
      </c>
      <c r="D46">
        <v>9</v>
      </c>
      <c r="E46">
        <v>60</v>
      </c>
      <c r="F46">
        <v>88</v>
      </c>
    </row>
    <row r="47" spans="1:6">
      <c r="A47">
        <v>2006</v>
      </c>
      <c r="B47">
        <v>0</v>
      </c>
      <c r="C47">
        <v>1</v>
      </c>
      <c r="D47">
        <v>42</v>
      </c>
      <c r="E47">
        <v>48</v>
      </c>
      <c r="F47">
        <v>79</v>
      </c>
    </row>
    <row r="48" spans="1:6">
      <c r="A48">
        <v>2006</v>
      </c>
      <c r="B48">
        <v>1</v>
      </c>
      <c r="C48">
        <v>2</v>
      </c>
      <c r="D48">
        <v>19</v>
      </c>
      <c r="E48">
        <v>48</v>
      </c>
      <c r="F48">
        <v>79</v>
      </c>
    </row>
    <row r="49" spans="1:6">
      <c r="A49">
        <v>2006</v>
      </c>
      <c r="B49">
        <v>2</v>
      </c>
      <c r="C49">
        <v>3</v>
      </c>
      <c r="D49">
        <v>9</v>
      </c>
      <c r="E49">
        <v>48</v>
      </c>
      <c r="F49">
        <v>79</v>
      </c>
    </row>
    <row r="50" spans="1:6">
      <c r="A50">
        <v>2006</v>
      </c>
      <c r="B50">
        <v>3</v>
      </c>
      <c r="C50">
        <v>4</v>
      </c>
      <c r="D50">
        <v>9</v>
      </c>
      <c r="E50">
        <v>48</v>
      </c>
      <c r="F50">
        <v>79</v>
      </c>
    </row>
    <row r="51" spans="1:6">
      <c r="A51">
        <v>2007</v>
      </c>
      <c r="B51">
        <v>0</v>
      </c>
      <c r="C51">
        <v>1</v>
      </c>
      <c r="D51">
        <v>43</v>
      </c>
      <c r="E51">
        <v>36</v>
      </c>
      <c r="F51">
        <v>72</v>
      </c>
    </row>
    <row r="52" spans="1:6">
      <c r="A52">
        <v>2007</v>
      </c>
      <c r="B52">
        <v>1</v>
      </c>
      <c r="C52">
        <v>2</v>
      </c>
      <c r="D52">
        <v>19</v>
      </c>
      <c r="E52">
        <v>36</v>
      </c>
      <c r="F52">
        <v>72</v>
      </c>
    </row>
    <row r="53" spans="1:6">
      <c r="A53">
        <v>2007</v>
      </c>
      <c r="B53">
        <v>2</v>
      </c>
      <c r="C53">
        <v>3</v>
      </c>
      <c r="D53">
        <v>10</v>
      </c>
      <c r="E53">
        <v>36</v>
      </c>
      <c r="F53">
        <v>72</v>
      </c>
    </row>
    <row r="54" spans="1:6">
      <c r="A54">
        <v>2008</v>
      </c>
      <c r="B54">
        <v>0</v>
      </c>
      <c r="C54">
        <v>1</v>
      </c>
      <c r="D54">
        <v>43</v>
      </c>
      <c r="E54">
        <v>24</v>
      </c>
      <c r="F54">
        <v>63</v>
      </c>
    </row>
    <row r="55" spans="1:6">
      <c r="A55">
        <v>2008</v>
      </c>
      <c r="B55">
        <v>1</v>
      </c>
      <c r="C55">
        <v>2</v>
      </c>
      <c r="D55">
        <v>20</v>
      </c>
      <c r="E55">
        <v>24</v>
      </c>
      <c r="F55">
        <v>63</v>
      </c>
    </row>
    <row r="56" spans="1:6">
      <c r="A56">
        <v>2009</v>
      </c>
      <c r="B56">
        <v>0</v>
      </c>
      <c r="C56">
        <v>1</v>
      </c>
      <c r="D56">
        <v>42</v>
      </c>
      <c r="E56">
        <v>12</v>
      </c>
      <c r="F56">
        <v>42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40C67-FF3E-4B6B-884B-49633D8F34E2}">
  <dimension ref="A1:K11"/>
  <sheetViews>
    <sheetView zoomScaleNormal="145" workbookViewId="0">
      <selection activeCell="J19" sqref="J19"/>
    </sheetView>
  </sheetViews>
  <sheetFormatPr defaultRowHeight="15"/>
  <cols>
    <col min="1" max="1" width="16.42578125" customWidth="1"/>
    <col min="2" max="6" width="12.140625" bestFit="1" customWidth="1"/>
    <col min="7" max="11" width="11.140625" bestFit="1" customWidth="1"/>
  </cols>
  <sheetData>
    <row r="1" spans="1:11">
      <c r="A1" t="s">
        <v>165</v>
      </c>
      <c r="B1" s="17">
        <v>6</v>
      </c>
      <c r="C1" s="17">
        <v>18</v>
      </c>
      <c r="D1" s="17">
        <v>30</v>
      </c>
      <c r="E1" s="17">
        <v>42</v>
      </c>
      <c r="F1" s="17">
        <v>54</v>
      </c>
      <c r="G1" s="17">
        <v>66</v>
      </c>
      <c r="H1" s="17">
        <v>78</v>
      </c>
      <c r="I1" s="17">
        <v>90</v>
      </c>
      <c r="J1" s="17">
        <v>102</v>
      </c>
      <c r="K1" s="16">
        <v>114</v>
      </c>
    </row>
    <row r="2" spans="1:11">
      <c r="A2">
        <v>2000</v>
      </c>
      <c r="B2" s="66">
        <v>42000</v>
      </c>
      <c r="C2" s="66">
        <v>18000</v>
      </c>
      <c r="D2" s="66">
        <v>11000</v>
      </c>
      <c r="E2" s="66">
        <v>9000</v>
      </c>
      <c r="F2" s="66">
        <v>8000</v>
      </c>
      <c r="G2" s="66">
        <v>5000</v>
      </c>
      <c r="H2" s="66">
        <v>3000</v>
      </c>
      <c r="I2" s="66">
        <v>2000</v>
      </c>
      <c r="J2" s="66">
        <v>1000</v>
      </c>
      <c r="K2" s="66">
        <v>1000</v>
      </c>
    </row>
    <row r="3" spans="1:11">
      <c r="A3">
        <v>2001</v>
      </c>
      <c r="B3" s="66">
        <v>40000</v>
      </c>
      <c r="C3" s="66">
        <v>19000</v>
      </c>
      <c r="D3" s="66">
        <v>9000</v>
      </c>
      <c r="E3" s="66">
        <v>10000</v>
      </c>
      <c r="F3" s="66">
        <v>9000</v>
      </c>
      <c r="G3" s="66">
        <v>5000</v>
      </c>
      <c r="H3" s="66">
        <v>3000</v>
      </c>
      <c r="I3" s="66">
        <v>3000</v>
      </c>
      <c r="J3" s="66">
        <v>1000</v>
      </c>
      <c r="K3" s="66"/>
    </row>
    <row r="4" spans="1:11">
      <c r="A4">
        <v>2002</v>
      </c>
      <c r="B4" s="66">
        <v>36000</v>
      </c>
      <c r="C4" s="66">
        <v>19000</v>
      </c>
      <c r="D4" s="66">
        <v>10000</v>
      </c>
      <c r="E4" s="66">
        <v>11000</v>
      </c>
      <c r="F4" s="66">
        <v>9000</v>
      </c>
      <c r="G4" s="66">
        <v>6000</v>
      </c>
      <c r="H4" s="66">
        <v>3000</v>
      </c>
      <c r="I4" s="66">
        <v>3000</v>
      </c>
      <c r="J4" s="66"/>
      <c r="K4" s="66"/>
    </row>
    <row r="5" spans="1:11">
      <c r="A5">
        <v>2003</v>
      </c>
      <c r="B5" s="66">
        <v>38000</v>
      </c>
      <c r="C5" s="66">
        <v>19000</v>
      </c>
      <c r="D5" s="66">
        <v>9000</v>
      </c>
      <c r="E5" s="66">
        <v>11000</v>
      </c>
      <c r="F5" s="66">
        <v>9000</v>
      </c>
      <c r="G5" s="66">
        <v>6000</v>
      </c>
      <c r="H5" s="66">
        <v>3000</v>
      </c>
      <c r="I5" s="66"/>
      <c r="J5" s="66"/>
      <c r="K5" s="66"/>
    </row>
    <row r="6" spans="1:11">
      <c r="A6">
        <v>2004</v>
      </c>
      <c r="B6" s="66">
        <v>39000</v>
      </c>
      <c r="C6" s="66">
        <v>19000</v>
      </c>
      <c r="D6" s="66">
        <v>9000</v>
      </c>
      <c r="E6" s="66">
        <v>10000</v>
      </c>
      <c r="F6" s="66">
        <v>10000</v>
      </c>
      <c r="G6" s="66">
        <v>5000</v>
      </c>
      <c r="H6" s="66"/>
      <c r="I6" s="66"/>
      <c r="J6" s="66"/>
      <c r="K6" s="66"/>
    </row>
    <row r="7" spans="1:11">
      <c r="A7">
        <v>2005</v>
      </c>
      <c r="B7" s="66">
        <v>41000</v>
      </c>
      <c r="C7" s="66">
        <v>19000</v>
      </c>
      <c r="D7" s="66">
        <v>10000</v>
      </c>
      <c r="E7" s="66">
        <v>9000</v>
      </c>
      <c r="F7" s="66">
        <v>9000</v>
      </c>
      <c r="G7" s="66"/>
      <c r="H7" s="66"/>
      <c r="I7" s="66"/>
      <c r="J7" s="66"/>
      <c r="K7" s="66"/>
    </row>
    <row r="8" spans="1:11">
      <c r="A8">
        <v>2006</v>
      </c>
      <c r="B8" s="66">
        <v>42000</v>
      </c>
      <c r="C8" s="66">
        <v>19000</v>
      </c>
      <c r="D8" s="66">
        <v>9000</v>
      </c>
      <c r="E8" s="66">
        <v>9000</v>
      </c>
      <c r="F8" s="66"/>
      <c r="G8" s="66"/>
      <c r="H8" s="66"/>
      <c r="I8" s="66"/>
      <c r="J8" s="66"/>
      <c r="K8" s="66"/>
    </row>
    <row r="9" spans="1:11">
      <c r="A9">
        <v>2007</v>
      </c>
      <c r="B9" s="66">
        <v>43000</v>
      </c>
      <c r="C9" s="66">
        <v>19000</v>
      </c>
      <c r="D9" s="66">
        <v>10000</v>
      </c>
      <c r="E9" s="66"/>
      <c r="F9" s="66"/>
      <c r="G9" s="66"/>
      <c r="H9" s="66"/>
      <c r="I9" s="66"/>
      <c r="J9" s="66"/>
      <c r="K9" s="66"/>
    </row>
    <row r="10" spans="1:11">
      <c r="A10">
        <v>2008</v>
      </c>
      <c r="B10" s="66">
        <v>43000</v>
      </c>
      <c r="C10" s="66">
        <v>20000</v>
      </c>
      <c r="D10" s="66"/>
      <c r="E10" s="66"/>
      <c r="F10" s="66"/>
      <c r="G10" s="66"/>
      <c r="H10" s="66"/>
      <c r="I10" s="66"/>
      <c r="J10" s="66"/>
      <c r="K10" s="66"/>
    </row>
    <row r="11" spans="1:11">
      <c r="A11">
        <v>2009</v>
      </c>
      <c r="B11" s="66">
        <v>42000</v>
      </c>
      <c r="C11" s="66"/>
      <c r="D11" s="66"/>
      <c r="E11" s="66"/>
      <c r="F11" s="66"/>
      <c r="G11" s="66"/>
      <c r="H11" s="66"/>
      <c r="I11" s="66"/>
      <c r="J11" s="66"/>
      <c r="K11" s="66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4A95F-FE34-458B-ADDD-803043C25BFA}">
  <dimension ref="A1:Q57"/>
  <sheetViews>
    <sheetView topLeftCell="C8" zoomScale="130" zoomScaleNormal="130" workbookViewId="0">
      <selection activeCell="P14" sqref="P14:P23"/>
    </sheetView>
  </sheetViews>
  <sheetFormatPr defaultRowHeight="15"/>
  <cols>
    <col min="1" max="1" width="12" bestFit="1" customWidth="1"/>
    <col min="2" max="2" width="11.5703125" bestFit="1" customWidth="1"/>
    <col min="3" max="3" width="15.7109375" bestFit="1" customWidth="1"/>
    <col min="4" max="4" width="12.140625" bestFit="1" customWidth="1"/>
    <col min="5" max="6" width="11.5703125" bestFit="1" customWidth="1"/>
    <col min="7" max="7" width="10.5703125" bestFit="1" customWidth="1"/>
    <col min="8" max="8" width="12.28515625" bestFit="1" customWidth="1"/>
    <col min="9" max="9" width="11.5703125" bestFit="1" customWidth="1"/>
    <col min="10" max="10" width="10.5703125" bestFit="1" customWidth="1"/>
    <col min="11" max="11" width="12.5703125" bestFit="1" customWidth="1"/>
    <col min="12" max="12" width="23.85546875" bestFit="1" customWidth="1"/>
    <col min="13" max="13" width="13.28515625" bestFit="1" customWidth="1"/>
    <col min="14" max="14" width="19.28515625" customWidth="1"/>
    <col min="15" max="15" width="20.7109375" bestFit="1" customWidth="1"/>
    <col min="16" max="16" width="14.140625" customWidth="1"/>
    <col min="19" max="19" width="9.140625" customWidth="1"/>
  </cols>
  <sheetData>
    <row r="1" spans="1:17">
      <c r="A1" s="8">
        <v>0</v>
      </c>
      <c r="B1" s="8">
        <v>12</v>
      </c>
      <c r="C1" s="8">
        <v>24</v>
      </c>
      <c r="D1" s="8">
        <v>36</v>
      </c>
      <c r="E1" s="8">
        <v>48</v>
      </c>
      <c r="F1" s="8">
        <v>60</v>
      </c>
      <c r="G1" s="8">
        <v>72</v>
      </c>
      <c r="H1" s="8">
        <v>84</v>
      </c>
      <c r="I1" s="8">
        <v>96</v>
      </c>
      <c r="J1" s="8">
        <v>108</v>
      </c>
      <c r="K1" s="15">
        <v>120</v>
      </c>
      <c r="L1" s="154" t="s">
        <v>265</v>
      </c>
      <c r="M1" s="42" t="s">
        <v>260</v>
      </c>
    </row>
    <row r="2" spans="1:17">
      <c r="A2" s="152" t="s">
        <v>246</v>
      </c>
      <c r="B2" s="58">
        <v>42000</v>
      </c>
      <c r="C2" s="59">
        <v>18000</v>
      </c>
      <c r="D2" s="59">
        <v>11000</v>
      </c>
      <c r="E2" s="59">
        <v>9000</v>
      </c>
      <c r="F2" s="59">
        <v>8000</v>
      </c>
      <c r="G2" s="59">
        <v>5000</v>
      </c>
      <c r="H2" s="59">
        <v>3000</v>
      </c>
      <c r="I2" s="59">
        <v>2000</v>
      </c>
      <c r="J2" s="59">
        <v>1000</v>
      </c>
      <c r="K2" s="60">
        <v>1000</v>
      </c>
      <c r="L2" s="161">
        <v>125001.420523243</v>
      </c>
      <c r="M2" s="164">
        <v>0.99998863594319876</v>
      </c>
      <c r="N2" s="192">
        <f>M2*L2</f>
        <v>124999.99999999993</v>
      </c>
      <c r="O2" s="57">
        <f>SUM(N2:N11)</f>
        <v>1033749.9999999999</v>
      </c>
      <c r="P2" s="57">
        <f>O27-O2</f>
        <v>274432.29065078369</v>
      </c>
      <c r="Q2">
        <f>827000/(1033750)</f>
        <v>0.8</v>
      </c>
    </row>
    <row r="3" spans="1:17">
      <c r="A3" s="153" t="s">
        <v>247</v>
      </c>
      <c r="B3" s="61">
        <v>40000</v>
      </c>
      <c r="C3" s="90">
        <v>19000</v>
      </c>
      <c r="D3" s="90">
        <v>9000</v>
      </c>
      <c r="E3" s="90">
        <v>10000</v>
      </c>
      <c r="F3" s="90">
        <v>9000</v>
      </c>
      <c r="G3" s="90">
        <v>5000</v>
      </c>
      <c r="H3" s="90">
        <v>3000</v>
      </c>
      <c r="I3" s="90">
        <v>3000</v>
      </c>
      <c r="J3" s="90">
        <v>1000</v>
      </c>
      <c r="K3" s="62">
        <v>0</v>
      </c>
      <c r="L3" s="162">
        <v>126744.86189196313</v>
      </c>
      <c r="M3" s="165">
        <v>0.97637094042900174</v>
      </c>
      <c r="N3" s="192">
        <f t="shared" ref="N3:N11" si="0">M3*L3</f>
        <v>123749.99999999999</v>
      </c>
    </row>
    <row r="4" spans="1:17">
      <c r="A4" s="153" t="s">
        <v>248</v>
      </c>
      <c r="B4" s="61">
        <v>36000</v>
      </c>
      <c r="C4" s="90">
        <v>19000</v>
      </c>
      <c r="D4" s="90">
        <v>10000</v>
      </c>
      <c r="E4" s="90">
        <v>11000</v>
      </c>
      <c r="F4" s="90">
        <v>9000</v>
      </c>
      <c r="G4" s="90">
        <v>6000</v>
      </c>
      <c r="H4" s="90">
        <v>3000</v>
      </c>
      <c r="I4" s="90">
        <v>3000</v>
      </c>
      <c r="J4" s="90">
        <v>0</v>
      </c>
      <c r="K4" s="62">
        <v>0</v>
      </c>
      <c r="L4" s="162">
        <v>127793.22363796002</v>
      </c>
      <c r="M4" s="165">
        <v>0.94879835212157193</v>
      </c>
      <c r="N4" s="192">
        <f t="shared" si="0"/>
        <v>121249.99999999999</v>
      </c>
    </row>
    <row r="5" spans="1:17">
      <c r="A5" s="153" t="s">
        <v>249</v>
      </c>
      <c r="B5" s="61">
        <v>38000</v>
      </c>
      <c r="C5" s="90">
        <v>19000</v>
      </c>
      <c r="D5" s="90">
        <v>9000</v>
      </c>
      <c r="E5" s="90">
        <v>11000</v>
      </c>
      <c r="F5" s="90">
        <v>9000</v>
      </c>
      <c r="G5" s="90">
        <v>6000</v>
      </c>
      <c r="H5" s="90">
        <v>3000</v>
      </c>
      <c r="I5" s="90">
        <v>0</v>
      </c>
      <c r="J5" s="90">
        <v>0</v>
      </c>
      <c r="K5" s="62">
        <v>0</v>
      </c>
      <c r="L5" s="162">
        <v>129622.2496836065</v>
      </c>
      <c r="M5" s="165">
        <v>0.9161235844143697</v>
      </c>
      <c r="N5" s="192">
        <f t="shared" si="0"/>
        <v>118749.99999999999</v>
      </c>
    </row>
    <row r="6" spans="1:17">
      <c r="A6" s="153" t="s">
        <v>250</v>
      </c>
      <c r="B6" s="61">
        <v>39000</v>
      </c>
      <c r="C6" s="90">
        <v>19000</v>
      </c>
      <c r="D6" s="90">
        <v>9000</v>
      </c>
      <c r="E6" s="90">
        <v>10000</v>
      </c>
      <c r="F6" s="90">
        <v>10000</v>
      </c>
      <c r="G6" s="90">
        <v>5000</v>
      </c>
      <c r="H6" s="90">
        <v>0</v>
      </c>
      <c r="I6" s="90">
        <v>0</v>
      </c>
      <c r="J6" s="90">
        <v>0</v>
      </c>
      <c r="K6" s="62">
        <v>0</v>
      </c>
      <c r="L6" s="162">
        <v>131174.90542763949</v>
      </c>
      <c r="M6" s="165">
        <v>0.87669207479198741</v>
      </c>
      <c r="N6" s="192">
        <f t="shared" si="0"/>
        <v>115000</v>
      </c>
    </row>
    <row r="7" spans="1:17">
      <c r="A7" s="153" t="s">
        <v>251</v>
      </c>
      <c r="B7" s="61">
        <v>41000</v>
      </c>
      <c r="C7" s="90">
        <v>19000</v>
      </c>
      <c r="D7" s="90">
        <v>10000</v>
      </c>
      <c r="E7" s="90">
        <v>9000</v>
      </c>
      <c r="F7" s="90">
        <v>9000</v>
      </c>
      <c r="G7" s="90">
        <v>0</v>
      </c>
      <c r="H7" s="90">
        <v>0</v>
      </c>
      <c r="I7" s="90">
        <v>0</v>
      </c>
      <c r="J7" s="90">
        <v>0</v>
      </c>
      <c r="K7" s="62">
        <v>0</v>
      </c>
      <c r="L7" s="162">
        <v>132852.20511520735</v>
      </c>
      <c r="M7" s="165">
        <v>0.82798776207447766</v>
      </c>
      <c r="N7" s="192">
        <f t="shared" si="0"/>
        <v>110000.00000000001</v>
      </c>
    </row>
    <row r="8" spans="1:17">
      <c r="A8" s="153" t="s">
        <v>252</v>
      </c>
      <c r="B8" s="61">
        <v>42000</v>
      </c>
      <c r="C8" s="90">
        <v>19000</v>
      </c>
      <c r="D8" s="90">
        <v>9000</v>
      </c>
      <c r="E8" s="90">
        <v>9000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  <c r="K8" s="62">
        <v>0</v>
      </c>
      <c r="L8" s="162">
        <v>128923.4405211694</v>
      </c>
      <c r="M8" s="165">
        <v>0.76595846031416692</v>
      </c>
      <c r="N8" s="192">
        <f t="shared" si="0"/>
        <v>98749.999999999985</v>
      </c>
    </row>
    <row r="9" spans="1:17">
      <c r="A9" s="153" t="s">
        <v>253</v>
      </c>
      <c r="B9" s="61">
        <v>43000</v>
      </c>
      <c r="C9" s="90">
        <v>19000</v>
      </c>
      <c r="D9" s="90">
        <v>10000</v>
      </c>
      <c r="E9" s="90">
        <v>0</v>
      </c>
      <c r="F9" s="90">
        <v>0</v>
      </c>
      <c r="G9" s="90">
        <v>0</v>
      </c>
      <c r="H9" s="90">
        <v>0</v>
      </c>
      <c r="I9" s="90">
        <v>0</v>
      </c>
      <c r="J9" s="90">
        <v>0</v>
      </c>
      <c r="K9" s="62">
        <v>0</v>
      </c>
      <c r="L9" s="162">
        <v>131624.99546474006</v>
      </c>
      <c r="M9" s="165">
        <v>0.68376070732028515</v>
      </c>
      <c r="N9" s="192">
        <f t="shared" si="0"/>
        <v>89999.999999999985</v>
      </c>
    </row>
    <row r="10" spans="1:17">
      <c r="A10" s="153" t="s">
        <v>254</v>
      </c>
      <c r="B10" s="61">
        <v>43000</v>
      </c>
      <c r="C10" s="90">
        <v>20000</v>
      </c>
      <c r="D10" s="90">
        <v>0</v>
      </c>
      <c r="E10" s="90">
        <v>0</v>
      </c>
      <c r="F10" s="90">
        <v>0</v>
      </c>
      <c r="G10" s="90">
        <v>0</v>
      </c>
      <c r="H10" s="90">
        <v>0</v>
      </c>
      <c r="I10" s="90">
        <v>0</v>
      </c>
      <c r="J10" s="90">
        <v>0</v>
      </c>
      <c r="K10" s="62">
        <v>0</v>
      </c>
      <c r="L10" s="162">
        <v>138678.29285043321</v>
      </c>
      <c r="M10" s="165">
        <v>0.56786104285934025</v>
      </c>
      <c r="N10" s="192">
        <f t="shared" si="0"/>
        <v>78749.999999999985</v>
      </c>
    </row>
    <row r="11" spans="1:17">
      <c r="A11" s="154" t="s">
        <v>255</v>
      </c>
      <c r="B11" s="63">
        <v>42000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5">
        <v>0</v>
      </c>
      <c r="L11" s="163">
        <v>135766.6955348214</v>
      </c>
      <c r="M11" s="166">
        <v>0.38669277316641187</v>
      </c>
      <c r="N11" s="192">
        <f t="shared" si="0"/>
        <v>52499.999999999993</v>
      </c>
    </row>
    <row r="13" spans="1:17">
      <c r="N13" s="175" t="s">
        <v>264</v>
      </c>
      <c r="O13" s="176" t="s">
        <v>265</v>
      </c>
      <c r="P13" s="175" t="s">
        <v>266</v>
      </c>
    </row>
    <row r="14" spans="1:17">
      <c r="M14" s="174"/>
      <c r="N14" s="152" t="s">
        <v>246</v>
      </c>
      <c r="O14" s="177">
        <v>125001.42052324304</v>
      </c>
      <c r="P14" s="168">
        <v>100000</v>
      </c>
    </row>
    <row r="15" spans="1:17">
      <c r="N15" s="153" t="s">
        <v>247</v>
      </c>
      <c r="O15" s="178">
        <v>126744.86189196313</v>
      </c>
      <c r="P15" s="168">
        <f>L48</f>
        <v>100086.13356427857</v>
      </c>
      <c r="Q15" s="57"/>
    </row>
    <row r="16" spans="1:17">
      <c r="C16" t="s">
        <v>261</v>
      </c>
      <c r="D16" s="57">
        <f>SUM(B2:K2)</f>
        <v>100000</v>
      </c>
      <c r="K16">
        <f>PRODUCT(L2:M2)</f>
        <v>124999.99999999993</v>
      </c>
      <c r="N16" s="153" t="s">
        <v>248</v>
      </c>
      <c r="O16" s="178">
        <v>127793.22363796002</v>
      </c>
      <c r="P16" s="168">
        <f t="shared" ref="P16:P23" si="1">L49</f>
        <v>99218.852685606937</v>
      </c>
    </row>
    <row r="17" spans="4:16">
      <c r="D17" s="57">
        <f>SUM(B3:J3)</f>
        <v>99000</v>
      </c>
      <c r="F17" t="s">
        <v>262</v>
      </c>
      <c r="H17" s="57">
        <f>SUM(D16:D25)</f>
        <v>827000</v>
      </c>
      <c r="K17">
        <f t="shared" ref="K17:K24" si="2">PRODUCT(L3:M3)</f>
        <v>123749.99999999999</v>
      </c>
      <c r="N17" s="153" t="s">
        <v>249</v>
      </c>
      <c r="O17" s="178">
        <v>129622.2496836065</v>
      </c>
      <c r="P17" s="168">
        <f t="shared" si="1"/>
        <v>99927.379643333319</v>
      </c>
    </row>
    <row r="18" spans="4:16">
      <c r="D18" s="57">
        <f t="shared" ref="D18:D25" si="3">SUM(B4:J4)</f>
        <v>97000</v>
      </c>
      <c r="K18">
        <f t="shared" si="2"/>
        <v>121249.99999999999</v>
      </c>
      <c r="N18" s="153" t="s">
        <v>250</v>
      </c>
      <c r="O18" s="178">
        <v>131174.90542763949</v>
      </c>
      <c r="P18" s="168">
        <f t="shared" si="1"/>
        <v>99931.030040968122</v>
      </c>
    </row>
    <row r="19" spans="4:16">
      <c r="D19" s="57">
        <f t="shared" si="3"/>
        <v>95000</v>
      </c>
      <c r="F19" t="s">
        <v>263</v>
      </c>
      <c r="H19" s="57">
        <f>SUM(K16:K25)</f>
        <v>1033749.9999999999</v>
      </c>
      <c r="K19">
        <f t="shared" si="2"/>
        <v>118749.99999999999</v>
      </c>
      <c r="N19" s="153" t="s">
        <v>251</v>
      </c>
      <c r="O19" s="178">
        <v>132852.20511520735</v>
      </c>
      <c r="P19" s="168">
        <f t="shared" si="1"/>
        <v>101937.16953280724</v>
      </c>
    </row>
    <row r="20" spans="4:16">
      <c r="D20" s="57">
        <f t="shared" si="3"/>
        <v>92000</v>
      </c>
      <c r="G20" s="167">
        <f>H17/H19</f>
        <v>0.8</v>
      </c>
      <c r="K20">
        <f t="shared" si="2"/>
        <v>115000</v>
      </c>
      <c r="N20" s="153" t="s">
        <v>252</v>
      </c>
      <c r="O20" s="178">
        <v>128923.4405211694</v>
      </c>
      <c r="P20" s="168">
        <f t="shared" si="1"/>
        <v>102220.05175009667</v>
      </c>
    </row>
    <row r="21" spans="4:16">
      <c r="D21" s="57">
        <f>SUM(B7:J7)</f>
        <v>88000</v>
      </c>
      <c r="K21">
        <f t="shared" si="2"/>
        <v>110000.00000000001</v>
      </c>
      <c r="N21" s="153" t="s">
        <v>253</v>
      </c>
      <c r="O21" s="178">
        <v>131624.99546474006</v>
      </c>
      <c r="P21" s="168">
        <f t="shared" si="1"/>
        <v>105181.31365206893</v>
      </c>
    </row>
    <row r="22" spans="4:16">
      <c r="D22" s="57">
        <f t="shared" si="3"/>
        <v>79000</v>
      </c>
      <c r="K22">
        <f t="shared" si="2"/>
        <v>98749.999999999985</v>
      </c>
      <c r="N22" s="153" t="s">
        <v>254</v>
      </c>
      <c r="O22" s="178">
        <v>138678.29285043321</v>
      </c>
      <c r="P22" s="168">
        <f t="shared" si="1"/>
        <v>105471.3869602909</v>
      </c>
    </row>
    <row r="23" spans="4:16">
      <c r="D23" s="57">
        <f>SUM(B9:J9)</f>
        <v>72000</v>
      </c>
      <c r="K23">
        <f t="shared" si="2"/>
        <v>89999.999999999985</v>
      </c>
      <c r="N23" s="154" t="s">
        <v>255</v>
      </c>
      <c r="O23" s="179">
        <v>135766.6955348214</v>
      </c>
      <c r="P23" s="193">
        <f t="shared" si="1"/>
        <v>103108.58857331</v>
      </c>
    </row>
    <row r="24" spans="4:16">
      <c r="D24" s="57">
        <f t="shared" si="3"/>
        <v>63000</v>
      </c>
      <c r="K24">
        <f t="shared" si="2"/>
        <v>78749.999999999985</v>
      </c>
      <c r="O24" t="s">
        <v>267</v>
      </c>
      <c r="P24" s="57">
        <f>SUM(P14:P23)</f>
        <v>1017081.9064027609</v>
      </c>
    </row>
    <row r="25" spans="4:16">
      <c r="D25" s="57">
        <f t="shared" si="3"/>
        <v>42000</v>
      </c>
      <c r="G25" s="57" cm="1">
        <f t="array" ref="G25:G34">P14:P23-D16:D25</f>
        <v>0</v>
      </c>
      <c r="H25" s="57">
        <f>SUM(_xlfn.ANCHORARRAY(G25))</f>
        <v>190081.90640276068</v>
      </c>
      <c r="K25">
        <f>PRODUCT(L11:M11)</f>
        <v>52499.999999999993</v>
      </c>
    </row>
    <row r="26" spans="4:16">
      <c r="G26">
        <v>1086.1335642785707</v>
      </c>
    </row>
    <row r="27" spans="4:16">
      <c r="G27">
        <v>2218.8526856069366</v>
      </c>
      <c r="O27" s="57">
        <f>SUM(O14:O23)</f>
        <v>1308182.2906507836</v>
      </c>
    </row>
    <row r="28" spans="4:16">
      <c r="G28">
        <v>4927.3796433333191</v>
      </c>
      <c r="N28" s="174">
        <f>O28*M30</f>
        <v>633226957.75853515</v>
      </c>
      <c r="O28" s="174">
        <f>O27^2</f>
        <v>1711340905572.3313</v>
      </c>
    </row>
    <row r="29" spans="4:16">
      <c r="G29">
        <v>7931.0300409681222</v>
      </c>
      <c r="N29" s="174">
        <f>N28+129035</f>
        <v>633355992.75853515</v>
      </c>
    </row>
    <row r="30" spans="4:16">
      <c r="G30">
        <v>13937.169532807238</v>
      </c>
      <c r="M30">
        <v>3.7001801084557277E-4</v>
      </c>
    </row>
    <row r="31" spans="4:16">
      <c r="G31">
        <v>23220.051750096667</v>
      </c>
    </row>
    <row r="32" spans="4:16">
      <c r="G32">
        <v>33181.31365206893</v>
      </c>
      <c r="M32">
        <f>SQRT(N29)</f>
        <v>25166.564977337195</v>
      </c>
    </row>
    <row r="33" spans="1:12">
      <c r="G33">
        <v>42471.386960290896</v>
      </c>
    </row>
    <row r="34" spans="1:12">
      <c r="G34">
        <v>61108.58857331</v>
      </c>
    </row>
    <row r="38" spans="1:12">
      <c r="A38" s="22" t="s">
        <v>225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13"/>
    </row>
    <row r="39" spans="1:12">
      <c r="A39" s="23"/>
      <c r="B39" s="85">
        <v>0</v>
      </c>
      <c r="C39" s="85">
        <v>0.19648017227735382</v>
      </c>
      <c r="D39" s="85">
        <v>0.28516091606721022</v>
      </c>
      <c r="E39" s="85">
        <v>0.34689816295203169</v>
      </c>
      <c r="F39" s="85">
        <v>0.39422966043344321</v>
      </c>
      <c r="G39" s="85">
        <v>0.4324151978082002</v>
      </c>
      <c r="H39" s="85">
        <v>0.46424481199380979</v>
      </c>
      <c r="I39" s="85">
        <v>0.49139626924472263</v>
      </c>
      <c r="J39" s="85">
        <v>0.51496283494618855</v>
      </c>
      <c r="K39" s="85">
        <v>0.53569833582481763</v>
      </c>
      <c r="L39" s="86">
        <v>0.55414499595282973</v>
      </c>
    </row>
    <row r="40" spans="1:12">
      <c r="A40" s="22" t="s">
        <v>224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84"/>
    </row>
    <row r="41" spans="1:12">
      <c r="A41" s="25"/>
      <c r="B41" s="87">
        <v>0</v>
      </c>
      <c r="C41" s="87">
        <v>0.35456455207993742</v>
      </c>
      <c r="D41" s="87">
        <v>0.51459621245318232</v>
      </c>
      <c r="E41" s="87">
        <v>0.626006127431602</v>
      </c>
      <c r="F41" s="87">
        <v>0.71141968855205739</v>
      </c>
      <c r="G41" s="87">
        <v>0.78032861609564819</v>
      </c>
      <c r="H41" s="87">
        <v>0.83776776003464537</v>
      </c>
      <c r="I41" s="87">
        <v>0.88676478689442417</v>
      </c>
      <c r="J41" s="87">
        <v>0.9292925835425635</v>
      </c>
      <c r="K41" s="87">
        <v>0.96671149200527595</v>
      </c>
      <c r="L41" s="88">
        <v>1</v>
      </c>
    </row>
    <row r="48" spans="1:12">
      <c r="B48" s="184">
        <v>2.5168201181787802</v>
      </c>
      <c r="C48" s="191" cm="1">
        <f t="array" ref="C48:C56">1/B48:B56</f>
        <v>0.39732676673119549</v>
      </c>
      <c r="D48">
        <v>42000</v>
      </c>
      <c r="E48">
        <f>C48*D48</f>
        <v>16687.724202710211</v>
      </c>
      <c r="F48" s="57"/>
      <c r="G48">
        <f>1-C48</f>
        <v>0.60267323326880451</v>
      </c>
      <c r="H48" s="57">
        <f>L3</f>
        <v>126744.86189196313</v>
      </c>
      <c r="I48" s="174">
        <f>H48*G48*0.8</f>
        <v>61108.58857331</v>
      </c>
      <c r="K48" s="174">
        <f>I48+D48</f>
        <v>103108.58857331</v>
      </c>
      <c r="L48" s="174">
        <f>K56</f>
        <v>100086.13356427857</v>
      </c>
    </row>
    <row r="49" spans="2:12">
      <c r="B49" s="184">
        <v>1.7106612879005714</v>
      </c>
      <c r="C49">
        <v>0.58456925814183902</v>
      </c>
      <c r="D49">
        <v>63000</v>
      </c>
      <c r="E49">
        <f t="shared" ref="E49:E56" si="4">C49*D49</f>
        <v>36827.863262935862</v>
      </c>
      <c r="F49" s="57"/>
      <c r="G49">
        <f t="shared" ref="G49:G56" si="5">1-C49</f>
        <v>0.41543074185816098</v>
      </c>
      <c r="H49" s="57">
        <f t="shared" ref="H49:H56" si="6">L4</f>
        <v>127793.22363796002</v>
      </c>
      <c r="I49" s="174">
        <f t="shared" ref="I49:I56" si="7">H49*G49*0.8</f>
        <v>42471.386960290889</v>
      </c>
      <c r="K49" s="174">
        <f t="shared" ref="K49:K56" si="8">I49+D49</f>
        <v>105471.3869602909</v>
      </c>
      <c r="L49" s="174">
        <f>K55</f>
        <v>99218.852685606937</v>
      </c>
    </row>
    <row r="50" spans="2:12">
      <c r="B50" s="184">
        <v>1.4705468960471659</v>
      </c>
      <c r="C50">
        <v>0.68001911580514895</v>
      </c>
      <c r="D50">
        <v>72000</v>
      </c>
      <c r="E50">
        <f t="shared" si="4"/>
        <v>48961.376337970723</v>
      </c>
      <c r="F50" s="57"/>
      <c r="G50">
        <f t="shared" si="5"/>
        <v>0.31998088419485105</v>
      </c>
      <c r="H50" s="57">
        <f t="shared" si="6"/>
        <v>129622.2496836065</v>
      </c>
      <c r="I50" s="174">
        <f t="shared" si="7"/>
        <v>33181.313652068922</v>
      </c>
      <c r="K50" s="174">
        <f t="shared" si="8"/>
        <v>105181.31365206893</v>
      </c>
      <c r="L50" s="174">
        <f>K54</f>
        <v>99927.379643333319</v>
      </c>
    </row>
    <row r="51" spans="2:12">
      <c r="B51" s="185">
        <v>1.2841420454241574</v>
      </c>
      <c r="C51">
        <v>0.77873005059163514</v>
      </c>
      <c r="D51">
        <v>79000</v>
      </c>
      <c r="E51">
        <f t="shared" si="4"/>
        <v>61519.673996739177</v>
      </c>
      <c r="F51" s="57"/>
      <c r="G51">
        <f t="shared" si="5"/>
        <v>0.22126994940836486</v>
      </c>
      <c r="H51" s="57">
        <f t="shared" si="6"/>
        <v>131174.90542763949</v>
      </c>
      <c r="I51" s="174">
        <f t="shared" si="7"/>
        <v>23220.051750096667</v>
      </c>
      <c r="K51" s="174">
        <f t="shared" si="8"/>
        <v>102220.05175009667</v>
      </c>
      <c r="L51" s="174">
        <f>K53</f>
        <v>99931.030040968122</v>
      </c>
    </row>
    <row r="52" spans="2:12">
      <c r="B52" s="184">
        <v>1.1509256670551355</v>
      </c>
      <c r="C52">
        <v>0.86886584305543568</v>
      </c>
      <c r="D52">
        <v>88000</v>
      </c>
      <c r="E52">
        <f t="shared" si="4"/>
        <v>76460.194188878333</v>
      </c>
      <c r="F52" s="57"/>
      <c r="G52">
        <f t="shared" si="5"/>
        <v>0.13113415694456432</v>
      </c>
      <c r="H52" s="57">
        <f t="shared" si="6"/>
        <v>132852.20511520735</v>
      </c>
      <c r="I52" s="174">
        <f t="shared" si="7"/>
        <v>13937.169532807242</v>
      </c>
      <c r="K52" s="174">
        <f t="shared" si="8"/>
        <v>101937.16953280724</v>
      </c>
      <c r="L52" s="174">
        <f>K52</f>
        <v>101937.16953280724</v>
      </c>
    </row>
    <row r="53" spans="2:12">
      <c r="B53" s="184">
        <v>1.0833023818136216</v>
      </c>
      <c r="C53">
        <v>0.92310329672297031</v>
      </c>
      <c r="D53">
        <v>92000</v>
      </c>
      <c r="E53">
        <f>C53*D53</f>
        <v>84925.503298513271</v>
      </c>
      <c r="F53" s="57"/>
      <c r="G53">
        <f t="shared" si="5"/>
        <v>7.6896703277029688E-2</v>
      </c>
      <c r="H53" s="57">
        <f t="shared" si="6"/>
        <v>128923.4405211694</v>
      </c>
      <c r="I53" s="174">
        <f t="shared" si="7"/>
        <v>7931.0300409681195</v>
      </c>
      <c r="K53" s="174">
        <f t="shared" si="8"/>
        <v>99931.030040968122</v>
      </c>
      <c r="L53" s="174">
        <f>K51</f>
        <v>102220.05175009667</v>
      </c>
    </row>
    <row r="54" spans="2:12">
      <c r="B54" s="184">
        <v>1.0490908756186312</v>
      </c>
      <c r="C54">
        <v>0.953206269581095</v>
      </c>
      <c r="D54">
        <v>95000</v>
      </c>
      <c r="E54">
        <f t="shared" si="4"/>
        <v>90554.595610204022</v>
      </c>
      <c r="F54" s="57"/>
      <c r="G54">
        <f t="shared" si="5"/>
        <v>4.6793730418905E-2</v>
      </c>
      <c r="H54" s="57">
        <f t="shared" si="6"/>
        <v>131624.99546474006</v>
      </c>
      <c r="I54" s="174">
        <f t="shared" si="7"/>
        <v>4927.3796433333118</v>
      </c>
      <c r="K54" s="174">
        <f t="shared" si="8"/>
        <v>99927.379643333319</v>
      </c>
      <c r="L54" s="174">
        <f>K50</f>
        <v>105181.31365206893</v>
      </c>
    </row>
    <row r="55" spans="2:12">
      <c r="B55" s="184">
        <v>1.0204081632653061</v>
      </c>
      <c r="C55">
        <v>0.98</v>
      </c>
      <c r="D55">
        <v>97000</v>
      </c>
      <c r="E55">
        <f t="shared" si="4"/>
        <v>95060</v>
      </c>
      <c r="F55" s="57"/>
      <c r="G55">
        <f t="shared" si="5"/>
        <v>2.0000000000000018E-2</v>
      </c>
      <c r="H55" s="57">
        <f t="shared" si="6"/>
        <v>138678.29285043321</v>
      </c>
      <c r="I55" s="174">
        <f t="shared" si="7"/>
        <v>2218.8526856069334</v>
      </c>
      <c r="K55" s="174">
        <f t="shared" si="8"/>
        <v>99218.852685606937</v>
      </c>
      <c r="L55" s="174">
        <f>K49</f>
        <v>105471.3869602909</v>
      </c>
    </row>
    <row r="56" spans="2:12">
      <c r="B56" s="186">
        <v>1.0101010101010102</v>
      </c>
      <c r="C56">
        <v>0.99</v>
      </c>
      <c r="D56">
        <v>99000</v>
      </c>
      <c r="E56">
        <f t="shared" si="4"/>
        <v>98010</v>
      </c>
      <c r="F56" s="57"/>
      <c r="G56">
        <f t="shared" si="5"/>
        <v>1.0000000000000009E-2</v>
      </c>
      <c r="H56" s="57">
        <f t="shared" si="6"/>
        <v>135766.6955348214</v>
      </c>
      <c r="I56" s="174">
        <f>H56*G56*0.8</f>
        <v>1086.1335642785723</v>
      </c>
      <c r="K56" s="174">
        <f t="shared" si="8"/>
        <v>100086.13356427857</v>
      </c>
      <c r="L56" s="174">
        <f>K48</f>
        <v>103108.58857331</v>
      </c>
    </row>
    <row r="57" spans="2:12">
      <c r="D57" s="174"/>
    </row>
  </sheetData>
  <sortState xmlns:xlrd2="http://schemas.microsoft.com/office/spreadsheetml/2017/richdata2" ref="G48:G56">
    <sortCondition ref="G48:G56"/>
  </sortState>
  <conditionalFormatting sqref="B2:K11">
    <cfRule type="cellIs" dxfId="2" priority="1" operator="equal">
      <formula>0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32D93-F3E5-410B-A756-397285CEFD91}">
  <dimension ref="A1:CL62"/>
  <sheetViews>
    <sheetView workbookViewId="0">
      <selection activeCell="P2" sqref="P2"/>
    </sheetView>
  </sheetViews>
  <sheetFormatPr defaultRowHeight="15"/>
  <cols>
    <col min="1" max="1" width="17.85546875" customWidth="1"/>
    <col min="13" max="13" width="9.28515625" bestFit="1" customWidth="1"/>
  </cols>
  <sheetData>
    <row r="1" spans="1:90" ht="18" customHeight="1">
      <c r="A1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N1" t="s">
        <v>13</v>
      </c>
      <c r="P1" s="4" cm="1">
        <f t="array" ref="P1:Y1">B24:K24-A24:J24</f>
        <v>0.38990244235805055</v>
      </c>
      <c r="Q1">
        <v>0.1820874509990556</v>
      </c>
      <c r="R1">
        <v>0.1202397532914774</v>
      </c>
      <c r="S1">
        <v>8.5724869715302132E-2</v>
      </c>
      <c r="T1" s="10">
        <v>6.3642473500766572E-2</v>
      </c>
      <c r="U1">
        <v>4.849771675463721E-2</v>
      </c>
      <c r="V1">
        <v>3.7652750918248934E-2</v>
      </c>
      <c r="W1">
        <v>2.965141483495759E-2</v>
      </c>
      <c r="X1">
        <v>2.3616125012725475E-2</v>
      </c>
      <c r="Y1">
        <v>1.8985002614778534E-2</v>
      </c>
      <c r="AN1" s="5" t="s">
        <v>14</v>
      </c>
      <c r="BA1" s="5" t="s">
        <v>15</v>
      </c>
      <c r="BM1" t="s">
        <v>16</v>
      </c>
      <c r="BY1" t="s">
        <v>17</v>
      </c>
    </row>
    <row r="2" spans="1:90">
      <c r="A2">
        <v>2000</v>
      </c>
      <c r="B2">
        <v>42</v>
      </c>
      <c r="C2">
        <v>18</v>
      </c>
      <c r="D2">
        <v>11</v>
      </c>
      <c r="E2">
        <v>9</v>
      </c>
      <c r="F2">
        <v>8</v>
      </c>
      <c r="G2">
        <v>5</v>
      </c>
      <c r="H2">
        <v>3</v>
      </c>
      <c r="I2">
        <v>2</v>
      </c>
      <c r="J2">
        <v>1</v>
      </c>
      <c r="K2">
        <v>1</v>
      </c>
      <c r="M2">
        <v>100.00000270174147</v>
      </c>
      <c r="O2">
        <f t="shared" ref="O2:O11" si="0">SUM(P2:Y2)</f>
        <v>100.00000270174145</v>
      </c>
      <c r="P2" cm="1">
        <f t="array" ref="P2:Y11">_xlfn.ANCHORARRAY(P1)*M2:M11</f>
        <v>38.990245289220653</v>
      </c>
      <c r="Q2">
        <v>18.208745591858776</v>
      </c>
      <c r="R2">
        <v>12.023975654004467</v>
      </c>
      <c r="S2">
        <v>8.5724872031366477</v>
      </c>
      <c r="T2" s="10">
        <v>6.3642475220221666</v>
      </c>
      <c r="U2">
        <v>4.8497718064920132</v>
      </c>
      <c r="V2">
        <v>3.7652751935528919</v>
      </c>
      <c r="W2">
        <v>2.9651415636062159</v>
      </c>
      <c r="X2">
        <v>2.3616125650772117</v>
      </c>
      <c r="Y2">
        <v>1.8985003127704223</v>
      </c>
      <c r="AB2">
        <v>1</v>
      </c>
      <c r="AC2">
        <v>1</v>
      </c>
      <c r="AD2">
        <v>1</v>
      </c>
      <c r="AE2">
        <v>1</v>
      </c>
      <c r="AF2">
        <v>1</v>
      </c>
      <c r="AG2">
        <v>1</v>
      </c>
      <c r="AH2">
        <v>1</v>
      </c>
      <c r="AI2">
        <v>1</v>
      </c>
      <c r="AJ2">
        <v>1</v>
      </c>
      <c r="AK2">
        <v>1</v>
      </c>
      <c r="AP2" s="4" cm="1">
        <f t="array" ref="AP2:AY11">LN(P2:Y11)</f>
        <v>3.6633114940550109</v>
      </c>
      <c r="AQ2">
        <v>2.9019020056918183</v>
      </c>
      <c r="AR2">
        <v>2.4869026276652293</v>
      </c>
      <c r="AS2">
        <v>2.1485579125730307</v>
      </c>
      <c r="AT2">
        <v>1.850696003814434</v>
      </c>
      <c r="AU2">
        <v>1.5789316536346638</v>
      </c>
      <c r="AV2">
        <v>1.325820951157854</v>
      </c>
      <c r="AW2">
        <v>1.0869247762024219</v>
      </c>
      <c r="AX2">
        <v>0.85934467598794972</v>
      </c>
      <c r="AY2">
        <v>0.64106426543578088</v>
      </c>
      <c r="BB2" cm="1">
        <f t="array" ref="BB2:BK11">_xlfn.ANCHORARRAY(AP2)*B2:K11</f>
        <v>153.85908275031045</v>
      </c>
      <c r="BC2">
        <v>52.234236102452726</v>
      </c>
      <c r="BD2">
        <v>27.355928904317523</v>
      </c>
      <c r="BE2">
        <v>19.337021213157279</v>
      </c>
      <c r="BF2">
        <v>14.805568030515472</v>
      </c>
      <c r="BG2">
        <v>7.8946582681733188</v>
      </c>
      <c r="BH2">
        <v>3.9774628534735621</v>
      </c>
      <c r="BI2">
        <v>2.1738495524048438</v>
      </c>
      <c r="BJ2">
        <v>0.85934467598794972</v>
      </c>
      <c r="BK2">
        <v>0.64106426543578088</v>
      </c>
      <c r="BN2" cm="1">
        <f t="array" ref="BN2:BW11">_xlfn.ANCHORARRAY(BB2)-_xlfn.ANCHORARRAY(P2)</f>
        <v>114.8688374610898</v>
      </c>
      <c r="BO2">
        <v>34.025490510593954</v>
      </c>
      <c r="BP2">
        <v>15.331953250313056</v>
      </c>
      <c r="BQ2">
        <v>10.764534010020631</v>
      </c>
      <c r="BR2">
        <v>8.4413205084933054</v>
      </c>
      <c r="BS2">
        <v>3.0448864616813056</v>
      </c>
      <c r="BT2">
        <v>0.21218765992067024</v>
      </c>
      <c r="BU2">
        <v>-0.79129201120137216</v>
      </c>
      <c r="BV2">
        <v>-1.502267889089262</v>
      </c>
      <c r="BW2">
        <v>-1.2574360473346413</v>
      </c>
      <c r="BZ2" cm="1">
        <f t="array" ref="BZ2:CI11">_xlfn.ANCHORARRAY(BN2)*AB2:AK11</f>
        <v>114.8688374610898</v>
      </c>
      <c r="CA2">
        <v>34.025490510593954</v>
      </c>
      <c r="CB2">
        <v>15.331953250313056</v>
      </c>
      <c r="CC2">
        <v>10.764534010020631</v>
      </c>
      <c r="CD2">
        <v>8.4413205084933054</v>
      </c>
      <c r="CE2">
        <v>3.0448864616813056</v>
      </c>
      <c r="CF2">
        <v>0.21218765992067024</v>
      </c>
      <c r="CG2">
        <v>-0.79129201120137216</v>
      </c>
      <c r="CH2">
        <v>-1.502267889089262</v>
      </c>
      <c r="CI2">
        <v>-1.2574360473346413</v>
      </c>
      <c r="CL2">
        <f>SUM(_xlfn.ANCHORARRAY(BZ2))</f>
        <v>1690.4495420655483</v>
      </c>
    </row>
    <row r="3" spans="1:90">
      <c r="A3">
        <v>2001</v>
      </c>
      <c r="B3">
        <v>40</v>
      </c>
      <c r="C3">
        <v>19</v>
      </c>
      <c r="D3">
        <v>9</v>
      </c>
      <c r="E3">
        <v>10</v>
      </c>
      <c r="F3">
        <v>9</v>
      </c>
      <c r="G3">
        <v>5</v>
      </c>
      <c r="H3">
        <v>3</v>
      </c>
      <c r="I3">
        <v>3</v>
      </c>
      <c r="J3">
        <v>1</v>
      </c>
      <c r="M3">
        <v>100.91588873634451</v>
      </c>
      <c r="O3">
        <f t="shared" si="0"/>
        <v>100.91588873634448</v>
      </c>
      <c r="P3">
        <v>39.347351491034011</v>
      </c>
      <c r="Q3">
        <v>18.375516945305279</v>
      </c>
      <c r="R3">
        <v>12.134101564848248</v>
      </c>
      <c r="S3">
        <v>8.6510014141270588</v>
      </c>
      <c r="T3" s="10">
        <v>6.4225367747091138</v>
      </c>
      <c r="U3">
        <v>4.8941901879777197</v>
      </c>
      <c r="V3">
        <v>3.7997608222833033</v>
      </c>
      <c r="W3">
        <v>2.9922988803597752</v>
      </c>
      <c r="X3">
        <v>2.3832422441678065</v>
      </c>
      <c r="Y3">
        <v>1.9158884115322001</v>
      </c>
      <c r="AB3">
        <v>1</v>
      </c>
      <c r="AC3">
        <v>1</v>
      </c>
      <c r="AD3">
        <v>1</v>
      </c>
      <c r="AE3">
        <v>1</v>
      </c>
      <c r="AF3">
        <v>1</v>
      </c>
      <c r="AG3">
        <v>1</v>
      </c>
      <c r="AH3">
        <v>1</v>
      </c>
      <c r="AI3">
        <v>1</v>
      </c>
      <c r="AJ3">
        <v>1</v>
      </c>
      <c r="AK3">
        <v>0</v>
      </c>
      <c r="AP3">
        <v>3.6724286661442034</v>
      </c>
      <c r="AQ3">
        <v>2.9110191777810113</v>
      </c>
      <c r="AR3">
        <v>2.4960197997544218</v>
      </c>
      <c r="AS3">
        <v>2.1576750846622232</v>
      </c>
      <c r="AT3">
        <v>1.8598131759036267</v>
      </c>
      <c r="AU3">
        <v>1.5880488257238563</v>
      </c>
      <c r="AV3">
        <v>1.3349381232470465</v>
      </c>
      <c r="AW3">
        <v>1.0960419482916146</v>
      </c>
      <c r="AX3">
        <v>0.86846184807714222</v>
      </c>
      <c r="AY3">
        <v>0.65018143752497337</v>
      </c>
      <c r="BB3">
        <v>146.89714664576815</v>
      </c>
      <c r="BC3">
        <v>55.309364377839216</v>
      </c>
      <c r="BD3">
        <v>22.464178197789796</v>
      </c>
      <c r="BE3">
        <v>21.576750846622232</v>
      </c>
      <c r="BF3">
        <v>16.738318583132639</v>
      </c>
      <c r="BG3">
        <v>7.9402441286192813</v>
      </c>
      <c r="BH3">
        <v>4.0048143697411396</v>
      </c>
      <c r="BI3">
        <v>3.2881258448748438</v>
      </c>
      <c r="BJ3">
        <v>0.86846184807714222</v>
      </c>
      <c r="BK3">
        <v>0</v>
      </c>
      <c r="BN3">
        <v>107.54979515473414</v>
      </c>
      <c r="BO3">
        <v>36.933847432533938</v>
      </c>
      <c r="BP3">
        <v>10.330076632941548</v>
      </c>
      <c r="BQ3">
        <v>12.925749432495174</v>
      </c>
      <c r="BR3">
        <v>10.315781808423525</v>
      </c>
      <c r="BS3">
        <v>3.0460539406415617</v>
      </c>
      <c r="BT3">
        <v>0.20505354745783633</v>
      </c>
      <c r="BU3">
        <v>0.29582696451506862</v>
      </c>
      <c r="BV3">
        <v>-1.5147803960906643</v>
      </c>
      <c r="BW3">
        <v>-1.9158884115322001</v>
      </c>
      <c r="BZ3">
        <v>107.54979515473414</v>
      </c>
      <c r="CA3">
        <v>36.933847432533938</v>
      </c>
      <c r="CB3">
        <v>10.330076632941548</v>
      </c>
      <c r="CC3">
        <v>12.925749432495174</v>
      </c>
      <c r="CD3">
        <v>10.315781808423525</v>
      </c>
      <c r="CE3">
        <v>3.0460539406415617</v>
      </c>
      <c r="CF3">
        <v>0.20505354745783633</v>
      </c>
      <c r="CG3">
        <v>0.29582696451506862</v>
      </c>
      <c r="CH3">
        <v>-1.5147803960906643</v>
      </c>
      <c r="CI3">
        <v>0</v>
      </c>
    </row>
    <row r="4" spans="1:90">
      <c r="A4">
        <v>2002</v>
      </c>
      <c r="B4">
        <v>36</v>
      </c>
      <c r="C4">
        <v>19</v>
      </c>
      <c r="D4">
        <v>10</v>
      </c>
      <c r="E4">
        <v>11</v>
      </c>
      <c r="F4">
        <v>9</v>
      </c>
      <c r="G4">
        <v>6</v>
      </c>
      <c r="H4">
        <v>3</v>
      </c>
      <c r="I4">
        <v>3</v>
      </c>
      <c r="M4">
        <v>101.31618445630637</v>
      </c>
      <c r="O4">
        <f t="shared" si="0"/>
        <v>101.31618445630636</v>
      </c>
      <c r="P4">
        <v>39.503427769912612</v>
      </c>
      <c r="Q4">
        <v>18.448405772598967</v>
      </c>
      <c r="R4">
        <v>12.182233023460096</v>
      </c>
      <c r="S4">
        <v>8.6853167125683832</v>
      </c>
      <c r="T4" s="10">
        <v>6.4480125844592564</v>
      </c>
      <c r="U4">
        <v>4.9136036164225239</v>
      </c>
      <c r="V4">
        <v>3.8148330573206684</v>
      </c>
      <c r="W4">
        <v>3.0041682148090225</v>
      </c>
      <c r="X4">
        <v>2.3926956779324851</v>
      </c>
      <c r="Y4">
        <v>1.9234880268223609</v>
      </c>
      <c r="AB4">
        <v>1</v>
      </c>
      <c r="AC4">
        <v>1</v>
      </c>
      <c r="AD4">
        <v>1</v>
      </c>
      <c r="AE4">
        <v>1</v>
      </c>
      <c r="AF4">
        <v>1</v>
      </c>
      <c r="AG4">
        <v>1</v>
      </c>
      <c r="AH4">
        <v>1</v>
      </c>
      <c r="AI4">
        <v>1</v>
      </c>
      <c r="AJ4">
        <v>0</v>
      </c>
      <c r="AK4">
        <v>0</v>
      </c>
      <c r="AP4">
        <v>3.6763874471271274</v>
      </c>
      <c r="AQ4">
        <v>2.9149779587639348</v>
      </c>
      <c r="AR4">
        <v>2.4999785807373458</v>
      </c>
      <c r="AS4">
        <v>2.1616338656451473</v>
      </c>
      <c r="AT4">
        <v>1.8637719568865505</v>
      </c>
      <c r="AU4">
        <v>1.5920076067067803</v>
      </c>
      <c r="AV4">
        <v>1.3388969042299703</v>
      </c>
      <c r="AW4">
        <v>1.1000007292745384</v>
      </c>
      <c r="AX4">
        <v>0.87242062906006612</v>
      </c>
      <c r="AY4">
        <v>0.65414021850789728</v>
      </c>
      <c r="BB4">
        <v>132.34994809657658</v>
      </c>
      <c r="BC4">
        <v>55.384581216514761</v>
      </c>
      <c r="BD4">
        <v>24.999785807373456</v>
      </c>
      <c r="BE4">
        <v>23.777972522096618</v>
      </c>
      <c r="BF4">
        <v>16.773947611978954</v>
      </c>
      <c r="BG4">
        <v>9.5520456402406815</v>
      </c>
      <c r="BH4">
        <v>4.0166907126899112</v>
      </c>
      <c r="BI4">
        <v>3.3000021878236154</v>
      </c>
      <c r="BJ4">
        <v>0</v>
      </c>
      <c r="BK4">
        <v>0</v>
      </c>
      <c r="BN4">
        <v>92.846520326663978</v>
      </c>
      <c r="BO4">
        <v>36.936175443915793</v>
      </c>
      <c r="BP4">
        <v>12.81755278391336</v>
      </c>
      <c r="BQ4">
        <v>15.092655809528235</v>
      </c>
      <c r="BR4">
        <v>10.325935027519698</v>
      </c>
      <c r="BS4">
        <v>4.6384420238181576</v>
      </c>
      <c r="BT4">
        <v>0.20185765536924283</v>
      </c>
      <c r="BU4">
        <v>0.29583397301459291</v>
      </c>
      <c r="BV4">
        <v>-2.3926956779324851</v>
      </c>
      <c r="BW4">
        <v>-1.9234880268223609</v>
      </c>
      <c r="BZ4">
        <v>92.846520326663978</v>
      </c>
      <c r="CA4">
        <v>36.936175443915793</v>
      </c>
      <c r="CB4">
        <v>12.81755278391336</v>
      </c>
      <c r="CC4">
        <v>15.092655809528235</v>
      </c>
      <c r="CD4">
        <v>10.325935027519698</v>
      </c>
      <c r="CE4">
        <v>4.6384420238181576</v>
      </c>
      <c r="CF4">
        <v>0.20185765536924283</v>
      </c>
      <c r="CG4">
        <v>0.29583397301459291</v>
      </c>
      <c r="CH4">
        <v>0</v>
      </c>
      <c r="CI4">
        <v>0</v>
      </c>
    </row>
    <row r="5" spans="1:90">
      <c r="A5">
        <v>2003</v>
      </c>
      <c r="B5">
        <v>38</v>
      </c>
      <c r="C5">
        <v>19</v>
      </c>
      <c r="D5">
        <v>9</v>
      </c>
      <c r="E5">
        <v>11</v>
      </c>
      <c r="F5">
        <v>9</v>
      </c>
      <c r="G5">
        <v>6</v>
      </c>
      <c r="H5">
        <v>3</v>
      </c>
      <c r="M5">
        <v>102.39855269969891</v>
      </c>
      <c r="O5">
        <f t="shared" si="0"/>
        <v>102.39855269969888</v>
      </c>
      <c r="P5">
        <v>39.925445791542153</v>
      </c>
      <c r="Q5">
        <v>18.645491447080637</v>
      </c>
      <c r="R5">
        <v>12.312376714016144</v>
      </c>
      <c r="S5">
        <v>8.7781025892171893</v>
      </c>
      <c r="T5" s="10">
        <v>6.5168971767074373</v>
      </c>
      <c r="U5">
        <v>4.9660960049147889</v>
      </c>
      <c r="V5">
        <v>3.8555871991909498</v>
      </c>
      <c r="W5">
        <v>3.0362619645980389</v>
      </c>
      <c r="X5">
        <v>2.4182570216782473</v>
      </c>
      <c r="Y5">
        <v>1.9440367907533214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0</v>
      </c>
      <c r="AJ5">
        <v>0</v>
      </c>
      <c r="AK5">
        <v>0</v>
      </c>
      <c r="AP5">
        <v>3.6870138597630269</v>
      </c>
      <c r="AQ5">
        <v>2.9256043713998343</v>
      </c>
      <c r="AR5">
        <v>2.5106049933732453</v>
      </c>
      <c r="AS5">
        <v>2.1722602782810467</v>
      </c>
      <c r="AT5">
        <v>1.87439836952245</v>
      </c>
      <c r="AU5">
        <v>1.6026340193426796</v>
      </c>
      <c r="AV5">
        <v>1.3495233168658698</v>
      </c>
      <c r="AW5">
        <v>1.1106271419104379</v>
      </c>
      <c r="AX5">
        <v>0.88304704169596571</v>
      </c>
      <c r="AY5">
        <v>0.66476663114379675</v>
      </c>
      <c r="BB5">
        <v>140.10652667099501</v>
      </c>
      <c r="BC5">
        <v>55.586483056596855</v>
      </c>
      <c r="BD5">
        <v>22.595444940359208</v>
      </c>
      <c r="BE5">
        <v>23.894863061091513</v>
      </c>
      <c r="BF5">
        <v>16.869585325702051</v>
      </c>
      <c r="BG5">
        <v>9.6158041160560774</v>
      </c>
      <c r="BH5">
        <v>4.0485699505976092</v>
      </c>
      <c r="BI5">
        <v>0</v>
      </c>
      <c r="BJ5">
        <v>0</v>
      </c>
      <c r="BK5">
        <v>0</v>
      </c>
      <c r="BN5">
        <v>100.18108087945285</v>
      </c>
      <c r="BO5">
        <v>36.940991609516217</v>
      </c>
      <c r="BP5">
        <v>10.283068226343064</v>
      </c>
      <c r="BQ5">
        <v>15.116760471874324</v>
      </c>
      <c r="BR5">
        <v>10.352688148994613</v>
      </c>
      <c r="BS5">
        <v>4.6497081111412886</v>
      </c>
      <c r="BT5">
        <v>0.19298275140665933</v>
      </c>
      <c r="BU5">
        <v>-3.0362619645980389</v>
      </c>
      <c r="BV5">
        <v>-2.4182570216782473</v>
      </c>
      <c r="BW5">
        <v>-1.9440367907533214</v>
      </c>
      <c r="BZ5">
        <v>100.18108087945285</v>
      </c>
      <c r="CA5">
        <v>36.940991609516217</v>
      </c>
      <c r="CB5">
        <v>10.283068226343064</v>
      </c>
      <c r="CC5">
        <v>15.116760471874324</v>
      </c>
      <c r="CD5">
        <v>10.352688148994613</v>
      </c>
      <c r="CE5">
        <v>4.6497081111412886</v>
      </c>
      <c r="CF5">
        <v>0.19298275140665933</v>
      </c>
      <c r="CG5">
        <v>0</v>
      </c>
      <c r="CH5">
        <v>0</v>
      </c>
      <c r="CI5">
        <v>0</v>
      </c>
    </row>
    <row r="6" spans="1:90">
      <c r="A6">
        <v>2004</v>
      </c>
      <c r="B6">
        <v>39</v>
      </c>
      <c r="C6">
        <v>19</v>
      </c>
      <c r="D6">
        <v>9</v>
      </c>
      <c r="E6">
        <v>10</v>
      </c>
      <c r="F6">
        <v>10</v>
      </c>
      <c r="G6">
        <v>5</v>
      </c>
      <c r="M6">
        <v>103.35978634750947</v>
      </c>
      <c r="O6">
        <f t="shared" si="0"/>
        <v>103.35978634750946</v>
      </c>
      <c r="P6">
        <v>40.300233138500232</v>
      </c>
      <c r="Q6">
        <v>18.820520031824987</v>
      </c>
      <c r="R6">
        <v>12.427955210684352</v>
      </c>
      <c r="S6">
        <v>8.8605042184417133</v>
      </c>
      <c r="T6" s="10">
        <v>6.578072463666266</v>
      </c>
      <c r="U6">
        <v>5.0127136421013327</v>
      </c>
      <c r="V6">
        <v>3.8917802903062007</v>
      </c>
      <c r="W6">
        <v>3.0647639022425892</v>
      </c>
      <c r="X6">
        <v>2.4409576356713796</v>
      </c>
      <c r="Y6">
        <v>1.962285814070418</v>
      </c>
      <c r="AB6">
        <v>1</v>
      </c>
      <c r="AC6">
        <v>1</v>
      </c>
      <c r="AD6">
        <v>1</v>
      </c>
      <c r="AE6">
        <v>1</v>
      </c>
      <c r="AF6">
        <v>1</v>
      </c>
      <c r="AG6">
        <v>1</v>
      </c>
      <c r="AH6">
        <v>0</v>
      </c>
      <c r="AI6">
        <v>0</v>
      </c>
      <c r="AJ6">
        <v>0</v>
      </c>
      <c r="AK6">
        <v>0</v>
      </c>
      <c r="AP6">
        <v>3.6963572540103513</v>
      </c>
      <c r="AQ6">
        <v>2.9349477656471588</v>
      </c>
      <c r="AR6">
        <v>2.5199483876205697</v>
      </c>
      <c r="AS6">
        <v>2.1816036725283712</v>
      </c>
      <c r="AT6">
        <v>1.8837417637697744</v>
      </c>
      <c r="AU6">
        <v>1.6119774135900042</v>
      </c>
      <c r="AV6">
        <v>1.3588667111131942</v>
      </c>
      <c r="AW6">
        <v>1.1199705361577623</v>
      </c>
      <c r="AX6">
        <v>0.89239043594329015</v>
      </c>
      <c r="AY6">
        <v>0.67411002539112119</v>
      </c>
      <c r="BB6">
        <v>144.15793290640369</v>
      </c>
      <c r="BC6">
        <v>55.764007547296018</v>
      </c>
      <c r="BD6">
        <v>22.679535488585127</v>
      </c>
      <c r="BE6">
        <v>21.816036725283713</v>
      </c>
      <c r="BF6">
        <v>18.837417637697744</v>
      </c>
      <c r="BG6">
        <v>8.0598870679500205</v>
      </c>
      <c r="BH6">
        <v>0</v>
      </c>
      <c r="BI6">
        <v>0</v>
      </c>
      <c r="BJ6">
        <v>0</v>
      </c>
      <c r="BK6">
        <v>0</v>
      </c>
      <c r="BN6">
        <v>103.85769976790345</v>
      </c>
      <c r="BO6">
        <v>36.943487515471034</v>
      </c>
      <c r="BP6">
        <v>10.251580277900775</v>
      </c>
      <c r="BQ6">
        <v>12.955532506841999</v>
      </c>
      <c r="BR6">
        <v>12.259345174031477</v>
      </c>
      <c r="BS6">
        <v>3.0471734258486878</v>
      </c>
      <c r="BT6">
        <v>-3.8917802903062007</v>
      </c>
      <c r="BU6">
        <v>-3.0647639022425892</v>
      </c>
      <c r="BV6">
        <v>-2.4409576356713796</v>
      </c>
      <c r="BW6">
        <v>-1.962285814070418</v>
      </c>
      <c r="BZ6">
        <v>103.85769976790345</v>
      </c>
      <c r="CA6">
        <v>36.943487515471034</v>
      </c>
      <c r="CB6">
        <v>10.251580277900775</v>
      </c>
      <c r="CC6">
        <v>12.955532506841999</v>
      </c>
      <c r="CD6">
        <v>12.259345174031477</v>
      </c>
      <c r="CE6">
        <v>3.0471734258486878</v>
      </c>
      <c r="CF6">
        <v>0</v>
      </c>
      <c r="CG6">
        <v>0</v>
      </c>
      <c r="CH6">
        <v>0</v>
      </c>
      <c r="CI6">
        <v>0</v>
      </c>
    </row>
    <row r="7" spans="1:90">
      <c r="A7">
        <v>2005</v>
      </c>
      <c r="B7">
        <v>41</v>
      </c>
      <c r="C7">
        <v>19</v>
      </c>
      <c r="D7">
        <v>10</v>
      </c>
      <c r="E7">
        <v>9</v>
      </c>
      <c r="F7">
        <v>9</v>
      </c>
      <c r="M7">
        <v>104.56310947228684</v>
      </c>
      <c r="O7">
        <f t="shared" si="0"/>
        <v>104.56310947228683</v>
      </c>
      <c r="P7">
        <v>40.769411763796846</v>
      </c>
      <c r="Q7">
        <v>19.039630072343915</v>
      </c>
      <c r="R7">
        <v>12.572642486337514</v>
      </c>
      <c r="S7">
        <v>8.9636589365386641</v>
      </c>
      <c r="T7" s="10">
        <v>6.6546549237477697</v>
      </c>
      <c r="U7">
        <v>5.07107206617109</v>
      </c>
      <c r="V7">
        <v>3.937088716197612</v>
      </c>
      <c r="W7">
        <v>3.1004441353958607</v>
      </c>
      <c r="X7">
        <v>2.4693754650168254</v>
      </c>
      <c r="Y7">
        <v>1.9851309067407399</v>
      </c>
      <c r="AB7">
        <v>1</v>
      </c>
      <c r="AC7">
        <v>1</v>
      </c>
      <c r="AD7">
        <v>1</v>
      </c>
      <c r="AE7">
        <v>1</v>
      </c>
      <c r="AF7">
        <v>1</v>
      </c>
      <c r="AG7">
        <v>0</v>
      </c>
      <c r="AH7">
        <v>0</v>
      </c>
      <c r="AI7">
        <v>0</v>
      </c>
      <c r="AJ7">
        <v>0</v>
      </c>
      <c r="AK7">
        <v>0</v>
      </c>
      <c r="AP7">
        <v>3.7079320885641329</v>
      </c>
      <c r="AQ7">
        <v>2.9465226002009404</v>
      </c>
      <c r="AR7">
        <v>2.5315232221743513</v>
      </c>
      <c r="AS7">
        <v>2.1931785070821528</v>
      </c>
      <c r="AT7">
        <v>1.8953165983235563</v>
      </c>
      <c r="AU7">
        <v>1.6235522481437858</v>
      </c>
      <c r="AV7">
        <v>1.3704415456669761</v>
      </c>
      <c r="AW7">
        <v>1.1315453707115442</v>
      </c>
      <c r="AX7">
        <v>0.90396527049707176</v>
      </c>
      <c r="AY7">
        <v>0.68568485994490291</v>
      </c>
      <c r="BB7">
        <v>152.02521563112944</v>
      </c>
      <c r="BC7">
        <v>55.983929403817868</v>
      </c>
      <c r="BD7">
        <v>25.315232221743514</v>
      </c>
      <c r="BE7">
        <v>19.738606563739374</v>
      </c>
      <c r="BF7">
        <v>17.057849384912007</v>
      </c>
      <c r="BG7">
        <v>0</v>
      </c>
      <c r="BH7">
        <v>0</v>
      </c>
      <c r="BI7">
        <v>0</v>
      </c>
      <c r="BJ7">
        <v>0</v>
      </c>
      <c r="BK7">
        <v>0</v>
      </c>
      <c r="BN7">
        <v>111.25580386733259</v>
      </c>
      <c r="BO7">
        <v>36.944299331473957</v>
      </c>
      <c r="BP7">
        <v>12.742589735406</v>
      </c>
      <c r="BQ7">
        <v>10.77494762720071</v>
      </c>
      <c r="BR7">
        <v>10.403194461164237</v>
      </c>
      <c r="BS7">
        <v>-5.07107206617109</v>
      </c>
      <c r="BT7">
        <v>-3.937088716197612</v>
      </c>
      <c r="BU7">
        <v>-3.1004441353958607</v>
      </c>
      <c r="BV7">
        <v>-2.4693754650168254</v>
      </c>
      <c r="BW7">
        <v>-1.9851309067407399</v>
      </c>
      <c r="BZ7">
        <v>111.25580386733259</v>
      </c>
      <c r="CA7">
        <v>36.944299331473957</v>
      </c>
      <c r="CB7">
        <v>12.742589735406</v>
      </c>
      <c r="CC7">
        <v>10.77494762720071</v>
      </c>
      <c r="CD7">
        <v>10.403194461164237</v>
      </c>
      <c r="CE7">
        <v>0</v>
      </c>
      <c r="CF7">
        <v>0</v>
      </c>
      <c r="CG7">
        <v>0</v>
      </c>
      <c r="CH7">
        <v>0</v>
      </c>
      <c r="CI7">
        <v>0</v>
      </c>
    </row>
    <row r="8" spans="1:90">
      <c r="A8">
        <v>2006</v>
      </c>
      <c r="B8">
        <v>42</v>
      </c>
      <c r="C8">
        <v>19</v>
      </c>
      <c r="D8">
        <v>9</v>
      </c>
      <c r="E8">
        <v>9</v>
      </c>
      <c r="M8">
        <v>101.54834817092991</v>
      </c>
      <c r="O8">
        <f t="shared" si="0"/>
        <v>101.54834817092993</v>
      </c>
      <c r="P8">
        <v>39.593948969271246</v>
      </c>
      <c r="Q8">
        <v>18.490679871609238</v>
      </c>
      <c r="R8">
        <v>12.210148331229663</v>
      </c>
      <c r="S8">
        <v>8.7052189167571061</v>
      </c>
      <c r="T8" s="10">
        <v>6.4627880575150245</v>
      </c>
      <c r="U8">
        <v>4.9248630264950402</v>
      </c>
      <c r="V8">
        <v>3.8235746598396436</v>
      </c>
      <c r="W8">
        <v>3.0110521974209496</v>
      </c>
      <c r="X8">
        <v>2.3981784852404533</v>
      </c>
      <c r="Y8">
        <v>1.9278956555515454</v>
      </c>
      <c r="AB8">
        <v>1</v>
      </c>
      <c r="AC8">
        <v>1</v>
      </c>
      <c r="AD8">
        <v>1</v>
      </c>
      <c r="AE8">
        <v>1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P8">
        <v>3.6786763027784621</v>
      </c>
      <c r="AQ8">
        <v>2.91726681441527</v>
      </c>
      <c r="AR8">
        <v>2.5022674363886805</v>
      </c>
      <c r="AS8">
        <v>2.163922721296482</v>
      </c>
      <c r="AT8">
        <v>1.8660608125378855</v>
      </c>
      <c r="AU8">
        <v>1.5942964623581151</v>
      </c>
      <c r="AV8">
        <v>1.3411857598813053</v>
      </c>
      <c r="AW8">
        <v>1.1022895849258734</v>
      </c>
      <c r="AX8">
        <v>0.87470948471140109</v>
      </c>
      <c r="AY8">
        <v>0.65642907415923213</v>
      </c>
      <c r="BB8">
        <v>154.5044047166954</v>
      </c>
      <c r="BC8">
        <v>55.428069473890133</v>
      </c>
      <c r="BD8">
        <v>22.520406927498126</v>
      </c>
      <c r="BE8">
        <v>19.475304491668339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N8">
        <v>114.91045574742415</v>
      </c>
      <c r="BO8">
        <v>36.937389602280895</v>
      </c>
      <c r="BP8">
        <v>10.310258596268463</v>
      </c>
      <c r="BQ8">
        <v>10.770085574911233</v>
      </c>
      <c r="BR8">
        <v>-6.4627880575150245</v>
      </c>
      <c r="BS8">
        <v>-4.9248630264950402</v>
      </c>
      <c r="BT8">
        <v>-3.8235746598396436</v>
      </c>
      <c r="BU8">
        <v>-3.0110521974209496</v>
      </c>
      <c r="BV8">
        <v>-2.3981784852404533</v>
      </c>
      <c r="BW8">
        <v>-1.9278956555515454</v>
      </c>
      <c r="BZ8">
        <v>114.91045574742415</v>
      </c>
      <c r="CA8">
        <v>36.937389602280895</v>
      </c>
      <c r="CB8">
        <v>10.310258596268463</v>
      </c>
      <c r="CC8">
        <v>10.770085574911233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</row>
    <row r="9" spans="1:90">
      <c r="A9">
        <v>2007</v>
      </c>
      <c r="B9">
        <v>43</v>
      </c>
      <c r="C9">
        <v>19</v>
      </c>
      <c r="D9">
        <v>10</v>
      </c>
      <c r="M9">
        <v>104.01172189107125</v>
      </c>
      <c r="O9">
        <f t="shared" si="0"/>
        <v>104.01172189107125</v>
      </c>
      <c r="P9">
        <v>40.554424399194993</v>
      </c>
      <c r="Q9">
        <v>18.939229313167836</v>
      </c>
      <c r="R9">
        <v>12.506343779604165</v>
      </c>
      <c r="S9">
        <v>8.9163913079763208</v>
      </c>
      <c r="T9" s="10">
        <v>6.6195632542216041</v>
      </c>
      <c r="U9">
        <v>5.0443310274352715</v>
      </c>
      <c r="V9">
        <v>3.9163274569426858</v>
      </c>
      <c r="W9">
        <v>3.0840947134903929</v>
      </c>
      <c r="X9">
        <v>2.4563538269683733</v>
      </c>
      <c r="Y9">
        <v>1.9746628120696053</v>
      </c>
      <c r="AB9">
        <v>1</v>
      </c>
      <c r="AC9">
        <v>1</v>
      </c>
      <c r="AD9">
        <v>1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P9">
        <v>3.7026448843305975</v>
      </c>
      <c r="AQ9">
        <v>2.9412353959674049</v>
      </c>
      <c r="AR9">
        <v>2.5262360179408159</v>
      </c>
      <c r="AS9">
        <v>2.1878913028486173</v>
      </c>
      <c r="AT9">
        <v>1.8900293940900206</v>
      </c>
      <c r="AU9">
        <v>1.6182650439102502</v>
      </c>
      <c r="AV9">
        <v>1.3651543414334406</v>
      </c>
      <c r="AW9">
        <v>1.1262581664780085</v>
      </c>
      <c r="AX9">
        <v>0.89867806626353619</v>
      </c>
      <c r="AY9">
        <v>0.68039765571136723</v>
      </c>
      <c r="BB9">
        <v>159.2137300262157</v>
      </c>
      <c r="BC9">
        <v>55.883472523380696</v>
      </c>
      <c r="BD9">
        <v>25.262360179408159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N9">
        <v>118.6593056270207</v>
      </c>
      <c r="BO9">
        <v>36.944243210212861</v>
      </c>
      <c r="BP9">
        <v>12.756016399803993</v>
      </c>
      <c r="BQ9">
        <v>-8.9163913079763208</v>
      </c>
      <c r="BR9">
        <v>-6.6195632542216041</v>
      </c>
      <c r="BS9">
        <v>-5.0443310274352715</v>
      </c>
      <c r="BT9">
        <v>-3.9163274569426858</v>
      </c>
      <c r="BU9">
        <v>-3.0840947134903929</v>
      </c>
      <c r="BV9">
        <v>-2.4563538269683733</v>
      </c>
      <c r="BW9">
        <v>-1.9746628120696053</v>
      </c>
      <c r="BZ9">
        <v>118.6593056270207</v>
      </c>
      <c r="CA9">
        <v>36.944243210212861</v>
      </c>
      <c r="CB9">
        <v>12.756016399803993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</row>
    <row r="10" spans="1:90">
      <c r="A10">
        <v>2008</v>
      </c>
      <c r="B10">
        <v>43</v>
      </c>
      <c r="C10">
        <v>20</v>
      </c>
      <c r="M10">
        <v>110.14180535853976</v>
      </c>
      <c r="O10">
        <f t="shared" si="0"/>
        <v>110.14180535853976</v>
      </c>
      <c r="P10">
        <v>42.94455891501967</v>
      </c>
      <c r="Q10">
        <v>20.055440586170626</v>
      </c>
      <c r="R10">
        <v>13.243423503388744</v>
      </c>
      <c r="S10">
        <v>9.4418919145689877</v>
      </c>
      <c r="T10" s="10">
        <v>7.0096969288574558</v>
      </c>
      <c r="U10">
        <v>5.341626079122844</v>
      </c>
      <c r="V10">
        <v>4.1471419628513528</v>
      </c>
      <c r="W10">
        <v>3.265860361357217</v>
      </c>
      <c r="X10">
        <v>2.6011226444745517</v>
      </c>
      <c r="Y10">
        <v>2.0910424627283057</v>
      </c>
      <c r="AB10">
        <v>1</v>
      </c>
      <c r="AC10">
        <v>1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P10">
        <v>3.7599099562379688</v>
      </c>
      <c r="AQ10">
        <v>2.9985004678747762</v>
      </c>
      <c r="AR10">
        <v>2.5835010898481872</v>
      </c>
      <c r="AS10">
        <v>2.2451563747559886</v>
      </c>
      <c r="AT10">
        <v>1.9472944659973919</v>
      </c>
      <c r="AU10">
        <v>1.6755301158176217</v>
      </c>
      <c r="AV10">
        <v>1.4224194133408117</v>
      </c>
      <c r="AW10">
        <v>1.1835232383853798</v>
      </c>
      <c r="AX10">
        <v>0.95594313817090759</v>
      </c>
      <c r="AY10">
        <v>0.73766272761873863</v>
      </c>
      <c r="BB10">
        <v>161.67612811823267</v>
      </c>
      <c r="BC10">
        <v>59.970009357495528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N10">
        <v>118.731569203213</v>
      </c>
      <c r="BO10">
        <v>39.914568771324902</v>
      </c>
      <c r="BP10">
        <v>-13.243423503388744</v>
      </c>
      <c r="BQ10">
        <v>-9.4418919145689877</v>
      </c>
      <c r="BR10">
        <v>-7.0096969288574558</v>
      </c>
      <c r="BS10">
        <v>-5.341626079122844</v>
      </c>
      <c r="BT10">
        <v>-4.1471419628513528</v>
      </c>
      <c r="BU10">
        <v>-3.265860361357217</v>
      </c>
      <c r="BV10">
        <v>-2.6011226444745517</v>
      </c>
      <c r="BW10">
        <v>-2.0910424627283057</v>
      </c>
      <c r="BZ10">
        <v>118.731569203213</v>
      </c>
      <c r="CA10">
        <v>39.914568771324902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</row>
    <row r="11" spans="1:90">
      <c r="A11">
        <v>2009</v>
      </c>
      <c r="B11">
        <v>42</v>
      </c>
      <c r="M11">
        <v>107.71925263212303</v>
      </c>
      <c r="O11">
        <f t="shared" si="0"/>
        <v>107.71925263212303</v>
      </c>
      <c r="P11">
        <v>41.999999690248636</v>
      </c>
      <c r="Q11">
        <v>19.614324135306592</v>
      </c>
      <c r="R11">
        <v>12.952136361228801</v>
      </c>
      <c r="S11">
        <v>9.2342188977184634</v>
      </c>
      <c r="T11" s="10">
        <v>6.8555196811622698</v>
      </c>
      <c r="U11">
        <v>5.2241378031739112</v>
      </c>
      <c r="V11">
        <v>4.0559261884572591</v>
      </c>
      <c r="W11">
        <v>3.1940282455066771</v>
      </c>
      <c r="X11">
        <v>2.5439113364375752</v>
      </c>
      <c r="Y11">
        <v>2.0450502928828453</v>
      </c>
      <c r="AB11">
        <v>1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P11">
        <v>3.7376696109083358</v>
      </c>
      <c r="AQ11">
        <v>2.9762601225451433</v>
      </c>
      <c r="AR11">
        <v>2.5612607445185542</v>
      </c>
      <c r="AS11">
        <v>2.2229160294263557</v>
      </c>
      <c r="AT11">
        <v>1.9250541206677589</v>
      </c>
      <c r="AU11">
        <v>1.6532897704879885</v>
      </c>
      <c r="AV11">
        <v>1.4001790680111788</v>
      </c>
      <c r="AW11">
        <v>1.1612828930557468</v>
      </c>
      <c r="AX11">
        <v>0.93370279284127455</v>
      </c>
      <c r="AY11">
        <v>0.71542238228910571</v>
      </c>
      <c r="BB11">
        <v>156.9821236581501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N11">
        <v>114.98212396790146</v>
      </c>
      <c r="BO11">
        <v>-19.614324135306592</v>
      </c>
      <c r="BP11">
        <v>-12.952136361228801</v>
      </c>
      <c r="BQ11">
        <v>-9.2342188977184634</v>
      </c>
      <c r="BR11">
        <v>-6.8555196811622698</v>
      </c>
      <c r="BS11">
        <v>-5.2241378031739112</v>
      </c>
      <c r="BT11">
        <v>-4.0559261884572591</v>
      </c>
      <c r="BU11">
        <v>-3.1940282455066771</v>
      </c>
      <c r="BV11">
        <v>-2.5439113364375752</v>
      </c>
      <c r="BW11">
        <v>-2.0450502928828453</v>
      </c>
      <c r="BZ11">
        <v>114.98212396790146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</row>
    <row r="13" spans="1:90">
      <c r="M13" t="s">
        <v>18</v>
      </c>
      <c r="AB13" t="s">
        <v>19</v>
      </c>
    </row>
    <row r="14" spans="1:90">
      <c r="A14" s="6"/>
      <c r="P14" t="s">
        <v>20</v>
      </c>
    </row>
    <row r="17" spans="1:37">
      <c r="Z17" s="5" t="s">
        <v>21</v>
      </c>
    </row>
    <row r="21" spans="1:37">
      <c r="A21" s="5" t="s">
        <v>187</v>
      </c>
    </row>
    <row r="23" spans="1:37">
      <c r="A23" s="7" cm="1">
        <f t="array" ref="A23:K23">_xlfn.ANCHORARRAY(A26)</f>
        <v>0</v>
      </c>
      <c r="B23" s="7">
        <v>0.35703235333045513</v>
      </c>
      <c r="C23" s="8">
        <v>0.52376921896526063</v>
      </c>
      <c r="D23" s="8">
        <v>0.63387235610361947</v>
      </c>
      <c r="E23" s="8">
        <v>0.71237033059256805</v>
      </c>
      <c r="F23" s="8">
        <v>0.77064752923828372</v>
      </c>
      <c r="G23" s="8">
        <v>0.81505672513698812</v>
      </c>
      <c r="H23" s="8">
        <v>0.84953522234363765</v>
      </c>
      <c r="I23" s="8">
        <v>0.87668692304619644</v>
      </c>
      <c r="J23" s="8">
        <v>0.89831212918454806</v>
      </c>
      <c r="K23" s="8">
        <v>0.91569663214007124</v>
      </c>
    </row>
    <row r="24" spans="1:37">
      <c r="A24" cm="1">
        <f t="array" ref="A24:K24">_xlfn.ANCHORARRAY(A23)/K23</f>
        <v>0</v>
      </c>
      <c r="B24">
        <v>0.38990244235805055</v>
      </c>
      <c r="C24">
        <v>0.57198989335710615</v>
      </c>
      <c r="D24">
        <v>0.69222964664858355</v>
      </c>
      <c r="E24">
        <v>0.77795451636388568</v>
      </c>
      <c r="F24">
        <v>0.84159698986465226</v>
      </c>
      <c r="G24">
        <v>0.89009470661928947</v>
      </c>
      <c r="H24">
        <v>0.9277474575375384</v>
      </c>
      <c r="I24">
        <v>0.95739887237249599</v>
      </c>
      <c r="J24">
        <v>0.98101499738522147</v>
      </c>
      <c r="K24">
        <v>1</v>
      </c>
    </row>
    <row r="26" spans="1:37">
      <c r="A26" s="7" cm="1">
        <f t="array" ref="A26:K26">_xlfn.WEIBULL.DIST(A1:K1,B34,B35,1)</f>
        <v>0</v>
      </c>
      <c r="B26" s="7">
        <v>0.35703235333045513</v>
      </c>
      <c r="C26" s="8">
        <v>0.52376921896526063</v>
      </c>
      <c r="D26" s="8">
        <v>0.63387235610361947</v>
      </c>
      <c r="E26" s="8">
        <v>0.71237033059256805</v>
      </c>
      <c r="F26" s="8">
        <v>0.77064752923828372</v>
      </c>
      <c r="G26" s="8">
        <v>0.81505672513698812</v>
      </c>
      <c r="H26" s="8">
        <v>0.84953522234363765</v>
      </c>
      <c r="I26" s="8">
        <v>0.87668692304619644</v>
      </c>
      <c r="J26" s="8">
        <v>0.89831212918454806</v>
      </c>
      <c r="K26" s="8">
        <v>0.91569663214007124</v>
      </c>
      <c r="Q26" cm="1">
        <f t="array" ref="Q26:Z35">(B2:K11-_xlfn.ANCHORARRAY(P2))^2/_xlfn.ANCHORARRAY(P2)</f>
        <v>0.23233050605000541</v>
      </c>
      <c r="R26">
        <v>2.3930655684460253E-3</v>
      </c>
      <c r="S26">
        <v>8.7202949354332232E-2</v>
      </c>
      <c r="T26">
        <v>2.1320205810870383E-2</v>
      </c>
      <c r="U26">
        <v>0.42042459221643436</v>
      </c>
      <c r="V26">
        <v>4.653520005717054E-3</v>
      </c>
      <c r="W26">
        <v>0.15553873004294377</v>
      </c>
      <c r="X26">
        <v>0.31414966800686572</v>
      </c>
      <c r="Y26">
        <v>0.78505204655172933</v>
      </c>
      <c r="Z26">
        <v>0.4252318562278638</v>
      </c>
      <c r="AA26">
        <f>SUM(Q26:Z26,Q27:Y27,Q28:X28,Q29:W29,Q30:V30,Q31:U31,Q32:T32,Q33:S33,Q34:R34,Q35)/43</f>
        <v>0.39782438503632933</v>
      </c>
      <c r="AB26" t="s">
        <v>101</v>
      </c>
    </row>
    <row r="27" spans="1:37">
      <c r="O27" t="s">
        <v>32</v>
      </c>
      <c r="Q27">
        <v>1.0825381127687547E-2</v>
      </c>
      <c r="R27">
        <v>2.1222754535919885E-2</v>
      </c>
      <c r="S27">
        <v>0.8095030823905156</v>
      </c>
      <c r="T27">
        <v>0.21035682432272773</v>
      </c>
      <c r="U27">
        <v>1.0343758098649087</v>
      </c>
      <c r="V27">
        <v>2.2875523611019244E-3</v>
      </c>
      <c r="W27">
        <v>0.16833095628237851</v>
      </c>
      <c r="X27">
        <v>1.981995986508051E-5</v>
      </c>
      <c r="Y27">
        <v>0.80283870040181615</v>
      </c>
      <c r="Z27">
        <v>1.9158884115322001</v>
      </c>
    </row>
    <row r="28" spans="1:37">
      <c r="Q28">
        <v>0.31070736976256097</v>
      </c>
      <c r="R28">
        <v>1.6492275563130106E-2</v>
      </c>
      <c r="S28">
        <v>0.39090870774750713</v>
      </c>
      <c r="T28">
        <v>0.61687545755955098</v>
      </c>
      <c r="U28">
        <v>1.0100228068373858</v>
      </c>
      <c r="V28">
        <v>0.24020193617277075</v>
      </c>
      <c r="W28">
        <v>0.17404507650168893</v>
      </c>
      <c r="X28">
        <v>5.7833028818125341E-6</v>
      </c>
      <c r="Y28">
        <v>2.3926956779324851</v>
      </c>
      <c r="Z28">
        <v>1.9234880268223609</v>
      </c>
    </row>
    <row r="29" spans="1:37">
      <c r="Q29">
        <v>9.2856608678186708E-2</v>
      </c>
      <c r="R29">
        <v>6.7403057972311069E-3</v>
      </c>
      <c r="S29">
        <v>0.89112279053858745</v>
      </c>
      <c r="T29">
        <v>0.56240264383645266</v>
      </c>
      <c r="U29">
        <v>0.94612504445845369</v>
      </c>
      <c r="V29">
        <v>0.21525106844395409</v>
      </c>
      <c r="W29">
        <v>0.18986198926405348</v>
      </c>
      <c r="X29">
        <v>3.0362619645980389</v>
      </c>
      <c r="Y29">
        <v>2.4182570216782473</v>
      </c>
      <c r="Z29">
        <v>1.9440367907533214</v>
      </c>
      <c r="AK29" t="s">
        <v>43</v>
      </c>
    </row>
    <row r="30" spans="1:37">
      <c r="Q30">
        <v>4.1950283727740227E-2</v>
      </c>
      <c r="R30">
        <v>1.7115923960460281E-3</v>
      </c>
      <c r="S30">
        <v>0.94551973572899084</v>
      </c>
      <c r="T30">
        <v>0.14654365081014403</v>
      </c>
      <c r="U30">
        <v>1.7800941124617469</v>
      </c>
      <c r="V30">
        <v>3.2245347933544091E-5</v>
      </c>
      <c r="W30">
        <v>3.8917802903062007</v>
      </c>
      <c r="X30">
        <v>3.0647639022425897</v>
      </c>
      <c r="Y30">
        <v>2.4409576356713796</v>
      </c>
      <c r="Z30">
        <v>1.962285814070418</v>
      </c>
    </row>
    <row r="31" spans="1:37">
      <c r="Q31">
        <v>1.3041869473941539E-3</v>
      </c>
      <c r="R31">
        <v>8.2488085536137052E-5</v>
      </c>
      <c r="S31">
        <v>0.52641991289429191</v>
      </c>
      <c r="T31">
        <v>1.4733636150717101E-4</v>
      </c>
      <c r="U31">
        <v>0.8265858394957506</v>
      </c>
      <c r="V31">
        <v>5.07107206617109</v>
      </c>
      <c r="W31">
        <v>3.937088716197612</v>
      </c>
      <c r="X31">
        <v>3.1004441353958607</v>
      </c>
      <c r="Y31">
        <v>2.4693754650168254</v>
      </c>
      <c r="Z31">
        <v>1.9851309067407399</v>
      </c>
    </row>
    <row r="32" spans="1:37">
      <c r="Q32">
        <v>0.14621126998379957</v>
      </c>
      <c r="R32">
        <v>1.4029067345559207E-2</v>
      </c>
      <c r="S32">
        <v>0.84397437516295792</v>
      </c>
      <c r="T32">
        <v>9.9820450087227258E-3</v>
      </c>
      <c r="U32">
        <v>6.4627880575150236</v>
      </c>
      <c r="V32">
        <v>4.9248630264950402</v>
      </c>
      <c r="W32">
        <v>3.8235746598396441</v>
      </c>
      <c r="X32">
        <v>3.0110521974209496</v>
      </c>
      <c r="Y32">
        <v>2.3981784852404533</v>
      </c>
      <c r="Z32">
        <v>1.9278956555515454</v>
      </c>
    </row>
    <row r="33" spans="1:26">
      <c r="Q33">
        <v>0.14747688095337613</v>
      </c>
      <c r="R33">
        <v>1.9499612771916246E-4</v>
      </c>
      <c r="S33">
        <v>0.50228582008156786</v>
      </c>
      <c r="T33">
        <v>8.9163913079763208</v>
      </c>
      <c r="U33">
        <v>6.6195632542216041</v>
      </c>
      <c r="V33">
        <v>5.0443310274352715</v>
      </c>
      <c r="W33">
        <v>3.9163274569426858</v>
      </c>
      <c r="X33">
        <v>3.0840947134903924</v>
      </c>
      <c r="Y33">
        <v>2.4563538269683733</v>
      </c>
      <c r="Z33">
        <v>1.9746628120696053</v>
      </c>
    </row>
    <row r="34" spans="1:26">
      <c r="A34" t="s">
        <v>22</v>
      </c>
      <c r="B34">
        <v>0.74819374768248581</v>
      </c>
      <c r="Q34">
        <v>7.1574001024870214E-5</v>
      </c>
      <c r="R34">
        <v>1.5325809381929224E-4</v>
      </c>
      <c r="S34">
        <v>13.243423503388744</v>
      </c>
      <c r="T34">
        <v>9.4418919145689877</v>
      </c>
      <c r="U34">
        <v>7.0096969288574558</v>
      </c>
      <c r="V34">
        <v>5.341626079122844</v>
      </c>
      <c r="W34">
        <v>4.1471419628513528</v>
      </c>
      <c r="X34">
        <v>3.265860361357217</v>
      </c>
      <c r="Y34">
        <v>2.6011226444745517</v>
      </c>
      <c r="Z34">
        <v>2.0910424627283057</v>
      </c>
    </row>
    <row r="35" spans="1:26">
      <c r="A35" t="s">
        <v>23</v>
      </c>
      <c r="B35">
        <v>2.9809670614272767</v>
      </c>
      <c r="Q35">
        <v>2.2844263875692227E-15</v>
      </c>
      <c r="R35">
        <v>19.614324135306592</v>
      </c>
      <c r="S35">
        <v>12.952136361228801</v>
      </c>
      <c r="T35">
        <v>9.2342188977184634</v>
      </c>
      <c r="U35">
        <v>6.8555196811622698</v>
      </c>
      <c r="V35">
        <v>5.2241378031739112</v>
      </c>
      <c r="W35">
        <v>4.0559261884572591</v>
      </c>
      <c r="X35">
        <v>3.1940282455066771</v>
      </c>
      <c r="Y35">
        <v>2.5439113364375752</v>
      </c>
      <c r="Z35">
        <v>2.0450502928828453</v>
      </c>
    </row>
    <row r="36" spans="1:26">
      <c r="A36" t="s">
        <v>24</v>
      </c>
      <c r="B36" s="56" cm="1">
        <f t="array" ref="B36">SUM((B2:K11*(LN((B24:K24-A24:J24)*M2:M11))-((B24:K24-A24:J24)*M2:M11))*AB2:AK11)</f>
        <v>1690.4495420655483</v>
      </c>
    </row>
    <row r="37" spans="1:26">
      <c r="A37" s="5" t="s">
        <v>25</v>
      </c>
    </row>
    <row r="39" spans="1:26">
      <c r="G39" s="9"/>
    </row>
    <row r="40" spans="1:26">
      <c r="G40" s="9"/>
      <c r="L40" t="s">
        <v>45</v>
      </c>
    </row>
    <row r="41" spans="1:26">
      <c r="G41" s="9"/>
      <c r="L41" t="s">
        <v>44</v>
      </c>
    </row>
    <row r="42" spans="1:26">
      <c r="G42" s="9"/>
    </row>
    <row r="43" spans="1:26">
      <c r="G43" s="9"/>
    </row>
    <row r="44" spans="1:26">
      <c r="G44" s="9"/>
      <c r="I44" t="s">
        <v>67</v>
      </c>
      <c r="L44" t="s">
        <v>47</v>
      </c>
    </row>
    <row r="45" spans="1:26">
      <c r="G45" s="9"/>
    </row>
    <row r="46" spans="1:26">
      <c r="G46" s="9"/>
      <c r="L46" t="s">
        <v>49</v>
      </c>
      <c r="M46" t="s">
        <v>66</v>
      </c>
    </row>
    <row r="47" spans="1:26">
      <c r="G47" s="9"/>
      <c r="L47" t="s">
        <v>50</v>
      </c>
      <c r="M47" t="s">
        <v>48</v>
      </c>
    </row>
    <row r="48" spans="1:26">
      <c r="G48" s="9"/>
      <c r="L48" t="s">
        <v>51</v>
      </c>
      <c r="M48" t="s">
        <v>52</v>
      </c>
    </row>
    <row r="49" spans="12:13">
      <c r="L49" t="s">
        <v>53</v>
      </c>
      <c r="M49" t="s">
        <v>54</v>
      </c>
    </row>
    <row r="50" spans="12:13">
      <c r="L50" t="s">
        <v>55</v>
      </c>
      <c r="M50" t="s">
        <v>56</v>
      </c>
    </row>
    <row r="51" spans="12:13">
      <c r="L51" t="s">
        <v>57</v>
      </c>
      <c r="M51" t="s">
        <v>58</v>
      </c>
    </row>
    <row r="53" spans="12:13">
      <c r="L53" t="s">
        <v>59</v>
      </c>
      <c r="M53" t="s">
        <v>66</v>
      </c>
    </row>
    <row r="54" spans="12:13">
      <c r="L54" t="s">
        <v>50</v>
      </c>
      <c r="M54" t="s">
        <v>60</v>
      </c>
    </row>
    <row r="55" spans="12:13">
      <c r="L55" t="s">
        <v>51</v>
      </c>
      <c r="M55" t="s">
        <v>61</v>
      </c>
    </row>
    <row r="56" spans="12:13">
      <c r="L56" t="s">
        <v>53</v>
      </c>
      <c r="M56" t="s">
        <v>62</v>
      </c>
    </row>
    <row r="57" spans="12:13">
      <c r="L57" t="s">
        <v>55</v>
      </c>
      <c r="M57" t="s">
        <v>63</v>
      </c>
    </row>
    <row r="58" spans="12:13">
      <c r="L58" t="s">
        <v>57</v>
      </c>
      <c r="M58" t="s">
        <v>64</v>
      </c>
    </row>
    <row r="59" spans="12:13">
      <c r="M59" t="s">
        <v>65</v>
      </c>
    </row>
    <row r="61" spans="12:13">
      <c r="L61" t="s">
        <v>68</v>
      </c>
    </row>
    <row r="62" spans="12:13">
      <c r="L62" t="s">
        <v>69</v>
      </c>
      <c r="M62" t="s">
        <v>70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87447-F257-4A6D-95BC-FB27F095E5F0}">
  <dimension ref="A1:BX84"/>
  <sheetViews>
    <sheetView zoomScale="115" zoomScaleNormal="115" workbookViewId="0">
      <selection activeCell="F31" sqref="F31"/>
    </sheetView>
  </sheetViews>
  <sheetFormatPr defaultRowHeight="15"/>
  <cols>
    <col min="1" max="1" width="17.85546875" customWidth="1"/>
    <col min="13" max="13" width="12" bestFit="1" customWidth="1"/>
    <col min="14" max="14" width="11" bestFit="1" customWidth="1"/>
    <col min="15" max="23" width="9.28515625" bestFit="1" customWidth="1"/>
    <col min="25" max="25" width="9.7109375" customWidth="1"/>
  </cols>
  <sheetData>
    <row r="1" spans="1:76" ht="18" customHeight="1">
      <c r="A1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M1" t="s">
        <v>226</v>
      </c>
      <c r="N1" t="s">
        <v>13</v>
      </c>
      <c r="O1" s="127" cm="1">
        <f t="array" ref="O1:X1">B24:K24-A24:J24</f>
        <v>0.49405832947379469</v>
      </c>
      <c r="P1" s="107">
        <v>0.23523923390267498</v>
      </c>
      <c r="Q1" s="107">
        <v>0.10807853783309351</v>
      </c>
      <c r="R1" s="107">
        <v>5.849957261073091E-2</v>
      </c>
      <c r="S1" s="76">
        <v>3.5604727077088949E-2</v>
      </c>
      <c r="T1" s="107">
        <v>2.3525071112668217E-2</v>
      </c>
      <c r="U1" s="107">
        <v>1.6499838212314488E-2</v>
      </c>
      <c r="V1" s="107">
        <v>1.2105846649333785E-2</v>
      </c>
      <c r="W1" s="107">
        <v>9.1992868064739719E-3</v>
      </c>
      <c r="X1" s="107">
        <v>7.1895563218264957E-3</v>
      </c>
      <c r="Z1" s="5" t="s">
        <v>14</v>
      </c>
      <c r="AM1" s="5" t="s">
        <v>15</v>
      </c>
      <c r="AY1" t="s">
        <v>16</v>
      </c>
      <c r="BK1" s="70" t="s">
        <v>17</v>
      </c>
      <c r="BL1" s="70"/>
      <c r="BM1" s="70"/>
      <c r="BN1" s="70"/>
      <c r="BO1" s="70"/>
      <c r="BP1" s="70"/>
      <c r="BQ1" s="70"/>
      <c r="BR1" s="70"/>
      <c r="BS1" s="70"/>
      <c r="BT1" s="70"/>
      <c r="BU1" s="70"/>
    </row>
    <row r="2" spans="1:76">
      <c r="A2">
        <v>2000</v>
      </c>
      <c r="B2">
        <v>42</v>
      </c>
      <c r="C2">
        <v>18</v>
      </c>
      <c r="D2">
        <v>11</v>
      </c>
      <c r="E2">
        <v>9</v>
      </c>
      <c r="F2">
        <v>8</v>
      </c>
      <c r="G2">
        <v>5</v>
      </c>
      <c r="H2">
        <v>3</v>
      </c>
      <c r="I2">
        <v>2</v>
      </c>
      <c r="J2">
        <v>1</v>
      </c>
      <c r="K2">
        <v>1</v>
      </c>
      <c r="M2" s="107">
        <v>82.275720497704498</v>
      </c>
      <c r="O2" s="107" cm="1">
        <f t="array" ref="O2:X11">_xlfn.ANCHORARRAY(O1)*M2:M11</f>
        <v>40.649005025348735</v>
      </c>
      <c r="P2" s="107">
        <v>19.354477458670619</v>
      </c>
      <c r="Q2" s="107">
        <v>8.8922395705561836</v>
      </c>
      <c r="R2" s="107">
        <v>4.8130944853556654</v>
      </c>
      <c r="S2" s="76">
        <v>2.9294045733916216</v>
      </c>
      <c r="T2" s="107">
        <v>1.9355421755545124</v>
      </c>
      <c r="U2" s="107">
        <v>1.357536077013731</v>
      </c>
      <c r="V2" s="107">
        <v>0.99601725530865903</v>
      </c>
      <c r="W2" s="107">
        <v>0.75687795006767311</v>
      </c>
      <c r="X2" s="124">
        <v>0.59152592643710122</v>
      </c>
      <c r="AB2" s="4" cm="1">
        <f t="array" ref="AB2:AK11">LN(O2:X11)</f>
        <v>3.7049743590730748</v>
      </c>
      <c r="AC2">
        <v>2.9629237859214621</v>
      </c>
      <c r="AD2">
        <v>2.1851789379967945</v>
      </c>
      <c r="AE2">
        <v>1.5713402214093253</v>
      </c>
      <c r="AF2">
        <v>1.074799185105064</v>
      </c>
      <c r="AG2">
        <v>0.66038748131973279</v>
      </c>
      <c r="AH2">
        <v>0.30567134854186279</v>
      </c>
      <c r="AI2">
        <v>-3.9906969405207075E-3</v>
      </c>
      <c r="AJ2">
        <v>-0.27855326698768024</v>
      </c>
      <c r="AK2">
        <v>-0.52504976484701216</v>
      </c>
      <c r="AN2" cm="1">
        <f t="array" ref="AN2:AW11">_xlfn.ANCHORARRAY(AB2)*B2:K11</f>
        <v>155.60892308106915</v>
      </c>
      <c r="AO2">
        <v>53.332628146586316</v>
      </c>
      <c r="AP2">
        <v>24.036968317964739</v>
      </c>
      <c r="AQ2">
        <v>14.142061992683928</v>
      </c>
      <c r="AR2">
        <v>8.598393480840512</v>
      </c>
      <c r="AS2">
        <v>3.3019374065986637</v>
      </c>
      <c r="AT2">
        <v>0.91701404562558841</v>
      </c>
      <c r="AU2">
        <v>-7.981393881041415E-3</v>
      </c>
      <c r="AV2">
        <v>-0.27855326698768024</v>
      </c>
      <c r="AW2">
        <v>-0.52504976484701216</v>
      </c>
      <c r="AZ2" cm="1">
        <f t="array" ref="AZ2:BI11">_xlfn.ANCHORARRAY(AN2)-_xlfn.ANCHORARRAY(O2)</f>
        <v>114.95991805572041</v>
      </c>
      <c r="BA2">
        <v>33.978150687915701</v>
      </c>
      <c r="BB2">
        <v>15.144728747408555</v>
      </c>
      <c r="BC2">
        <v>9.3289675073282616</v>
      </c>
      <c r="BD2">
        <v>5.6689889074488899</v>
      </c>
      <c r="BE2">
        <v>1.3663952310441514</v>
      </c>
      <c r="BF2">
        <v>-0.44052203138814261</v>
      </c>
      <c r="BG2">
        <v>-1.0039986491897004</v>
      </c>
      <c r="BH2">
        <v>-1.0354312170553532</v>
      </c>
      <c r="BI2">
        <v>-1.1165756912841134</v>
      </c>
      <c r="BK2" s="70"/>
      <c r="BL2" s="70" cm="1">
        <f t="array" ref="BL2:BU11">_xlfn.ANCHORARRAY(AZ2)*J51:S60</f>
        <v>114.95991805572041</v>
      </c>
      <c r="BM2" s="70">
        <v>33.978150687915701</v>
      </c>
      <c r="BN2" s="70">
        <v>0</v>
      </c>
      <c r="BO2" s="70">
        <v>0</v>
      </c>
      <c r="BP2" s="70">
        <v>0</v>
      </c>
      <c r="BQ2" s="70">
        <v>0</v>
      </c>
      <c r="BR2" s="70">
        <v>0</v>
      </c>
      <c r="BS2" s="70">
        <v>0</v>
      </c>
      <c r="BT2" s="70">
        <v>0</v>
      </c>
      <c r="BU2" s="70">
        <v>0</v>
      </c>
      <c r="BX2">
        <f>SUM(_xlfn.ANCHORARRAY(BL2))</f>
        <v>1535.0690979049716</v>
      </c>
    </row>
    <row r="3" spans="1:76">
      <c r="A3">
        <v>2001</v>
      </c>
      <c r="B3">
        <v>40</v>
      </c>
      <c r="C3">
        <v>19</v>
      </c>
      <c r="D3">
        <v>9</v>
      </c>
      <c r="E3">
        <v>10</v>
      </c>
      <c r="F3">
        <v>9</v>
      </c>
      <c r="G3">
        <v>5</v>
      </c>
      <c r="H3">
        <v>3</v>
      </c>
      <c r="I3">
        <v>3</v>
      </c>
      <c r="J3">
        <v>1</v>
      </c>
      <c r="M3" s="107">
        <v>81.206775363466392</v>
      </c>
      <c r="O3" s="107">
        <v>40.12088377802791</v>
      </c>
      <c r="P3" s="107">
        <v>19.103019624208454</v>
      </c>
      <c r="Q3" s="107">
        <v>8.7767095434239284</v>
      </c>
      <c r="R3" s="107">
        <v>4.7505616518584164</v>
      </c>
      <c r="S3" s="76">
        <v>2.8913450736266917</v>
      </c>
      <c r="T3" s="107">
        <v>1.9103951652560203</v>
      </c>
      <c r="U3" s="107">
        <v>1.3398986552409615</v>
      </c>
      <c r="V3" s="107">
        <v>0.98307676943702094</v>
      </c>
      <c r="W3" s="124">
        <v>0.74704441719743198</v>
      </c>
      <c r="X3" s="124">
        <v>0.5838406851895539</v>
      </c>
      <c r="AB3">
        <v>3.6918969912167148</v>
      </c>
      <c r="AC3">
        <v>2.9498464180651025</v>
      </c>
      <c r="AD3">
        <v>2.1721015701404345</v>
      </c>
      <c r="AE3">
        <v>1.5582628535529657</v>
      </c>
      <c r="AF3">
        <v>1.0617218172487042</v>
      </c>
      <c r="AG3">
        <v>0.64731011346337286</v>
      </c>
      <c r="AH3">
        <v>0.29259398068550291</v>
      </c>
      <c r="AI3">
        <v>-1.7068064796880691E-2</v>
      </c>
      <c r="AJ3">
        <v>-0.29163063484404012</v>
      </c>
      <c r="AK3" s="70">
        <v>-0.53812713270337231</v>
      </c>
      <c r="AN3">
        <v>147.6758796486686</v>
      </c>
      <c r="AO3">
        <v>56.047081943236947</v>
      </c>
      <c r="AP3">
        <v>19.54891413126391</v>
      </c>
      <c r="AQ3">
        <v>15.582628535529658</v>
      </c>
      <c r="AR3">
        <v>9.5554963552383381</v>
      </c>
      <c r="AS3">
        <v>3.2365505673168644</v>
      </c>
      <c r="AT3">
        <v>0.87778194205650872</v>
      </c>
      <c r="AU3">
        <v>-5.1204194390642069E-2</v>
      </c>
      <c r="AV3">
        <v>-0.29163063484404012</v>
      </c>
      <c r="AW3" s="70">
        <v>0</v>
      </c>
      <c r="AZ3">
        <v>107.55499587064068</v>
      </c>
      <c r="BA3">
        <v>36.94406231902849</v>
      </c>
      <c r="BB3">
        <v>10.772204587839981</v>
      </c>
      <c r="BC3">
        <v>10.832066883671242</v>
      </c>
      <c r="BD3">
        <v>6.6641512816116464</v>
      </c>
      <c r="BE3">
        <v>1.3261554020608441</v>
      </c>
      <c r="BF3">
        <v>-0.4621167131844528</v>
      </c>
      <c r="BG3">
        <v>-1.0342809638276631</v>
      </c>
      <c r="BH3">
        <v>-1.038675052041472</v>
      </c>
      <c r="BI3" s="70">
        <v>-0.5838406851895539</v>
      </c>
      <c r="BK3" s="70"/>
      <c r="BL3" s="70">
        <v>107.55499587064068</v>
      </c>
      <c r="BM3" s="70">
        <v>36.94406231902849</v>
      </c>
      <c r="BN3" s="70">
        <v>10.772204587839981</v>
      </c>
      <c r="BO3" s="70">
        <v>0</v>
      </c>
      <c r="BP3" s="70">
        <v>0</v>
      </c>
      <c r="BQ3" s="70">
        <v>0</v>
      </c>
      <c r="BR3" s="70">
        <v>0</v>
      </c>
      <c r="BS3" s="70">
        <v>0</v>
      </c>
      <c r="BT3" s="70">
        <v>0</v>
      </c>
      <c r="BU3" s="70">
        <v>0</v>
      </c>
    </row>
    <row r="4" spans="1:76">
      <c r="A4">
        <v>2002</v>
      </c>
      <c r="B4">
        <v>36</v>
      </c>
      <c r="C4">
        <v>19</v>
      </c>
      <c r="D4">
        <v>10</v>
      </c>
      <c r="E4">
        <v>11</v>
      </c>
      <c r="F4">
        <v>9</v>
      </c>
      <c r="G4">
        <v>6</v>
      </c>
      <c r="H4">
        <v>3</v>
      </c>
      <c r="I4">
        <v>3</v>
      </c>
      <c r="M4" s="107">
        <v>77.623517213350823</v>
      </c>
      <c r="O4" s="107">
        <v>38.350545242308456</v>
      </c>
      <c r="P4" s="107">
        <v>18.260096722099753</v>
      </c>
      <c r="Q4" s="107">
        <v>8.3894362418809223</v>
      </c>
      <c r="R4" s="107">
        <v>4.5409425815227369</v>
      </c>
      <c r="S4" s="76">
        <v>2.7637641451450721</v>
      </c>
      <c r="T4" s="107">
        <v>1.8260987624595035</v>
      </c>
      <c r="U4" s="107">
        <v>1.2807754754910974</v>
      </c>
      <c r="V4" s="124">
        <v>0.93969839576674641</v>
      </c>
      <c r="W4" s="124">
        <v>0.71408099777288347</v>
      </c>
      <c r="X4" s="124">
        <v>0.55807864890365422</v>
      </c>
      <c r="AB4">
        <v>3.6467687452430564</v>
      </c>
      <c r="AC4">
        <v>2.9047181720914441</v>
      </c>
      <c r="AD4">
        <v>2.1269733241667761</v>
      </c>
      <c r="AE4">
        <v>1.5131346075793068</v>
      </c>
      <c r="AF4">
        <v>1.0165935712750456</v>
      </c>
      <c r="AG4">
        <v>0.60218186748971436</v>
      </c>
      <c r="AH4">
        <v>0.24746573471184441</v>
      </c>
      <c r="AI4">
        <v>-6.219631077053922E-2</v>
      </c>
      <c r="AJ4" s="70">
        <v>-0.33675888081769867</v>
      </c>
      <c r="AK4" s="70">
        <v>-0.58325537867703081</v>
      </c>
      <c r="AN4">
        <v>131.28367482875004</v>
      </c>
      <c r="AO4">
        <v>55.18964526973744</v>
      </c>
      <c r="AP4">
        <v>21.269733241667762</v>
      </c>
      <c r="AQ4">
        <v>16.644480683372375</v>
      </c>
      <c r="AR4">
        <v>9.1493421414754099</v>
      </c>
      <c r="AS4">
        <v>3.6130912049382862</v>
      </c>
      <c r="AT4">
        <v>0.74239720413553323</v>
      </c>
      <c r="AU4">
        <v>-0.18658893231161766</v>
      </c>
      <c r="AV4" s="70">
        <v>0</v>
      </c>
      <c r="AW4" s="70">
        <v>0</v>
      </c>
      <c r="AZ4">
        <v>92.933129586441581</v>
      </c>
      <c r="BA4">
        <v>36.929548547637687</v>
      </c>
      <c r="BB4">
        <v>12.88029699978684</v>
      </c>
      <c r="BC4">
        <v>12.103538101849638</v>
      </c>
      <c r="BD4">
        <v>6.3855779963303378</v>
      </c>
      <c r="BE4">
        <v>1.7869924424787826</v>
      </c>
      <c r="BF4">
        <v>-0.53837827135556415</v>
      </c>
      <c r="BG4">
        <v>-1.1262873280783641</v>
      </c>
      <c r="BH4" s="70">
        <v>-0.71408099777288347</v>
      </c>
      <c r="BI4" s="70">
        <v>-0.55807864890365422</v>
      </c>
      <c r="BK4" s="70"/>
      <c r="BL4" s="70">
        <v>92.933129586441581</v>
      </c>
      <c r="BM4" s="70">
        <v>36.929548547637687</v>
      </c>
      <c r="BN4" s="70">
        <v>12.88029699978684</v>
      </c>
      <c r="BO4" s="70">
        <v>0</v>
      </c>
      <c r="BP4" s="70">
        <v>0</v>
      </c>
      <c r="BQ4" s="70">
        <v>0</v>
      </c>
      <c r="BR4" s="70">
        <v>0</v>
      </c>
      <c r="BS4" s="70">
        <v>0</v>
      </c>
      <c r="BT4" s="70">
        <v>0</v>
      </c>
      <c r="BU4" s="70">
        <v>0</v>
      </c>
    </row>
    <row r="5" spans="1:76">
      <c r="A5">
        <v>2003</v>
      </c>
      <c r="B5">
        <v>38</v>
      </c>
      <c r="C5">
        <v>19</v>
      </c>
      <c r="D5">
        <v>9</v>
      </c>
      <c r="E5">
        <v>11</v>
      </c>
      <c r="F5">
        <v>9</v>
      </c>
      <c r="G5">
        <v>6</v>
      </c>
      <c r="H5">
        <v>3</v>
      </c>
      <c r="M5" s="107">
        <v>94.999116034940798</v>
      </c>
      <c r="O5" s="107">
        <v>46.935104569710035</v>
      </c>
      <c r="P5" s="107">
        <v>22.3475192774908</v>
      </c>
      <c r="Q5" s="107">
        <v>10.267365556492789</v>
      </c>
      <c r="R5" s="107">
        <v>5.5574076864412705</v>
      </c>
      <c r="S5" s="76">
        <v>3.3824175989887717</v>
      </c>
      <c r="T5" s="107">
        <v>2.2348609603626017</v>
      </c>
      <c r="U5" s="124">
        <v>1.5674700448894141</v>
      </c>
      <c r="V5" s="124">
        <v>1.1500447305412596</v>
      </c>
      <c r="W5" s="124">
        <v>0.87392411476692078</v>
      </c>
      <c r="X5" s="124">
        <v>0.68300149525693743</v>
      </c>
      <c r="AB5">
        <v>3.8487658937551541</v>
      </c>
      <c r="AC5">
        <v>3.1067153206035414</v>
      </c>
      <c r="AD5">
        <v>2.3289704726788738</v>
      </c>
      <c r="AE5">
        <v>1.7151317560914048</v>
      </c>
      <c r="AF5">
        <v>1.2185907197871433</v>
      </c>
      <c r="AG5">
        <v>0.80417901600181207</v>
      </c>
      <c r="AH5">
        <v>0.44946288322394196</v>
      </c>
      <c r="AI5" s="70">
        <v>0.13980083774155852</v>
      </c>
      <c r="AJ5" s="70">
        <v>-0.13476173230560107</v>
      </c>
      <c r="AK5" s="70">
        <v>-0.3812582301649331</v>
      </c>
      <c r="AN5">
        <v>146.25310396269586</v>
      </c>
      <c r="AO5">
        <v>59.027591091467286</v>
      </c>
      <c r="AP5">
        <v>20.960734254109866</v>
      </c>
      <c r="AQ5">
        <v>18.866449317005454</v>
      </c>
      <c r="AR5">
        <v>10.967316478084289</v>
      </c>
      <c r="AS5">
        <v>4.8250740960108729</v>
      </c>
      <c r="AT5">
        <v>1.3483886496718258</v>
      </c>
      <c r="AU5" s="70">
        <v>0</v>
      </c>
      <c r="AV5" s="70">
        <v>0</v>
      </c>
      <c r="AW5" s="70">
        <v>0</v>
      </c>
      <c r="AZ5">
        <v>99.317999392985826</v>
      </c>
      <c r="BA5">
        <v>36.680071813976483</v>
      </c>
      <c r="BB5">
        <v>10.693368697617077</v>
      </c>
      <c r="BC5">
        <v>13.309041630564185</v>
      </c>
      <c r="BD5">
        <v>7.5848988790955172</v>
      </c>
      <c r="BE5">
        <v>2.5902131356482712</v>
      </c>
      <c r="BF5">
        <v>-0.21908139521758829</v>
      </c>
      <c r="BG5" s="70">
        <v>-1.1500447305412596</v>
      </c>
      <c r="BH5" s="70">
        <v>-0.87392411476692078</v>
      </c>
      <c r="BI5" s="70">
        <v>-0.68300149525693743</v>
      </c>
      <c r="BK5" s="70"/>
      <c r="BL5" s="70">
        <v>99.317999392985826</v>
      </c>
      <c r="BM5" s="70">
        <v>36.680071813976483</v>
      </c>
      <c r="BN5" s="70">
        <v>10.693368697617077</v>
      </c>
      <c r="BO5" s="70">
        <v>13.309041630564185</v>
      </c>
      <c r="BP5" s="70">
        <v>7.5848988790955172</v>
      </c>
      <c r="BQ5" s="70">
        <v>2.5902131356482712</v>
      </c>
      <c r="BR5" s="70">
        <v>-0.21908139521758829</v>
      </c>
      <c r="BS5" s="70">
        <v>-1.1500447305412596</v>
      </c>
      <c r="BT5" s="70">
        <v>-0.87392411476692078</v>
      </c>
      <c r="BU5" s="70">
        <v>-0.68300149525693743</v>
      </c>
    </row>
    <row r="6" spans="1:76">
      <c r="A6">
        <v>2004</v>
      </c>
      <c r="B6">
        <v>39</v>
      </c>
      <c r="C6">
        <v>19</v>
      </c>
      <c r="D6">
        <v>9</v>
      </c>
      <c r="E6">
        <v>10</v>
      </c>
      <c r="F6">
        <v>10</v>
      </c>
      <c r="G6">
        <v>5</v>
      </c>
      <c r="M6" s="107">
        <v>92.665351369653081</v>
      </c>
      <c r="O6" s="107">
        <v>45.782088697793014</v>
      </c>
      <c r="P6" s="107">
        <v>21.798526265519385</v>
      </c>
      <c r="Q6" s="107">
        <v>10.015135683821955</v>
      </c>
      <c r="R6" s="107">
        <v>5.4208834509479136</v>
      </c>
      <c r="S6" s="76">
        <v>3.2993245450190485</v>
      </c>
      <c r="T6" s="124">
        <v>2.1799589806514756</v>
      </c>
      <c r="U6" s="124">
        <v>1.5289633054865506</v>
      </c>
      <c r="V6" s="124">
        <v>1.1217925333876526</v>
      </c>
      <c r="W6" s="124">
        <v>0.85245514427212443</v>
      </c>
      <c r="X6" s="124">
        <v>0.66622276275396286</v>
      </c>
      <c r="AB6">
        <v>3.823892938162393</v>
      </c>
      <c r="AC6">
        <v>3.0818423650107807</v>
      </c>
      <c r="AD6">
        <v>2.3040975170861127</v>
      </c>
      <c r="AE6">
        <v>1.6902588004986439</v>
      </c>
      <c r="AF6">
        <v>1.1937177641943824</v>
      </c>
      <c r="AG6">
        <v>0.77930606040905104</v>
      </c>
      <c r="AH6" s="70">
        <v>0.42458992763118109</v>
      </c>
      <c r="AI6" s="70">
        <v>0.11492788214879757</v>
      </c>
      <c r="AJ6" s="70">
        <v>-0.15963468789836188</v>
      </c>
      <c r="AK6" s="70">
        <v>-0.40613118575769397</v>
      </c>
      <c r="AN6">
        <v>149.13182458833333</v>
      </c>
      <c r="AO6">
        <v>58.555004935204835</v>
      </c>
      <c r="AP6">
        <v>20.736877653775014</v>
      </c>
      <c r="AQ6">
        <v>16.902588004986438</v>
      </c>
      <c r="AR6">
        <v>11.937177641943823</v>
      </c>
      <c r="AS6">
        <v>3.8965303020452553</v>
      </c>
      <c r="AT6" s="70">
        <v>0</v>
      </c>
      <c r="AU6" s="70">
        <v>0</v>
      </c>
      <c r="AV6" s="70">
        <v>0</v>
      </c>
      <c r="AW6" s="70">
        <v>0</v>
      </c>
      <c r="AZ6">
        <v>103.34973589054032</v>
      </c>
      <c r="BA6">
        <v>36.75647866968545</v>
      </c>
      <c r="BB6">
        <v>10.72174196995306</v>
      </c>
      <c r="BC6">
        <v>11.481704554038524</v>
      </c>
      <c r="BD6">
        <v>8.6378530969247738</v>
      </c>
      <c r="BE6">
        <v>1.7165713213937797</v>
      </c>
      <c r="BF6" s="70">
        <v>-1.5289633054865506</v>
      </c>
      <c r="BG6" s="70">
        <v>-1.1217925333876526</v>
      </c>
      <c r="BH6" s="70">
        <v>-0.85245514427212443</v>
      </c>
      <c r="BI6" s="70">
        <v>-0.66622276275396286</v>
      </c>
      <c r="BK6" s="70"/>
      <c r="BL6" s="70">
        <v>103.34973589054032</v>
      </c>
      <c r="BM6" s="70">
        <v>36.75647866968545</v>
      </c>
      <c r="BN6" s="70">
        <v>10.72174196995306</v>
      </c>
      <c r="BO6" s="70">
        <v>11.481704554038524</v>
      </c>
      <c r="BP6" s="70">
        <v>8.6378530969247738</v>
      </c>
      <c r="BQ6" s="70">
        <v>1.7165713213937797</v>
      </c>
      <c r="BR6" s="70">
        <v>-1.5289633054865506</v>
      </c>
      <c r="BS6" s="70">
        <v>-1.1217925333876526</v>
      </c>
      <c r="BT6" s="70">
        <v>-0.85245514427212443</v>
      </c>
      <c r="BU6" s="70">
        <v>0</v>
      </c>
    </row>
    <row r="7" spans="1:76">
      <c r="A7">
        <v>2005</v>
      </c>
      <c r="B7">
        <v>41</v>
      </c>
      <c r="C7">
        <v>19</v>
      </c>
      <c r="D7">
        <v>10</v>
      </c>
      <c r="E7">
        <v>9</v>
      </c>
      <c r="F7">
        <v>9</v>
      </c>
      <c r="M7" s="107">
        <v>89.465222962915831</v>
      </c>
      <c r="O7" s="107">
        <v>44.20103860305877</v>
      </c>
      <c r="P7" s="107">
        <v>21.045730510728326</v>
      </c>
      <c r="Q7" s="107">
        <v>9.6692704847436453</v>
      </c>
      <c r="R7" s="107">
        <v>5.2336773068543252</v>
      </c>
      <c r="S7" s="125">
        <v>3.1853848464855292</v>
      </c>
      <c r="T7" s="124">
        <v>2.1046757323133125</v>
      </c>
      <c r="U7" s="124">
        <v>1.4761617045167543</v>
      </c>
      <c r="V7" s="124">
        <v>1.0830522696375147</v>
      </c>
      <c r="W7" s="124">
        <v>0.82301624524100381</v>
      </c>
      <c r="X7" s="124">
        <v>0.64321525933664847</v>
      </c>
      <c r="AB7">
        <v>3.7887482866143429</v>
      </c>
      <c r="AC7">
        <v>3.0466977134627302</v>
      </c>
      <c r="AD7">
        <v>2.2689528655380626</v>
      </c>
      <c r="AE7">
        <v>1.6551141489505936</v>
      </c>
      <c r="AF7">
        <v>1.1585731126463321</v>
      </c>
      <c r="AG7" s="70">
        <v>0.74416140886100091</v>
      </c>
      <c r="AH7" s="70">
        <v>0.3894452760831309</v>
      </c>
      <c r="AI7" s="70">
        <v>7.9783230600747351E-2</v>
      </c>
      <c r="AJ7" s="70">
        <v>-0.19477933944641224</v>
      </c>
      <c r="AK7" s="70">
        <v>-0.44127583730574427</v>
      </c>
      <c r="AN7">
        <v>155.33867975118807</v>
      </c>
      <c r="AO7">
        <v>57.887256555791872</v>
      </c>
      <c r="AP7">
        <v>22.689528655380627</v>
      </c>
      <c r="AQ7">
        <v>14.896027340555342</v>
      </c>
      <c r="AR7">
        <v>10.427158013816989</v>
      </c>
      <c r="AS7" s="70">
        <v>0</v>
      </c>
      <c r="AT7" s="70">
        <v>0</v>
      </c>
      <c r="AU7" s="70">
        <v>0</v>
      </c>
      <c r="AV7" s="70">
        <v>0</v>
      </c>
      <c r="AW7" s="70">
        <v>0</v>
      </c>
      <c r="AZ7">
        <v>111.13764114812929</v>
      </c>
      <c r="BA7">
        <v>36.841526045063546</v>
      </c>
      <c r="BB7">
        <v>13.020258170636982</v>
      </c>
      <c r="BC7">
        <v>9.6623500337010171</v>
      </c>
      <c r="BD7">
        <v>7.2417731673314591</v>
      </c>
      <c r="BE7" s="70">
        <v>-2.1046757323133125</v>
      </c>
      <c r="BF7" s="70">
        <v>-1.4761617045167543</v>
      </c>
      <c r="BG7" s="70">
        <v>-1.0830522696375147</v>
      </c>
      <c r="BH7" s="71">
        <v>-0.82301624524100381</v>
      </c>
      <c r="BI7" s="70">
        <v>-0.64321525933664847</v>
      </c>
      <c r="BK7" s="70"/>
      <c r="BL7" s="70">
        <v>111.13764114812929</v>
      </c>
      <c r="BM7" s="70">
        <v>36.841526045063546</v>
      </c>
      <c r="BN7" s="70">
        <v>13.020258170636982</v>
      </c>
      <c r="BO7" s="70">
        <v>9.6623500337010171</v>
      </c>
      <c r="BP7" s="70">
        <v>7.2417731673314591</v>
      </c>
      <c r="BQ7" s="70">
        <v>-2.1046757323133125</v>
      </c>
      <c r="BR7" s="70">
        <v>-1.4761617045167543</v>
      </c>
      <c r="BS7" s="70">
        <v>-1.0830522696375147</v>
      </c>
      <c r="BT7" s="70">
        <v>0</v>
      </c>
      <c r="BU7" s="70">
        <v>0</v>
      </c>
    </row>
    <row r="8" spans="1:76">
      <c r="A8">
        <v>2006</v>
      </c>
      <c r="B8">
        <v>42</v>
      </c>
      <c r="C8">
        <v>19</v>
      </c>
      <c r="D8">
        <v>9</v>
      </c>
      <c r="E8">
        <v>9</v>
      </c>
      <c r="M8" s="107">
        <v>81.315974118326068</v>
      </c>
      <c r="O8" s="107">
        <v>40.1748343324345</v>
      </c>
      <c r="P8" s="107">
        <v>19.128707455644772</v>
      </c>
      <c r="Q8" s="107">
        <v>8.7885115851823574</v>
      </c>
      <c r="R8" s="124">
        <v>4.7569497323473309</v>
      </c>
      <c r="S8" s="124">
        <v>2.8952330654906282</v>
      </c>
      <c r="T8" s="124">
        <v>1.9129640737295088</v>
      </c>
      <c r="U8" s="124">
        <v>1.3417004170291325</v>
      </c>
      <c r="V8" s="124">
        <v>0.98439871281765035</v>
      </c>
      <c r="W8" s="124">
        <v>0.74804896786229591</v>
      </c>
      <c r="X8" s="124">
        <v>0.58462577578789088</v>
      </c>
      <c r="AB8">
        <v>3.6932407879668974</v>
      </c>
      <c r="AC8">
        <v>2.9511902148152851</v>
      </c>
      <c r="AD8">
        <v>2.1734453668906171</v>
      </c>
      <c r="AE8">
        <v>1.5596066503031478</v>
      </c>
      <c r="AF8" s="70">
        <v>1.0630656139988865</v>
      </c>
      <c r="AG8" s="70">
        <v>0.64865391021355534</v>
      </c>
      <c r="AH8" s="70">
        <v>0.29393777743568539</v>
      </c>
      <c r="AI8" s="70">
        <v>-1.5724268046698263E-2</v>
      </c>
      <c r="AJ8" s="70">
        <v>-0.29028683809385775</v>
      </c>
      <c r="AK8" s="70">
        <v>-0.53678333595318983</v>
      </c>
      <c r="AN8">
        <v>155.11611309460969</v>
      </c>
      <c r="AO8">
        <v>56.072614081490414</v>
      </c>
      <c r="AP8">
        <v>19.561008302015555</v>
      </c>
      <c r="AQ8">
        <v>14.036459852728331</v>
      </c>
      <c r="AR8" s="70">
        <v>0</v>
      </c>
      <c r="AS8" s="70">
        <v>0</v>
      </c>
      <c r="AT8" s="70">
        <v>0</v>
      </c>
      <c r="AU8" s="70">
        <v>0</v>
      </c>
      <c r="AV8" s="70">
        <v>0</v>
      </c>
      <c r="AW8" s="70">
        <v>0</v>
      </c>
      <c r="AZ8">
        <v>114.94127876217519</v>
      </c>
      <c r="BA8">
        <v>36.943906625845642</v>
      </c>
      <c r="BB8">
        <v>10.772496716833198</v>
      </c>
      <c r="BC8">
        <v>9.2795101203810013</v>
      </c>
      <c r="BD8" s="70">
        <v>-2.8952330654906282</v>
      </c>
      <c r="BE8" s="70">
        <v>-1.9129640737295088</v>
      </c>
      <c r="BF8" s="70">
        <v>-1.3417004170291325</v>
      </c>
      <c r="BG8" s="70">
        <v>-0.98439871281765035</v>
      </c>
      <c r="BH8" s="70">
        <v>-0.74804896786229591</v>
      </c>
      <c r="BI8" s="70">
        <v>-0.58462577578789088</v>
      </c>
      <c r="BK8" s="70"/>
      <c r="BL8" s="70">
        <v>114.94127876217519</v>
      </c>
      <c r="BM8" s="70">
        <v>36.943906625845642</v>
      </c>
      <c r="BN8" s="70">
        <v>10.772496716833198</v>
      </c>
      <c r="BO8" s="70">
        <v>9.2795101203810013</v>
      </c>
      <c r="BP8" s="70">
        <v>-2.8952330654906282</v>
      </c>
      <c r="BQ8" s="70">
        <v>-1.9129640737295088</v>
      </c>
      <c r="BR8" s="70">
        <v>-1.3417004170291325</v>
      </c>
      <c r="BS8" s="70">
        <v>0</v>
      </c>
      <c r="BT8" s="70">
        <v>0</v>
      </c>
      <c r="BU8" s="70">
        <v>0</v>
      </c>
    </row>
    <row r="9" spans="1:76">
      <c r="A9">
        <v>2007</v>
      </c>
      <c r="B9">
        <v>43</v>
      </c>
      <c r="C9">
        <v>19</v>
      </c>
      <c r="D9">
        <v>10</v>
      </c>
      <c r="M9" s="107">
        <v>75.392563520791128</v>
      </c>
      <c r="O9" s="107">
        <v>37.248323987829018</v>
      </c>
      <c r="P9" s="107">
        <v>17.735288884589664</v>
      </c>
      <c r="Q9" s="124">
        <v>8.14831802881573</v>
      </c>
      <c r="R9" s="124">
        <v>4.4104327439936633</v>
      </c>
      <c r="S9" s="124">
        <v>2.6843316477998602</v>
      </c>
      <c r="T9" s="124">
        <v>1.7736154181929669</v>
      </c>
      <c r="U9" s="124">
        <v>1.2439651005046968</v>
      </c>
      <c r="V9" s="124">
        <v>0.91269081248285377</v>
      </c>
      <c r="W9" s="124">
        <v>0.69355781490306467</v>
      </c>
      <c r="X9" s="124">
        <v>0.54203908167960946</v>
      </c>
      <c r="AB9">
        <v>3.6176069501979971</v>
      </c>
      <c r="AC9">
        <v>2.8755563770463843</v>
      </c>
      <c r="AD9">
        <v>2.0978115291217168</v>
      </c>
      <c r="AE9" s="70">
        <v>1.4839728125342477</v>
      </c>
      <c r="AF9" s="70">
        <v>0.98743177622998624</v>
      </c>
      <c r="AG9" s="70">
        <v>0.57302007244465503</v>
      </c>
      <c r="AH9" s="70">
        <v>0.21830393966678507</v>
      </c>
      <c r="AI9" s="70">
        <v>-9.1358105815598542E-2</v>
      </c>
      <c r="AJ9" s="70">
        <v>-0.365920675862758</v>
      </c>
      <c r="AK9" s="70">
        <v>-0.61241717372209015</v>
      </c>
      <c r="AN9">
        <v>155.55709885851388</v>
      </c>
      <c r="AO9">
        <v>54.635571163881302</v>
      </c>
      <c r="AP9">
        <v>20.978115291217168</v>
      </c>
      <c r="AQ9" s="70">
        <v>0</v>
      </c>
      <c r="AR9" s="70">
        <v>0</v>
      </c>
      <c r="AS9" s="70">
        <v>0</v>
      </c>
      <c r="AT9" s="70">
        <v>0</v>
      </c>
      <c r="AU9" s="70">
        <v>0</v>
      </c>
      <c r="AV9" s="70">
        <v>0</v>
      </c>
      <c r="AW9" s="70">
        <v>0</v>
      </c>
      <c r="AZ9">
        <v>118.30877487068486</v>
      </c>
      <c r="BA9">
        <v>36.900282279291638</v>
      </c>
      <c r="BB9">
        <v>12.829797262401438</v>
      </c>
      <c r="BC9" s="70">
        <v>-4.4104327439936633</v>
      </c>
      <c r="BD9" s="70">
        <v>-2.6843316477998602</v>
      </c>
      <c r="BE9" s="70">
        <v>-1.7736154181929669</v>
      </c>
      <c r="BF9" s="70">
        <v>-1.2439651005046968</v>
      </c>
      <c r="BG9" s="70">
        <v>-0.91269081248285377</v>
      </c>
      <c r="BH9" s="70">
        <v>-0.69355781490306467</v>
      </c>
      <c r="BI9" s="70">
        <v>-0.54203908167960946</v>
      </c>
      <c r="BK9" s="70"/>
      <c r="BL9" s="70">
        <v>118.30877487068486</v>
      </c>
      <c r="BM9" s="70">
        <v>36.900282279291638</v>
      </c>
      <c r="BN9" s="70">
        <v>12.829797262401438</v>
      </c>
      <c r="BO9" s="70">
        <v>-4.4104327439936633</v>
      </c>
      <c r="BP9" s="70">
        <v>-2.6843316477998602</v>
      </c>
      <c r="BQ9" s="70">
        <v>-1.7736154181929669</v>
      </c>
      <c r="BR9" s="70">
        <v>0</v>
      </c>
      <c r="BS9" s="70">
        <v>0</v>
      </c>
      <c r="BT9" s="70">
        <v>0</v>
      </c>
      <c r="BU9" s="70">
        <v>0</v>
      </c>
    </row>
    <row r="10" spans="1:76">
      <c r="A10">
        <v>2008</v>
      </c>
      <c r="B10">
        <v>43</v>
      </c>
      <c r="C10">
        <v>20</v>
      </c>
      <c r="M10" s="107">
        <v>67.633549325101498</v>
      </c>
      <c r="O10" s="107">
        <v>33.41491839594314</v>
      </c>
      <c r="P10" s="107">
        <v>15.910064329355658</v>
      </c>
      <c r="Q10" s="124">
        <v>7.3097351195193783</v>
      </c>
      <c r="R10" s="124">
        <v>3.9565337296652254</v>
      </c>
      <c r="S10" s="124">
        <v>2.4080740649750725</v>
      </c>
      <c r="T10" s="124">
        <v>1.5910840574751661</v>
      </c>
      <c r="U10" s="124">
        <v>1.1159426215887664</v>
      </c>
      <c r="V10" s="124">
        <v>0.81876137647983127</v>
      </c>
      <c r="W10" s="124">
        <v>0.62218041798141277</v>
      </c>
      <c r="X10" s="124">
        <v>0.48625521211784761</v>
      </c>
      <c r="AB10">
        <v>3.5090024588215849</v>
      </c>
      <c r="AC10">
        <v>2.7669518856699722</v>
      </c>
      <c r="AD10" s="70">
        <v>1.9892070377453044</v>
      </c>
      <c r="AE10" s="70">
        <v>1.3753683211578356</v>
      </c>
      <c r="AF10" s="70">
        <v>0.8788272848535742</v>
      </c>
      <c r="AG10" s="70">
        <v>0.46441558106824282</v>
      </c>
      <c r="AH10" s="70">
        <v>0.10969944829037288</v>
      </c>
      <c r="AI10" s="70">
        <v>-0.19996259719201062</v>
      </c>
      <c r="AJ10" s="70">
        <v>-0.47452516723917021</v>
      </c>
      <c r="AK10" s="70">
        <v>-0.72102166509850218</v>
      </c>
      <c r="AN10">
        <v>150.88710572932814</v>
      </c>
      <c r="AO10">
        <v>55.339037713399442</v>
      </c>
      <c r="AP10" s="70">
        <v>0</v>
      </c>
      <c r="AQ10" s="70">
        <v>0</v>
      </c>
      <c r="AR10" s="70">
        <v>0</v>
      </c>
      <c r="AS10" s="70">
        <v>0</v>
      </c>
      <c r="AT10" s="70">
        <v>0</v>
      </c>
      <c r="AU10" s="70">
        <v>0</v>
      </c>
      <c r="AV10" s="70">
        <v>0</v>
      </c>
      <c r="AW10" s="70">
        <v>0</v>
      </c>
      <c r="AZ10">
        <v>117.47218733338499</v>
      </c>
      <c r="BA10">
        <v>39.428973384043786</v>
      </c>
      <c r="BB10" s="70">
        <v>-7.3097351195193783</v>
      </c>
      <c r="BC10" s="70">
        <v>-3.9565337296652254</v>
      </c>
      <c r="BD10" s="70">
        <v>-2.4080740649750725</v>
      </c>
      <c r="BE10" s="70">
        <v>-1.5910840574751661</v>
      </c>
      <c r="BF10" s="70">
        <v>-1.1159426215887664</v>
      </c>
      <c r="BG10" s="70">
        <v>-0.81876137647983127</v>
      </c>
      <c r="BH10" s="70">
        <v>-0.62218041798141277</v>
      </c>
      <c r="BI10" s="70">
        <v>-0.48625521211784761</v>
      </c>
      <c r="BK10" s="70"/>
      <c r="BL10" s="70">
        <v>117.47218733338499</v>
      </c>
      <c r="BM10" s="70">
        <v>39.428973384043786</v>
      </c>
      <c r="BN10" s="70">
        <v>-7.3097351195193783</v>
      </c>
      <c r="BO10" s="70">
        <v>-3.9565337296652254</v>
      </c>
      <c r="BP10" s="70">
        <v>-2.4080740649750725</v>
      </c>
      <c r="BQ10" s="70">
        <v>0</v>
      </c>
      <c r="BR10" s="70">
        <v>0</v>
      </c>
      <c r="BS10" s="70">
        <v>0</v>
      </c>
      <c r="BT10" s="70">
        <v>0</v>
      </c>
      <c r="BU10" s="70">
        <v>0</v>
      </c>
    </row>
    <row r="11" spans="1:76">
      <c r="A11">
        <v>2009</v>
      </c>
      <c r="B11">
        <v>42</v>
      </c>
      <c r="M11" s="107">
        <v>76.007708071362217</v>
      </c>
      <c r="O11" s="107">
        <v>37.552241276869076</v>
      </c>
      <c r="P11" s="126">
        <v>17.879995017405413</v>
      </c>
      <c r="Q11" s="126">
        <v>8.2148019523974494</v>
      </c>
      <c r="R11" s="126">
        <v>4.4464184372958915</v>
      </c>
      <c r="S11" s="126">
        <v>2.7062337016359024</v>
      </c>
      <c r="T11" s="126">
        <v>1.788086737489722</v>
      </c>
      <c r="U11" s="126">
        <v>1.2541148860663067</v>
      </c>
      <c r="V11" s="126">
        <v>0.92013765807924075</v>
      </c>
      <c r="W11" s="126">
        <v>0.69921670605120767</v>
      </c>
      <c r="X11" s="126">
        <v>0.54646169807200495</v>
      </c>
      <c r="AB11">
        <v>3.6257330642283407</v>
      </c>
      <c r="AC11" s="70">
        <v>2.883682491076728</v>
      </c>
      <c r="AD11" s="70">
        <v>2.1059376431520604</v>
      </c>
      <c r="AE11" s="70">
        <v>1.4920989265645912</v>
      </c>
      <c r="AF11" s="70">
        <v>0.99555789026032993</v>
      </c>
      <c r="AG11" s="70">
        <v>0.58114618647499872</v>
      </c>
      <c r="AH11" s="70">
        <v>0.22643005369712882</v>
      </c>
      <c r="AI11" s="70">
        <v>-8.3231991785254825E-2</v>
      </c>
      <c r="AJ11" s="70">
        <v>-0.35779456183241426</v>
      </c>
      <c r="AK11" s="70">
        <v>-0.60429105969174646</v>
      </c>
      <c r="AN11">
        <v>152.28078869759031</v>
      </c>
      <c r="AO11" s="70">
        <v>0</v>
      </c>
      <c r="AP11" s="70">
        <v>0</v>
      </c>
      <c r="AQ11" s="70">
        <v>0</v>
      </c>
      <c r="AR11" s="70">
        <v>0</v>
      </c>
      <c r="AS11" s="70">
        <v>0</v>
      </c>
      <c r="AT11" s="70">
        <v>0</v>
      </c>
      <c r="AU11" s="70">
        <v>0</v>
      </c>
      <c r="AV11" s="70">
        <v>0</v>
      </c>
      <c r="AW11" s="70">
        <v>0</v>
      </c>
      <c r="AZ11">
        <v>114.72854742072124</v>
      </c>
      <c r="BA11" s="70">
        <v>-17.879995017405413</v>
      </c>
      <c r="BB11" s="70">
        <v>-8.2148019523974494</v>
      </c>
      <c r="BC11" s="70">
        <v>-4.4464184372958915</v>
      </c>
      <c r="BD11" s="70">
        <v>-2.7062337016359024</v>
      </c>
      <c r="BE11" s="70">
        <v>-1.788086737489722</v>
      </c>
      <c r="BF11" s="70">
        <v>-1.2541148860663067</v>
      </c>
      <c r="BG11" s="70">
        <v>-0.92013765807924075</v>
      </c>
      <c r="BH11" s="70">
        <v>-0.69921670605120767</v>
      </c>
      <c r="BI11" s="70">
        <v>-0.54646169807200495</v>
      </c>
      <c r="BK11" s="70"/>
      <c r="BL11" s="70">
        <v>114.72854742072124</v>
      </c>
      <c r="BM11" s="70">
        <v>0</v>
      </c>
      <c r="BN11" s="70">
        <v>0</v>
      </c>
      <c r="BO11" s="70">
        <v>-4.4464184372958915</v>
      </c>
      <c r="BP11" s="70">
        <v>0</v>
      </c>
      <c r="BQ11" s="70">
        <v>0</v>
      </c>
      <c r="BR11" s="70">
        <v>0</v>
      </c>
      <c r="BS11" s="70">
        <v>0</v>
      </c>
      <c r="BT11" s="70">
        <v>0</v>
      </c>
      <c r="BU11" s="70">
        <v>0</v>
      </c>
    </row>
    <row r="14" spans="1:76">
      <c r="A14" s="6"/>
      <c r="P14" t="s">
        <v>20</v>
      </c>
      <c r="BA14">
        <f>SUM(AZ2:BI2,AZ3:BH3,AZ4:BG4,AZ5:BF5,AZ6:BE6,AZ7:BD7,AZ8:BC8,AZ10,AZ9:BB9,BA10,AZ11)</f>
        <v>1641.8935042366695</v>
      </c>
    </row>
    <row r="21" spans="1:11">
      <c r="A21" s="5" t="s">
        <v>207</v>
      </c>
    </row>
    <row r="23" spans="1:11">
      <c r="A23" s="118" t="s">
        <v>224</v>
      </c>
      <c r="B23" s="119"/>
      <c r="C23" s="98"/>
      <c r="D23" s="98"/>
      <c r="E23" s="98"/>
      <c r="F23" s="98"/>
      <c r="G23" s="98"/>
      <c r="H23" s="98"/>
      <c r="I23" s="98"/>
      <c r="J23" s="98"/>
      <c r="K23" s="13"/>
    </row>
    <row r="24" spans="1:11">
      <c r="A24" s="87" cm="1">
        <f t="array" ref="A24:K24">_xlfn.ANCHORARRAY(A26)/K26</f>
        <v>0</v>
      </c>
      <c r="B24" s="87">
        <v>0.49405832947379469</v>
      </c>
      <c r="C24" s="87">
        <v>0.72929756337646967</v>
      </c>
      <c r="D24" s="87">
        <v>0.83737610120956318</v>
      </c>
      <c r="E24" s="87">
        <v>0.89587567382029409</v>
      </c>
      <c r="F24" s="87">
        <v>0.93148040089738304</v>
      </c>
      <c r="G24" s="87">
        <v>0.95500547201005126</v>
      </c>
      <c r="H24" s="87">
        <v>0.97150531022236575</v>
      </c>
      <c r="I24" s="87">
        <v>0.98361115687169953</v>
      </c>
      <c r="J24" s="87">
        <v>0.9928104436781735</v>
      </c>
      <c r="K24" s="88">
        <v>1</v>
      </c>
    </row>
    <row r="25" spans="1:11">
      <c r="A25" s="85" t="s">
        <v>225</v>
      </c>
      <c r="B25" s="85"/>
      <c r="C25" s="85"/>
      <c r="D25" s="85"/>
      <c r="E25" s="85"/>
      <c r="F25" s="85"/>
      <c r="G25" s="85"/>
      <c r="H25" s="85"/>
      <c r="I25" s="85"/>
      <c r="J25" s="85"/>
      <c r="K25" s="86"/>
    </row>
    <row r="26" spans="1:11">
      <c r="A26" s="120" cm="1">
        <f t="array" ref="A26:K26">(A1:K1)^B29/((A1:K1)^B29 +( B30 ^ B29))</f>
        <v>0</v>
      </c>
      <c r="B26" s="121">
        <v>0.47077229413263294</v>
      </c>
      <c r="C26" s="122">
        <v>0.69492419524988625</v>
      </c>
      <c r="D26" s="122">
        <v>0.7979087583405986</v>
      </c>
      <c r="E26" s="122">
        <v>0.85365111984083741</v>
      </c>
      <c r="F26" s="122">
        <v>0.88757771928892237</v>
      </c>
      <c r="G26" s="122">
        <v>0.90999400302841471</v>
      </c>
      <c r="H26" s="122">
        <v>0.92571616825595304</v>
      </c>
      <c r="I26" s="122">
        <v>0.9372514402259543</v>
      </c>
      <c r="J26" s="122">
        <v>0.94601714479140586</v>
      </c>
      <c r="K26" s="123">
        <v>0.95286784180733697</v>
      </c>
    </row>
    <row r="29" spans="1:11">
      <c r="A29" t="s">
        <v>204</v>
      </c>
      <c r="B29">
        <v>1.3565470198288627</v>
      </c>
    </row>
    <row r="30" spans="1:11">
      <c r="A30" t="s">
        <v>205</v>
      </c>
      <c r="B30">
        <v>1.0901126282337286</v>
      </c>
    </row>
    <row r="31" spans="1:11">
      <c r="A31" t="s">
        <v>206</v>
      </c>
      <c r="B31" s="26" cm="1">
        <f t="array" ref="B31">SUM((B2:K11*(LN((B24:K24-A24:J24)*M2:M11))-((B24:K24-A24:J24)*M2:M11))*J51:S60)</f>
        <v>1535.0690979049716</v>
      </c>
    </row>
    <row r="39" spans="7:25">
      <c r="G39" s="24"/>
    </row>
    <row r="40" spans="7:25">
      <c r="G40" s="24"/>
      <c r="M40" t="s">
        <v>227</v>
      </c>
      <c r="N40" s="107">
        <v>0</v>
      </c>
      <c r="O40" s="107">
        <v>0</v>
      </c>
      <c r="P40" s="107">
        <v>0</v>
      </c>
      <c r="Q40" s="107">
        <v>0</v>
      </c>
      <c r="R40" s="107">
        <v>0</v>
      </c>
      <c r="S40" s="107">
        <v>0</v>
      </c>
      <c r="T40" s="107">
        <v>0</v>
      </c>
      <c r="U40" s="107">
        <v>0</v>
      </c>
      <c r="V40" s="107">
        <v>0</v>
      </c>
      <c r="W40" s="107">
        <v>0</v>
      </c>
      <c r="X40" s="107"/>
      <c r="Y40" s="107" t="s">
        <v>256</v>
      </c>
    </row>
    <row r="41" spans="7:25">
      <c r="G41" s="24"/>
      <c r="N41" s="107">
        <v>0</v>
      </c>
      <c r="O41" s="107">
        <v>0</v>
      </c>
      <c r="P41" s="107">
        <v>0</v>
      </c>
      <c r="Q41" s="107">
        <v>0</v>
      </c>
      <c r="R41" s="107">
        <v>0</v>
      </c>
      <c r="S41" s="107">
        <v>0</v>
      </c>
      <c r="T41" s="107">
        <v>0</v>
      </c>
      <c r="U41" s="107">
        <v>0</v>
      </c>
      <c r="V41" s="107">
        <v>0</v>
      </c>
      <c r="W41" s="107">
        <v>2.3957945004451857</v>
      </c>
      <c r="X41" s="107"/>
      <c r="Y41" s="107"/>
    </row>
    <row r="42" spans="7:25">
      <c r="G42" s="24"/>
      <c r="N42" s="107">
        <v>0</v>
      </c>
      <c r="O42" s="107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07">
        <v>0</v>
      </c>
      <c r="V42" s="107">
        <v>2.8194203634272568</v>
      </c>
      <c r="W42" s="107">
        <v>2.4156287867807755</v>
      </c>
      <c r="X42" s="107"/>
      <c r="Y42" s="107">
        <f>SUM(N40:W49)</f>
        <v>219.53584639213668</v>
      </c>
    </row>
    <row r="43" spans="7:25">
      <c r="G43" s="24"/>
      <c r="N43" s="107">
        <v>0</v>
      </c>
      <c r="O43" s="107">
        <v>0</v>
      </c>
      <c r="P43" s="107">
        <v>0</v>
      </c>
      <c r="Q43" s="107">
        <v>0</v>
      </c>
      <c r="R43" s="107">
        <v>0</v>
      </c>
      <c r="S43" s="107">
        <v>0</v>
      </c>
      <c r="T43" s="107">
        <v>0</v>
      </c>
      <c r="U43" s="107">
        <v>3.3882902366897798</v>
      </c>
      <c r="V43" s="107">
        <v>2.8597838849781261</v>
      </c>
      <c r="W43" s="107">
        <v>2.4502115279210863</v>
      </c>
      <c r="X43" s="107"/>
      <c r="Y43" s="107"/>
    </row>
    <row r="44" spans="7:25">
      <c r="G44" s="24"/>
      <c r="N44" s="107">
        <v>0</v>
      </c>
      <c r="O44" s="107">
        <v>0</v>
      </c>
      <c r="P44" s="107">
        <v>0</v>
      </c>
      <c r="Q44" s="107">
        <v>0</v>
      </c>
      <c r="R44" s="107">
        <v>0</v>
      </c>
      <c r="S44" s="107">
        <v>0</v>
      </c>
      <c r="T44" s="107">
        <v>4.1379895164751304</v>
      </c>
      <c r="U44" s="107">
        <v>3.4288773859833683</v>
      </c>
      <c r="V44" s="107">
        <v>2.8940402406557353</v>
      </c>
      <c r="W44" s="107">
        <v>2.4795617589041816</v>
      </c>
      <c r="X44" s="107"/>
      <c r="Y44" s="107"/>
    </row>
    <row r="45" spans="7:25">
      <c r="G45" s="24"/>
      <c r="N45" s="107">
        <v>0</v>
      </c>
      <c r="O45" s="107">
        <v>0</v>
      </c>
      <c r="P45" s="107">
        <v>0</v>
      </c>
      <c r="Q45" s="107">
        <v>0</v>
      </c>
      <c r="R45" s="107">
        <v>0</v>
      </c>
      <c r="S45" s="107">
        <v>5.1760164335569128</v>
      </c>
      <c r="T45" s="107">
        <v>4.1908763225872718</v>
      </c>
      <c r="U45" s="107">
        <v>3.4727011735431979</v>
      </c>
      <c r="V45" s="107">
        <v>2.9310283829598447</v>
      </c>
      <c r="W45" s="107">
        <v>2.511252535660415</v>
      </c>
      <c r="X45" s="107"/>
      <c r="Y45" s="107"/>
    </row>
    <row r="46" spans="7:25">
      <c r="G46" s="24"/>
      <c r="N46" s="107">
        <v>0</v>
      </c>
      <c r="O46" s="107">
        <v>0</v>
      </c>
      <c r="P46" s="107">
        <v>0</v>
      </c>
      <c r="Q46" s="107">
        <v>0</v>
      </c>
      <c r="R46" s="107">
        <v>6.3932563138088172</v>
      </c>
      <c r="S46" s="107">
        <v>5.0226947062546188</v>
      </c>
      <c r="T46" s="107">
        <v>4.0667359909369312</v>
      </c>
      <c r="U46" s="107">
        <v>3.3698343165370157</v>
      </c>
      <c r="V46" s="107">
        <v>2.8442067238294779</v>
      </c>
      <c r="W46" s="107">
        <v>2.4368652957043135</v>
      </c>
      <c r="X46" s="107"/>
      <c r="Y46" s="107"/>
    </row>
    <row r="47" spans="7:25">
      <c r="G47" s="24"/>
      <c r="N47" s="107">
        <v>0</v>
      </c>
      <c r="O47" s="107">
        <v>0</v>
      </c>
      <c r="P47" s="107">
        <v>0</v>
      </c>
      <c r="Q47" s="107">
        <v>8.6583502665407792</v>
      </c>
      <c r="R47" s="107">
        <v>6.5274407640541856</v>
      </c>
      <c r="S47" s="107">
        <v>5.1281132120719741</v>
      </c>
      <c r="T47" s="107">
        <v>4.1520904185481449</v>
      </c>
      <c r="U47" s="107">
        <v>3.4405618680362156</v>
      </c>
      <c r="V47" s="107">
        <v>2.9039021742992044</v>
      </c>
      <c r="W47" s="107">
        <v>2.4880112867261088</v>
      </c>
      <c r="X47" s="107"/>
      <c r="Y47" s="107"/>
    </row>
    <row r="48" spans="7:25">
      <c r="G48" s="24"/>
      <c r="N48" s="107">
        <v>0</v>
      </c>
      <c r="O48" s="107">
        <v>0</v>
      </c>
      <c r="P48" s="107">
        <v>12.859193044369038</v>
      </c>
      <c r="Q48" s="107">
        <v>9.1224978525328932</v>
      </c>
      <c r="R48" s="107">
        <v>6.8773568312119417</v>
      </c>
      <c r="S48" s="107">
        <v>5.4030156235943494</v>
      </c>
      <c r="T48" s="107">
        <v>4.3746712434470263</v>
      </c>
      <c r="U48" s="107">
        <v>3.6249998309674072</v>
      </c>
      <c r="V48" s="107">
        <v>3.0595714580156179</v>
      </c>
      <c r="W48" s="107">
        <v>2.6213859362962078</v>
      </c>
      <c r="X48" s="107"/>
      <c r="Y48" s="107"/>
    </row>
    <row r="49" spans="1:25">
      <c r="N49" s="107">
        <v>0</v>
      </c>
      <c r="O49" s="107">
        <v>19.674920897152038</v>
      </c>
      <c r="P49" s="107">
        <v>12.58882866127691</v>
      </c>
      <c r="Q49" s="107">
        <v>8.9306974420678422</v>
      </c>
      <c r="R49" s="107">
        <v>6.7327604844147944</v>
      </c>
      <c r="S49" s="107">
        <v>5.2894172834131297</v>
      </c>
      <c r="T49" s="107">
        <v>4.282693831809727</v>
      </c>
      <c r="U49" s="107">
        <v>3.5487842519939088</v>
      </c>
      <c r="V49" s="107">
        <v>2.9952440039585455</v>
      </c>
      <c r="W49" s="107">
        <v>2.5662713276992517</v>
      </c>
      <c r="X49" s="107"/>
      <c r="Y49" s="107"/>
    </row>
    <row r="50" spans="1:25">
      <c r="A50" s="5" t="s">
        <v>25</v>
      </c>
    </row>
    <row r="51" spans="1:25">
      <c r="A51" s="5" t="s">
        <v>21</v>
      </c>
      <c r="J51">
        <v>1</v>
      </c>
      <c r="K51">
        <v>1</v>
      </c>
    </row>
    <row r="52" spans="1:25">
      <c r="J52">
        <v>1</v>
      </c>
      <c r="K52">
        <v>1</v>
      </c>
      <c r="L52">
        <v>1</v>
      </c>
    </row>
    <row r="53" spans="1:25">
      <c r="J53">
        <v>1</v>
      </c>
      <c r="K53">
        <v>1</v>
      </c>
      <c r="L53">
        <v>1</v>
      </c>
    </row>
    <row r="54" spans="1:25">
      <c r="J54">
        <v>1</v>
      </c>
      <c r="K54">
        <v>1</v>
      </c>
      <c r="L54">
        <v>1</v>
      </c>
      <c r="M54">
        <v>1</v>
      </c>
      <c r="N54">
        <v>1</v>
      </c>
      <c r="O54">
        <v>1</v>
      </c>
      <c r="P54">
        <v>1</v>
      </c>
      <c r="Q54">
        <v>1</v>
      </c>
      <c r="R54">
        <v>1</v>
      </c>
      <c r="S54">
        <v>1</v>
      </c>
    </row>
    <row r="55" spans="1:25">
      <c r="J55">
        <v>1</v>
      </c>
      <c r="K55">
        <v>1</v>
      </c>
      <c r="L55">
        <v>1</v>
      </c>
      <c r="M55">
        <v>1</v>
      </c>
      <c r="N55">
        <v>1</v>
      </c>
      <c r="O55">
        <v>1</v>
      </c>
      <c r="P55">
        <v>1</v>
      </c>
      <c r="Q55">
        <v>1</v>
      </c>
      <c r="R55">
        <v>1</v>
      </c>
      <c r="S55">
        <v>0</v>
      </c>
    </row>
    <row r="56" spans="1:25">
      <c r="J56">
        <v>1</v>
      </c>
      <c r="K56">
        <v>1</v>
      </c>
      <c r="L56">
        <v>1</v>
      </c>
      <c r="M56">
        <v>1</v>
      </c>
      <c r="N56">
        <v>1</v>
      </c>
      <c r="O56">
        <v>1</v>
      </c>
      <c r="P56">
        <v>1</v>
      </c>
      <c r="Q56">
        <v>1</v>
      </c>
      <c r="R56">
        <v>0</v>
      </c>
      <c r="S56">
        <v>0</v>
      </c>
    </row>
    <row r="57" spans="1:25">
      <c r="J57">
        <v>1</v>
      </c>
      <c r="K57">
        <v>1</v>
      </c>
      <c r="L57">
        <v>1</v>
      </c>
      <c r="M57">
        <v>1</v>
      </c>
      <c r="N57">
        <v>1</v>
      </c>
      <c r="O57">
        <v>1</v>
      </c>
      <c r="P57">
        <v>1</v>
      </c>
      <c r="Q57">
        <v>0</v>
      </c>
      <c r="R57">
        <v>0</v>
      </c>
      <c r="S57">
        <v>0</v>
      </c>
    </row>
    <row r="58" spans="1:25">
      <c r="J58">
        <v>1</v>
      </c>
      <c r="K58">
        <v>1</v>
      </c>
      <c r="L58">
        <v>1</v>
      </c>
      <c r="M58">
        <v>1</v>
      </c>
      <c r="N58">
        <v>1</v>
      </c>
      <c r="O58">
        <v>1</v>
      </c>
      <c r="P58">
        <v>0</v>
      </c>
      <c r="Q58">
        <v>0</v>
      </c>
      <c r="R58">
        <v>0</v>
      </c>
      <c r="S58">
        <v>0</v>
      </c>
    </row>
    <row r="59" spans="1:25">
      <c r="J59">
        <v>1</v>
      </c>
      <c r="K59">
        <v>1</v>
      </c>
      <c r="L59">
        <v>1</v>
      </c>
      <c r="M59">
        <v>1</v>
      </c>
      <c r="N59">
        <v>1</v>
      </c>
      <c r="O59">
        <v>0</v>
      </c>
      <c r="P59">
        <v>0</v>
      </c>
      <c r="Q59">
        <v>0</v>
      </c>
      <c r="R59">
        <v>0</v>
      </c>
      <c r="S59">
        <v>0</v>
      </c>
    </row>
    <row r="60" spans="1:25">
      <c r="J60">
        <v>1</v>
      </c>
      <c r="K60">
        <v>0</v>
      </c>
      <c r="L60">
        <v>0</v>
      </c>
      <c r="M60">
        <v>1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</row>
    <row r="61" spans="1:25"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</row>
    <row r="62" spans="1:25">
      <c r="J62" t="s">
        <v>19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</row>
    <row r="63" spans="1:25"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</row>
    <row r="66" spans="5:27">
      <c r="E66" t="s">
        <v>242</v>
      </c>
      <c r="G66">
        <v>38.670994995509695</v>
      </c>
      <c r="H66">
        <v>18.115121913417529</v>
      </c>
      <c r="I66">
        <v>11.590804717246217</v>
      </c>
      <c r="J66">
        <v>8.2226847965789247</v>
      </c>
      <c r="K66">
        <v>6.1989970697502814</v>
      </c>
    </row>
    <row r="67" spans="5:27">
      <c r="G67">
        <v>39.210652757393262</v>
      </c>
      <c r="H67">
        <v>18.367920326004999</v>
      </c>
      <c r="I67">
        <v>11.752555603999063</v>
      </c>
      <c r="J67">
        <v>8.3374332191243248</v>
      </c>
      <c r="K67">
        <v>6.2855047193458669</v>
      </c>
      <c r="L67">
        <v>4.8700800090045799</v>
      </c>
    </row>
    <row r="68" spans="5:27">
      <c r="G68">
        <v>39.535269628352353</v>
      </c>
      <c r="H68">
        <v>18.519984533126095</v>
      </c>
      <c r="I68">
        <v>11.84985257708308</v>
      </c>
      <c r="J68">
        <v>8.4064571014903784</v>
      </c>
      <c r="K68">
        <v>6.3375411107575843</v>
      </c>
      <c r="L68">
        <v>4.9380424826404008</v>
      </c>
    </row>
    <row r="69" spans="5:27">
      <c r="G69">
        <v>40.10126635887309</v>
      </c>
      <c r="H69">
        <v>18.785121227363454</v>
      </c>
      <c r="I69">
        <v>12.019498007070789</v>
      </c>
      <c r="J69">
        <v>8.5268060273844934</v>
      </c>
      <c r="K69">
        <v>6.4282709219350238</v>
      </c>
      <c r="L69">
        <v>4.9789235133464134</v>
      </c>
      <c r="M69">
        <v>3.9431681218247983</v>
      </c>
      <c r="N69">
        <v>3.2674418212574081</v>
      </c>
      <c r="O69">
        <v>2.7577854353658915</v>
      </c>
      <c r="P69">
        <v>2.3628210861528309</v>
      </c>
      <c r="R69" cm="1">
        <f t="array" ref="R69:AA78">(B2:K11-G66:P75)^2/G66:P75</f>
        <v>0.28657846329550929</v>
      </c>
      <c r="S69">
        <v>7.3160175306889036E-4</v>
      </c>
      <c r="T69">
        <v>3.0114407276746049E-2</v>
      </c>
      <c r="U69">
        <v>7.3481951505782517E-2</v>
      </c>
      <c r="V69">
        <v>0.52324779609852878</v>
      </c>
      <c r="W69" t="e">
        <v>#DIV/0!</v>
      </c>
      <c r="X69" t="e">
        <v>#DIV/0!</v>
      </c>
      <c r="Y69" t="e">
        <v>#DIV/0!</v>
      </c>
      <c r="Z69" t="e">
        <v>#DIV/0!</v>
      </c>
      <c r="AA69" t="e">
        <v>#DIV/0!</v>
      </c>
    </row>
    <row r="70" spans="5:27">
      <c r="G70">
        <v>40.58162546947861</v>
      </c>
      <c r="H70">
        <v>19.010141655512516</v>
      </c>
      <c r="I70">
        <v>12.163475389753215</v>
      </c>
      <c r="J70">
        <v>8.6289456686358452</v>
      </c>
      <c r="K70">
        <v>6.5052729416507624</v>
      </c>
      <c r="L70">
        <v>5.0502030178637156</v>
      </c>
      <c r="M70">
        <v>3.9981954435578353</v>
      </c>
      <c r="N70">
        <v>3.3130393121042112</v>
      </c>
      <c r="O70">
        <v>2.7962706182782382</v>
      </c>
      <c r="P70">
        <v>0</v>
      </c>
      <c r="R70">
        <v>1.5890300864562341E-2</v>
      </c>
      <c r="S70">
        <v>2.1751222086475761E-2</v>
      </c>
      <c r="T70">
        <v>0.64467360192948653</v>
      </c>
      <c r="U70">
        <v>0.33153228676314606</v>
      </c>
      <c r="V70">
        <v>1.1722980027386567</v>
      </c>
      <c r="W70">
        <v>3.4658987180993064E-3</v>
      </c>
      <c r="X70" t="e">
        <v>#DIV/0!</v>
      </c>
      <c r="Y70" t="e">
        <v>#DIV/0!</v>
      </c>
      <c r="Z70" t="e">
        <v>#DIV/0!</v>
      </c>
      <c r="AA70" t="e">
        <v>#DIV/0!</v>
      </c>
    </row>
    <row r="71" spans="5:27">
      <c r="G71">
        <v>41.100291007265689</v>
      </c>
      <c r="H71">
        <v>19.253106426664438</v>
      </c>
      <c r="I71">
        <v>12.318934305738013</v>
      </c>
      <c r="J71">
        <v>8.7392304759589159</v>
      </c>
      <c r="K71">
        <v>6.5884155178708959</v>
      </c>
      <c r="L71">
        <v>5.1106976418570937</v>
      </c>
      <c r="M71">
        <v>4.0312956753341584</v>
      </c>
      <c r="N71">
        <v>3.3404672782111242</v>
      </c>
      <c r="O71">
        <v>0</v>
      </c>
      <c r="P71">
        <v>0</v>
      </c>
      <c r="R71">
        <v>0.31612611884623809</v>
      </c>
      <c r="S71">
        <v>1.2441416893520464E-2</v>
      </c>
      <c r="T71">
        <v>0.28877612904305433</v>
      </c>
      <c r="U71">
        <v>0.80015453421122629</v>
      </c>
      <c r="V71">
        <v>1.1185232905035281</v>
      </c>
      <c r="W71">
        <v>0.22838073439853171</v>
      </c>
      <c r="X71" t="e">
        <v>#DIV/0!</v>
      </c>
      <c r="Y71" t="e">
        <v>#DIV/0!</v>
      </c>
      <c r="Z71" t="e">
        <v>#DIV/0!</v>
      </c>
      <c r="AA71" t="e">
        <v>#DIV/0!</v>
      </c>
    </row>
    <row r="72" spans="5:27">
      <c r="G72">
        <v>39.882835906272014</v>
      </c>
      <c r="H72">
        <v>18.682799208523988</v>
      </c>
      <c r="I72">
        <v>11.954028144692209</v>
      </c>
      <c r="J72">
        <v>8.4803607584711571</v>
      </c>
      <c r="K72">
        <v>0</v>
      </c>
      <c r="L72">
        <v>0</v>
      </c>
      <c r="M72">
        <v>4.0890087045723664</v>
      </c>
      <c r="N72">
        <v>0</v>
      </c>
      <c r="O72">
        <v>0</v>
      </c>
      <c r="P72">
        <v>0</v>
      </c>
      <c r="R72">
        <v>0.11010426133225613</v>
      </c>
      <c r="S72">
        <v>2.4579499046580668E-3</v>
      </c>
      <c r="T72">
        <v>0.75854816976057837</v>
      </c>
      <c r="U72">
        <v>0.71734813792379648</v>
      </c>
      <c r="V72">
        <v>1.0288599424764233</v>
      </c>
      <c r="W72">
        <v>0.2094021305613683</v>
      </c>
      <c r="X72">
        <v>0.22559679895536611</v>
      </c>
      <c r="Y72">
        <v>3.2674418212574081</v>
      </c>
      <c r="Z72">
        <v>2.7577854353658915</v>
      </c>
      <c r="AA72">
        <v>2.3628210861528309</v>
      </c>
    </row>
    <row r="73" spans="5:27">
      <c r="G73">
        <v>40.719914250644088</v>
      </c>
      <c r="H73">
        <v>19.074921941883773</v>
      </c>
      <c r="I73">
        <v>12.204924497986948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R73">
        <v>6.1642161859308389E-2</v>
      </c>
      <c r="S73">
        <v>5.4104371444662848E-6</v>
      </c>
      <c r="T73">
        <v>0.82275634396439523</v>
      </c>
      <c r="U73">
        <v>0.21784700608151894</v>
      </c>
      <c r="V73">
        <v>1.877418107111605</v>
      </c>
      <c r="W73">
        <v>4.9905775940284444E-4</v>
      </c>
      <c r="X73">
        <v>3.9981954435578353</v>
      </c>
      <c r="Y73">
        <v>3.3130393121042112</v>
      </c>
      <c r="Z73">
        <v>2.7962706182782382</v>
      </c>
      <c r="AA73" t="e">
        <v>#DIV/0!</v>
      </c>
    </row>
    <row r="74" spans="5:27">
      <c r="G74">
        <v>42.90278388740149</v>
      </c>
      <c r="H74">
        <v>20.097469967750428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R74">
        <v>2.4472542388053543E-4</v>
      </c>
      <c r="S74">
        <v>3.3274039938883363E-3</v>
      </c>
      <c r="T74">
        <v>0.4365196031465064</v>
      </c>
      <c r="U74">
        <v>7.7810906641814052E-3</v>
      </c>
      <c r="V74">
        <v>0.8827220594497821</v>
      </c>
      <c r="W74">
        <v>5.1106976418570937</v>
      </c>
      <c r="X74">
        <v>4.0312956753341584</v>
      </c>
      <c r="Y74">
        <v>3.3404672782111238</v>
      </c>
      <c r="Z74" t="e">
        <v>#DIV/0!</v>
      </c>
      <c r="AA74" t="e">
        <v>#DIV/0!</v>
      </c>
    </row>
    <row r="75" spans="5:27">
      <c r="G75">
        <v>42.000753358842665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R75">
        <v>0.11238879327199851</v>
      </c>
      <c r="S75">
        <v>5.385506796385317E-3</v>
      </c>
      <c r="T75">
        <v>0.72998676044679667</v>
      </c>
      <c r="U75">
        <v>3.1841209239470057E-2</v>
      </c>
      <c r="V75" t="e">
        <v>#DIV/0!</v>
      </c>
      <c r="W75" t="e">
        <v>#DIV/0!</v>
      </c>
      <c r="X75">
        <v>4.0890087045723664</v>
      </c>
      <c r="Y75" t="e">
        <v>#DIV/0!</v>
      </c>
      <c r="Z75" t="e">
        <v>#DIV/0!</v>
      </c>
      <c r="AA75" t="e">
        <v>#DIV/0!</v>
      </c>
    </row>
    <row r="76" spans="5:27">
      <c r="L76">
        <v>0</v>
      </c>
      <c r="M76">
        <v>0</v>
      </c>
      <c r="N76">
        <v>0</v>
      </c>
      <c r="O76">
        <v>0</v>
      </c>
      <c r="P76">
        <v>0</v>
      </c>
      <c r="R76">
        <v>0.12767195413074031</v>
      </c>
      <c r="S76">
        <v>2.9427629600465048E-4</v>
      </c>
      <c r="T76">
        <v>0.39833855937616575</v>
      </c>
      <c r="U76" t="e">
        <v>#DIV/0!</v>
      </c>
      <c r="V76" t="e">
        <v>#DIV/0!</v>
      </c>
      <c r="W76" t="e">
        <v>#DIV/0!</v>
      </c>
      <c r="X76" t="e">
        <v>#DIV/0!</v>
      </c>
      <c r="Y76" t="e">
        <v>#DIV/0!</v>
      </c>
      <c r="Z76" t="e">
        <v>#DIV/0!</v>
      </c>
      <c r="AA76" t="e">
        <v>#DIV/0!</v>
      </c>
    </row>
    <row r="77" spans="5:27">
      <c r="G77" t="e" cm="1" vm="1">
        <f t="array" aca="1" ref="G77" ca="1">IFERROR(_xlfn.ANCHORARRAY(R69),0)</f>
        <v>#VALUE!</v>
      </c>
      <c r="M77">
        <v>0</v>
      </c>
      <c r="N77">
        <v>0</v>
      </c>
      <c r="O77">
        <v>0</v>
      </c>
      <c r="P77">
        <v>0</v>
      </c>
      <c r="R77">
        <v>2.2028809537325616E-4</v>
      </c>
      <c r="S77">
        <v>4.7271595024220877E-4</v>
      </c>
      <c r="T77" t="e">
        <v>#DIV/0!</v>
      </c>
      <c r="U77" t="e">
        <v>#DIV/0!</v>
      </c>
      <c r="V77" t="e">
        <v>#DIV/0!</v>
      </c>
      <c r="W77" t="e">
        <v>#DIV/0!</v>
      </c>
      <c r="X77" t="e">
        <v>#DIV/0!</v>
      </c>
      <c r="Y77" t="e">
        <v>#DIV/0!</v>
      </c>
      <c r="Z77" t="e">
        <v>#DIV/0!</v>
      </c>
      <c r="AA77" t="e">
        <v>#DIV/0!</v>
      </c>
    </row>
    <row r="78" spans="5:27">
      <c r="M78">
        <v>0</v>
      </c>
      <c r="N78">
        <v>0</v>
      </c>
      <c r="O78">
        <v>0</v>
      </c>
      <c r="P78">
        <v>0</v>
      </c>
      <c r="R78">
        <v>1.3512842042929847E-8</v>
      </c>
      <c r="S78" t="e">
        <v>#DIV/0!</v>
      </c>
      <c r="T78" t="e">
        <v>#DIV/0!</v>
      </c>
      <c r="U78" t="e">
        <v>#DIV/0!</v>
      </c>
      <c r="V78" t="e">
        <v>#DIV/0!</v>
      </c>
      <c r="W78" t="e">
        <v>#DIV/0!</v>
      </c>
      <c r="X78" t="e">
        <v>#DIV/0!</v>
      </c>
      <c r="Y78" t="e">
        <v>#DIV/0!</v>
      </c>
      <c r="Z78" t="e">
        <v>#DIV/0!</v>
      </c>
      <c r="AA78" t="e">
        <v>#DIV/0!</v>
      </c>
    </row>
    <row r="81" spans="18:18">
      <c r="R81" t="e" vm="2">
        <f ca="1">SUM(_xlfn.ANCHORARRAY(G77))/42</f>
        <v>#VALUE!</v>
      </c>
    </row>
    <row r="84" spans="18:18">
      <c r="R84" t="e" vm="2">
        <f ca="1">R81*Y42</f>
        <v>#VALUE!</v>
      </c>
    </row>
  </sheetData>
  <conditionalFormatting sqref="N40:W49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CE0EC-171A-4AFB-9003-1402FEEE4B30}">
  <dimension ref="A1:CL65"/>
  <sheetViews>
    <sheetView workbookViewId="0">
      <selection activeCell="N17" sqref="N17"/>
    </sheetView>
  </sheetViews>
  <sheetFormatPr defaultRowHeight="15"/>
  <cols>
    <col min="1" max="1" width="17.85546875" customWidth="1"/>
    <col min="13" max="13" width="9.28515625" bestFit="1" customWidth="1"/>
  </cols>
  <sheetData>
    <row r="1" spans="1:90" ht="18" customHeight="1">
      <c r="A1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N1" t="s">
        <v>13</v>
      </c>
      <c r="P1" s="4" cm="1">
        <f t="array" ref="P1:Y1">B24:K24-A24:J24</f>
        <v>0.38670248463278989</v>
      </c>
      <c r="Q1">
        <v>0.18115273077925242</v>
      </c>
      <c r="R1">
        <v>0.11590969495041348</v>
      </c>
      <c r="S1">
        <v>8.2228200293703924E-2</v>
      </c>
      <c r="T1" s="10">
        <v>6.1991040056670221E-2</v>
      </c>
      <c r="U1">
        <v>4.8701646371992369E-2</v>
      </c>
      <c r="V1">
        <v>3.943235745607232E-2</v>
      </c>
      <c r="W1">
        <v>3.2674964778208748E-2</v>
      </c>
      <c r="X1">
        <v>2.7578301039495767E-2</v>
      </c>
      <c r="Y1">
        <v>2.362857964140086E-2</v>
      </c>
      <c r="AN1" s="5" t="s">
        <v>14</v>
      </c>
      <c r="BA1" s="5" t="s">
        <v>15</v>
      </c>
      <c r="BM1" t="s">
        <v>16</v>
      </c>
      <c r="BY1" t="s">
        <v>17</v>
      </c>
    </row>
    <row r="2" spans="1:90">
      <c r="A2">
        <v>2000</v>
      </c>
      <c r="B2">
        <v>42</v>
      </c>
      <c r="C2">
        <v>18</v>
      </c>
      <c r="D2">
        <v>11</v>
      </c>
      <c r="E2">
        <v>9</v>
      </c>
      <c r="F2">
        <v>8</v>
      </c>
      <c r="G2">
        <v>5</v>
      </c>
      <c r="H2">
        <v>3</v>
      </c>
      <c r="I2">
        <v>2</v>
      </c>
      <c r="J2">
        <v>1</v>
      </c>
      <c r="K2">
        <v>1</v>
      </c>
      <c r="M2">
        <v>100.001136418594</v>
      </c>
      <c r="O2">
        <f>SUM(P2:Y2)</f>
        <v>100.00113641859399</v>
      </c>
      <c r="P2" cm="1">
        <f t="array" ref="P2:Y11">_xlfn.ANCHORARRAY(P1)*M2:M11</f>
        <v>38.67068791917287</v>
      </c>
      <c r="Q2">
        <v>18.115478943256853</v>
      </c>
      <c r="R2">
        <v>11.591101216973914</v>
      </c>
      <c r="S2">
        <v>8.2229134750261572</v>
      </c>
      <c r="T2" s="10">
        <v>6.1991744534376041</v>
      </c>
      <c r="U2">
        <v>4.8702199826557324</v>
      </c>
      <c r="V2">
        <v>3.9432805572714504</v>
      </c>
      <c r="W2">
        <v>3.2675336102584072</v>
      </c>
      <c r="X2">
        <v>2.7578614444436691</v>
      </c>
      <c r="Y2">
        <v>2.3628848160973401</v>
      </c>
      <c r="AB2">
        <v>1</v>
      </c>
      <c r="AC2">
        <v>1</v>
      </c>
      <c r="AD2">
        <v>1</v>
      </c>
      <c r="AE2">
        <v>1</v>
      </c>
      <c r="AF2">
        <v>1</v>
      </c>
      <c r="AG2">
        <v>1</v>
      </c>
      <c r="AH2">
        <v>1</v>
      </c>
      <c r="AI2">
        <v>1</v>
      </c>
      <c r="AJ2">
        <v>1</v>
      </c>
      <c r="AK2">
        <v>1</v>
      </c>
      <c r="AP2" s="4" cm="1">
        <f t="array" ref="AP2:AY11">LN(P2:Y11)</f>
        <v>3.6550818949404906</v>
      </c>
      <c r="AQ2">
        <v>2.8967667630401439</v>
      </c>
      <c r="AR2">
        <v>2.4502376672447999</v>
      </c>
      <c r="AS2">
        <v>2.1069245836211228</v>
      </c>
      <c r="AT2">
        <v>1.8244161305140878</v>
      </c>
      <c r="AU2">
        <v>1.5831391070508569</v>
      </c>
      <c r="AV2">
        <v>1.372013005615917</v>
      </c>
      <c r="AW2">
        <v>1.184035452693913</v>
      </c>
      <c r="AX2">
        <v>1.0144555404165041</v>
      </c>
      <c r="AY2">
        <v>0.85988325224198714</v>
      </c>
      <c r="BB2" cm="1">
        <f t="array" ref="BB2:BK11">_xlfn.ANCHORARRAY(AP2)*B2:K11</f>
        <v>153.51343958750061</v>
      </c>
      <c r="BC2">
        <v>52.141801734722591</v>
      </c>
      <c r="BD2">
        <v>26.952614339692797</v>
      </c>
      <c r="BE2">
        <v>18.962321252590105</v>
      </c>
      <c r="BF2">
        <v>14.595329044112702</v>
      </c>
      <c r="BG2">
        <v>7.9156955352542848</v>
      </c>
      <c r="BH2">
        <v>4.1160390168477505</v>
      </c>
      <c r="BI2">
        <v>2.3680709053878259</v>
      </c>
      <c r="BJ2">
        <v>1.0144555404165041</v>
      </c>
      <c r="BK2">
        <v>0.85988325224198714</v>
      </c>
      <c r="BN2" cm="1">
        <f t="array" ref="BN2:BW11">_xlfn.ANCHORARRAY(BB2)-_xlfn.ANCHORARRAY(P2)</f>
        <v>114.84275166832774</v>
      </c>
      <c r="BO2">
        <v>34.026322791465738</v>
      </c>
      <c r="BP2">
        <v>15.361513122718883</v>
      </c>
      <c r="BQ2">
        <v>10.739407777563947</v>
      </c>
      <c r="BR2">
        <v>8.3961545906750992</v>
      </c>
      <c r="BS2">
        <v>3.0454755525985524</v>
      </c>
      <c r="BT2">
        <v>0.17275845957630009</v>
      </c>
      <c r="BU2">
        <v>-0.89946270487058122</v>
      </c>
      <c r="BV2">
        <v>-1.743405904027165</v>
      </c>
      <c r="BW2">
        <v>-1.5030015638553529</v>
      </c>
      <c r="BZ2" cm="1">
        <f t="array" ref="BZ2:CI11">_xlfn.ANCHORARRAY(BN2)*AB2:AK11</f>
        <v>114.84275166832774</v>
      </c>
      <c r="CA2">
        <v>34.026322791465738</v>
      </c>
      <c r="CB2">
        <v>15.361513122718883</v>
      </c>
      <c r="CC2">
        <v>10.739407777563947</v>
      </c>
      <c r="CD2">
        <v>8.3961545906750992</v>
      </c>
      <c r="CE2">
        <v>3.0454755525985524</v>
      </c>
      <c r="CF2">
        <v>0.17275845957630009</v>
      </c>
      <c r="CG2">
        <v>-0.89946270487058122</v>
      </c>
      <c r="CH2">
        <v>-1.743405904027165</v>
      </c>
      <c r="CI2">
        <v>-1.5030015638553529</v>
      </c>
      <c r="CL2">
        <f>SUM(_xlfn.ANCHORARRAY(BZ2))</f>
        <v>1689.3682123747328</v>
      </c>
    </row>
    <row r="3" spans="1:90">
      <c r="A3">
        <v>2001</v>
      </c>
      <c r="B3">
        <v>40</v>
      </c>
      <c r="C3">
        <v>19</v>
      </c>
      <c r="D3">
        <v>9</v>
      </c>
      <c r="E3">
        <v>10</v>
      </c>
      <c r="F3">
        <v>9</v>
      </c>
      <c r="G3">
        <v>5</v>
      </c>
      <c r="H3">
        <v>3</v>
      </c>
      <c r="I3">
        <v>3</v>
      </c>
      <c r="J3">
        <v>1</v>
      </c>
      <c r="M3">
        <v>101.39588951357051</v>
      </c>
      <c r="O3">
        <f t="shared" ref="O3:O11" si="0">SUM(P3:Y3)</f>
        <v>101.39588951357049</v>
      </c>
      <c r="P3">
        <v>39.21004240644956</v>
      </c>
      <c r="Q3">
        <v>18.368142275174662</v>
      </c>
      <c r="R3">
        <v>11.752766622743787</v>
      </c>
      <c r="S3">
        <v>8.3376015118801483</v>
      </c>
      <c r="T3" s="10">
        <v>6.2856366484174577</v>
      </c>
      <c r="U3">
        <v>4.9381467546635198</v>
      </c>
      <c r="V3">
        <v>3.9982789598755271</v>
      </c>
      <c r="W3">
        <v>3.3131071185110623</v>
      </c>
      <c r="X3">
        <v>2.7963263651726997</v>
      </c>
      <c r="Y3">
        <v>2.3958408506820832</v>
      </c>
      <c r="AB3">
        <v>1</v>
      </c>
      <c r="AC3">
        <v>1</v>
      </c>
      <c r="AD3">
        <v>1</v>
      </c>
      <c r="AE3">
        <v>1</v>
      </c>
      <c r="AF3">
        <v>1</v>
      </c>
      <c r="AG3">
        <v>1</v>
      </c>
      <c r="AH3">
        <v>1</v>
      </c>
      <c r="AI3">
        <v>1</v>
      </c>
      <c r="AJ3">
        <v>1</v>
      </c>
      <c r="AK3">
        <v>0</v>
      </c>
      <c r="AP3">
        <v>3.6689328978249396</v>
      </c>
      <c r="AQ3">
        <v>2.9106177659245933</v>
      </c>
      <c r="AR3">
        <v>2.4640886701292493</v>
      </c>
      <c r="AS3">
        <v>2.1207755865055722</v>
      </c>
      <c r="AT3">
        <v>1.8382671333985372</v>
      </c>
      <c r="AU3">
        <v>1.5969901099353063</v>
      </c>
      <c r="AV3">
        <v>1.3858640085003662</v>
      </c>
      <c r="AW3">
        <v>1.1978864555783624</v>
      </c>
      <c r="AX3">
        <v>1.0283065433009535</v>
      </c>
      <c r="AY3">
        <v>0.87373425512643654</v>
      </c>
      <c r="BB3">
        <v>146.75731591299757</v>
      </c>
      <c r="BC3">
        <v>55.301737552567275</v>
      </c>
      <c r="BD3">
        <v>22.176798031163244</v>
      </c>
      <c r="BE3">
        <v>21.207755865055724</v>
      </c>
      <c r="BF3">
        <v>16.544404200586836</v>
      </c>
      <c r="BG3">
        <v>7.9849505496765314</v>
      </c>
      <c r="BH3">
        <v>4.1575920255010983</v>
      </c>
      <c r="BI3">
        <v>3.5936593667350873</v>
      </c>
      <c r="BJ3">
        <v>1.0283065433009535</v>
      </c>
      <c r="BK3">
        <v>0</v>
      </c>
      <c r="BN3">
        <v>107.54727350654801</v>
      </c>
      <c r="BO3">
        <v>36.933595277392612</v>
      </c>
      <c r="BP3">
        <v>10.424031408419458</v>
      </c>
      <c r="BQ3">
        <v>12.870154353175575</v>
      </c>
      <c r="BR3">
        <v>10.258767552169378</v>
      </c>
      <c r="BS3">
        <v>3.0468037950130116</v>
      </c>
      <c r="BT3">
        <v>0.15931306562557124</v>
      </c>
      <c r="BU3">
        <v>0.28055224822402502</v>
      </c>
      <c r="BV3">
        <v>-1.7680198218717462</v>
      </c>
      <c r="BW3">
        <v>-2.3958408506820832</v>
      </c>
      <c r="BZ3">
        <v>107.54727350654801</v>
      </c>
      <c r="CA3">
        <v>36.933595277392612</v>
      </c>
      <c r="CB3">
        <v>10.424031408419458</v>
      </c>
      <c r="CC3">
        <v>12.870154353175575</v>
      </c>
      <c r="CD3">
        <v>10.258767552169378</v>
      </c>
      <c r="CE3">
        <v>3.0468037950130116</v>
      </c>
      <c r="CF3">
        <v>0.15931306562557124</v>
      </c>
      <c r="CG3">
        <v>0.28055224822402502</v>
      </c>
      <c r="CH3">
        <v>-1.7680198218717462</v>
      </c>
      <c r="CI3">
        <v>0</v>
      </c>
    </row>
    <row r="4" spans="1:90">
      <c r="A4">
        <v>2002</v>
      </c>
      <c r="B4">
        <v>36</v>
      </c>
      <c r="C4">
        <v>19</v>
      </c>
      <c r="D4">
        <v>10</v>
      </c>
      <c r="E4">
        <v>11</v>
      </c>
      <c r="F4">
        <v>9</v>
      </c>
      <c r="G4">
        <v>6</v>
      </c>
      <c r="H4">
        <v>3</v>
      </c>
      <c r="I4">
        <v>3</v>
      </c>
      <c r="M4">
        <v>102.23457891036803</v>
      </c>
      <c r="O4">
        <f t="shared" si="0"/>
        <v>102.23457891036803</v>
      </c>
      <c r="P4">
        <v>39.53436568002634</v>
      </c>
      <c r="Q4">
        <v>18.520073149680137</v>
      </c>
      <c r="R4">
        <v>11.849978854884734</v>
      </c>
      <c r="S4">
        <v>8.4065654315842213</v>
      </c>
      <c r="T4" s="10">
        <v>6.3376278764094369</v>
      </c>
      <c r="U4">
        <v>4.978992309082293</v>
      </c>
      <c r="V4">
        <v>4.0313504599646643</v>
      </c>
      <c r="W4">
        <v>3.340511265011278</v>
      </c>
      <c r="X4">
        <v>2.8194559938362147</v>
      </c>
      <c r="Y4">
        <v>2.4156578898887116</v>
      </c>
      <c r="AB4">
        <v>1</v>
      </c>
      <c r="AC4">
        <v>1</v>
      </c>
      <c r="AD4">
        <v>1</v>
      </c>
      <c r="AE4">
        <v>1</v>
      </c>
      <c r="AF4">
        <v>1</v>
      </c>
      <c r="AG4">
        <v>1</v>
      </c>
      <c r="AH4">
        <v>1</v>
      </c>
      <c r="AI4">
        <v>1</v>
      </c>
      <c r="AJ4">
        <v>0</v>
      </c>
      <c r="AK4">
        <v>0</v>
      </c>
      <c r="AP4">
        <v>3.6771703108773259</v>
      </c>
      <c r="AQ4">
        <v>2.9188551789769792</v>
      </c>
      <c r="AR4">
        <v>2.4723260831816356</v>
      </c>
      <c r="AS4">
        <v>2.1290129995579581</v>
      </c>
      <c r="AT4">
        <v>1.8465045464509231</v>
      </c>
      <c r="AU4">
        <v>1.6052275229876924</v>
      </c>
      <c r="AV4">
        <v>1.3941014215527521</v>
      </c>
      <c r="AW4">
        <v>1.2061238686307483</v>
      </c>
      <c r="AX4">
        <v>1.0365439563533394</v>
      </c>
      <c r="AY4">
        <v>0.88197166817882244</v>
      </c>
      <c r="BB4">
        <v>132.37813119158375</v>
      </c>
      <c r="BC4">
        <v>55.458248400562603</v>
      </c>
      <c r="BD4">
        <v>24.723260831816354</v>
      </c>
      <c r="BE4">
        <v>23.419142995137538</v>
      </c>
      <c r="BF4">
        <v>16.618540918058308</v>
      </c>
      <c r="BG4">
        <v>9.6313651379261547</v>
      </c>
      <c r="BH4">
        <v>4.1823042646582564</v>
      </c>
      <c r="BI4">
        <v>3.6183716058922446</v>
      </c>
      <c r="BJ4">
        <v>0</v>
      </c>
      <c r="BK4">
        <v>0</v>
      </c>
      <c r="BN4">
        <v>92.843765511557407</v>
      </c>
      <c r="BO4">
        <v>36.938175250882466</v>
      </c>
      <c r="BP4">
        <v>12.87328197693162</v>
      </c>
      <c r="BQ4">
        <v>15.012577563553316</v>
      </c>
      <c r="BR4">
        <v>10.280913041648871</v>
      </c>
      <c r="BS4">
        <v>4.6523728288438617</v>
      </c>
      <c r="BT4">
        <v>0.1509538046935921</v>
      </c>
      <c r="BU4">
        <v>0.27786034088096656</v>
      </c>
      <c r="BV4">
        <v>-2.8194559938362147</v>
      </c>
      <c r="BW4">
        <v>-2.4156578898887116</v>
      </c>
      <c r="BZ4">
        <v>92.843765511557407</v>
      </c>
      <c r="CA4">
        <v>36.938175250882466</v>
      </c>
      <c r="CB4">
        <v>12.87328197693162</v>
      </c>
      <c r="CC4">
        <v>15.012577563553316</v>
      </c>
      <c r="CD4">
        <v>10.280913041648871</v>
      </c>
      <c r="CE4">
        <v>4.6523728288438617</v>
      </c>
      <c r="CF4">
        <v>0.1509538046935921</v>
      </c>
      <c r="CG4">
        <v>0.27786034088096656</v>
      </c>
      <c r="CH4">
        <v>0</v>
      </c>
      <c r="CI4">
        <v>0</v>
      </c>
    </row>
    <row r="5" spans="1:90">
      <c r="A5">
        <v>2003</v>
      </c>
      <c r="B5">
        <v>38</v>
      </c>
      <c r="C5">
        <v>19</v>
      </c>
      <c r="D5">
        <v>9</v>
      </c>
      <c r="E5">
        <v>11</v>
      </c>
      <c r="F5">
        <v>9</v>
      </c>
      <c r="G5">
        <v>6</v>
      </c>
      <c r="H5">
        <v>3</v>
      </c>
      <c r="M5">
        <v>103.69779974688521</v>
      </c>
      <c r="O5">
        <f t="shared" si="0"/>
        <v>103.69779974688522</v>
      </c>
      <c r="P5">
        <v>40.100196813074</v>
      </c>
      <c r="Q5">
        <v>18.785139599948327</v>
      </c>
      <c r="R5">
        <v>12.019580335690529</v>
      </c>
      <c r="S5">
        <v>8.5268834476032769</v>
      </c>
      <c r="T5" s="10">
        <v>6.4283344578977282</v>
      </c>
      <c r="U5">
        <v>5.0502535728264828</v>
      </c>
      <c r="V5">
        <v>4.0890487070273833</v>
      </c>
      <c r="W5">
        <v>3.3883219543072181</v>
      </c>
      <c r="X5">
        <v>2.8598091385529485</v>
      </c>
      <c r="Y5">
        <v>2.4502317199573151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0</v>
      </c>
      <c r="AJ5">
        <v>0</v>
      </c>
      <c r="AK5">
        <v>0</v>
      </c>
      <c r="AP5">
        <v>3.6913812423571875</v>
      </c>
      <c r="AQ5">
        <v>2.9330661104568407</v>
      </c>
      <c r="AR5">
        <v>2.4865370146614967</v>
      </c>
      <c r="AS5">
        <v>2.1432239310378196</v>
      </c>
      <c r="AT5">
        <v>1.8607154779307846</v>
      </c>
      <c r="AU5">
        <v>1.6194384544675537</v>
      </c>
      <c r="AV5">
        <v>1.4083123530326136</v>
      </c>
      <c r="AW5">
        <v>1.2203348001106098</v>
      </c>
      <c r="AX5">
        <v>1.0507548878332009</v>
      </c>
      <c r="AY5">
        <v>0.89618259965868396</v>
      </c>
      <c r="BB5">
        <v>140.27248720957311</v>
      </c>
      <c r="BC5">
        <v>55.728256098679971</v>
      </c>
      <c r="BD5">
        <v>22.378833131953471</v>
      </c>
      <c r="BE5">
        <v>23.575463241416017</v>
      </c>
      <c r="BF5">
        <v>16.746439301377062</v>
      </c>
      <c r="BG5">
        <v>9.716630726805322</v>
      </c>
      <c r="BH5">
        <v>4.224937059097841</v>
      </c>
      <c r="BI5">
        <v>0</v>
      </c>
      <c r="BJ5">
        <v>0</v>
      </c>
      <c r="BK5">
        <v>0</v>
      </c>
      <c r="BN5">
        <v>100.17229039649911</v>
      </c>
      <c r="BO5">
        <v>36.943116498731641</v>
      </c>
      <c r="BP5">
        <v>10.359252796262941</v>
      </c>
      <c r="BQ5">
        <v>15.04857979381274</v>
      </c>
      <c r="BR5">
        <v>10.318104843479334</v>
      </c>
      <c r="BS5">
        <v>4.6663771539788392</v>
      </c>
      <c r="BT5">
        <v>0.13588835207045769</v>
      </c>
      <c r="BU5">
        <v>-3.3883219543072181</v>
      </c>
      <c r="BV5">
        <v>-2.8598091385529485</v>
      </c>
      <c r="BW5">
        <v>-2.4502317199573151</v>
      </c>
      <c r="BZ5">
        <v>100.17229039649911</v>
      </c>
      <c r="CA5">
        <v>36.943116498731641</v>
      </c>
      <c r="CB5">
        <v>10.359252796262941</v>
      </c>
      <c r="CC5">
        <v>15.04857979381274</v>
      </c>
      <c r="CD5">
        <v>10.318104843479334</v>
      </c>
      <c r="CE5">
        <v>4.6663771539788392</v>
      </c>
      <c r="CF5">
        <v>0.13588835207045769</v>
      </c>
      <c r="CG5">
        <v>0</v>
      </c>
      <c r="CH5">
        <v>0</v>
      </c>
      <c r="CI5">
        <v>0</v>
      </c>
    </row>
    <row r="6" spans="1:90">
      <c r="A6">
        <v>2004</v>
      </c>
      <c r="B6">
        <v>39</v>
      </c>
      <c r="C6">
        <v>19</v>
      </c>
      <c r="D6">
        <v>9</v>
      </c>
      <c r="E6">
        <v>10</v>
      </c>
      <c r="F6">
        <v>10</v>
      </c>
      <c r="G6">
        <v>5</v>
      </c>
      <c r="M6">
        <v>104.9399243421116</v>
      </c>
      <c r="O6">
        <f t="shared" si="0"/>
        <v>104.9399243421116</v>
      </c>
      <c r="P6">
        <v>40.580529480271544</v>
      </c>
      <c r="Q6">
        <v>19.01015386234166</v>
      </c>
      <c r="R6">
        <v>12.163554618613626</v>
      </c>
      <c r="S6">
        <v>8.6290211176092875</v>
      </c>
      <c r="T6" s="10">
        <v>6.5053350534357826</v>
      </c>
      <c r="U6">
        <v>5.1107470856131529</v>
      </c>
      <c r="V6">
        <v>4.1380286080713296</v>
      </c>
      <c r="W6">
        <v>3.4289083317063871</v>
      </c>
      <c r="X6">
        <v>2.8940648245686633</v>
      </c>
      <c r="Y6">
        <v>2.4795813598801644</v>
      </c>
      <c r="AB6">
        <v>1</v>
      </c>
      <c r="AC6">
        <v>1</v>
      </c>
      <c r="AD6">
        <v>1</v>
      </c>
      <c r="AE6">
        <v>1</v>
      </c>
      <c r="AF6">
        <v>1</v>
      </c>
      <c r="AG6">
        <v>1</v>
      </c>
      <c r="AH6">
        <v>0</v>
      </c>
      <c r="AI6">
        <v>0</v>
      </c>
      <c r="AJ6">
        <v>0</v>
      </c>
      <c r="AK6">
        <v>0</v>
      </c>
      <c r="AP6">
        <v>3.7032883821260398</v>
      </c>
      <c r="AQ6">
        <v>2.9449732502256931</v>
      </c>
      <c r="AR6">
        <v>2.4984441544303491</v>
      </c>
      <c r="AS6">
        <v>2.155131070806672</v>
      </c>
      <c r="AT6">
        <v>1.872622617699637</v>
      </c>
      <c r="AU6">
        <v>1.6313455942364061</v>
      </c>
      <c r="AV6">
        <v>1.420219492801466</v>
      </c>
      <c r="AW6">
        <v>1.2322419398794622</v>
      </c>
      <c r="AX6">
        <v>1.0626620276020531</v>
      </c>
      <c r="AY6">
        <v>0.90808973942753624</v>
      </c>
      <c r="BB6">
        <v>144.42824690291556</v>
      </c>
      <c r="BC6">
        <v>55.954491754288171</v>
      </c>
      <c r="BD6">
        <v>22.485997389873141</v>
      </c>
      <c r="BE6">
        <v>21.551310708066719</v>
      </c>
      <c r="BF6">
        <v>18.72622617699637</v>
      </c>
      <c r="BG6">
        <v>8.1567279711820309</v>
      </c>
      <c r="BH6">
        <v>0</v>
      </c>
      <c r="BI6">
        <v>0</v>
      </c>
      <c r="BJ6">
        <v>0</v>
      </c>
      <c r="BK6">
        <v>0</v>
      </c>
      <c r="BN6">
        <v>103.84771742264402</v>
      </c>
      <c r="BO6">
        <v>36.94433789194651</v>
      </c>
      <c r="BP6">
        <v>10.322442771259515</v>
      </c>
      <c r="BQ6">
        <v>12.922289590457432</v>
      </c>
      <c r="BR6">
        <v>12.220891123560587</v>
      </c>
      <c r="BS6">
        <v>3.0459808855688779</v>
      </c>
      <c r="BT6">
        <v>-4.1380286080713296</v>
      </c>
      <c r="BU6">
        <v>-3.4289083317063871</v>
      </c>
      <c r="BV6">
        <v>-2.8940648245686633</v>
      </c>
      <c r="BW6">
        <v>-2.4795813598801644</v>
      </c>
      <c r="BZ6">
        <v>103.84771742264402</v>
      </c>
      <c r="CA6">
        <v>36.94433789194651</v>
      </c>
      <c r="CB6">
        <v>10.322442771259515</v>
      </c>
      <c r="CC6">
        <v>12.922289590457432</v>
      </c>
      <c r="CD6">
        <v>12.220891123560587</v>
      </c>
      <c r="CE6">
        <v>3.0459808855688779</v>
      </c>
      <c r="CF6">
        <v>0</v>
      </c>
      <c r="CG6">
        <v>0</v>
      </c>
      <c r="CH6">
        <v>0</v>
      </c>
      <c r="CI6">
        <v>0</v>
      </c>
    </row>
    <row r="7" spans="1:90">
      <c r="A7">
        <v>2005</v>
      </c>
      <c r="B7">
        <v>41</v>
      </c>
      <c r="C7">
        <v>19</v>
      </c>
      <c r="D7">
        <v>10</v>
      </c>
      <c r="E7">
        <v>9</v>
      </c>
      <c r="F7">
        <v>9</v>
      </c>
      <c r="M7">
        <v>106.28176409216587</v>
      </c>
      <c r="O7">
        <f t="shared" si="0"/>
        <v>106.28176409216587</v>
      </c>
      <c r="P7">
        <v>41.099422245596571</v>
      </c>
      <c r="Q7">
        <v>19.253231797332141</v>
      </c>
      <c r="R7">
        <v>12.319086854714755</v>
      </c>
      <c r="S7">
        <v>8.7393581853388049</v>
      </c>
      <c r="T7" s="10">
        <v>6.5885170951310297</v>
      </c>
      <c r="U7">
        <v>5.1760968906081786</v>
      </c>
      <c r="V7">
        <v>4.1909405127442367</v>
      </c>
      <c r="W7">
        <v>3.472752898277411</v>
      </c>
      <c r="X7">
        <v>2.9310704851424219</v>
      </c>
      <c r="Y7">
        <v>2.5112871272803194</v>
      </c>
      <c r="AB7">
        <v>1</v>
      </c>
      <c r="AC7">
        <v>1</v>
      </c>
      <c r="AD7">
        <v>1</v>
      </c>
      <c r="AE7">
        <v>1</v>
      </c>
      <c r="AF7">
        <v>1</v>
      </c>
      <c r="AG7">
        <v>0</v>
      </c>
      <c r="AH7">
        <v>0</v>
      </c>
      <c r="AI7">
        <v>0</v>
      </c>
      <c r="AJ7">
        <v>0</v>
      </c>
      <c r="AK7">
        <v>0</v>
      </c>
      <c r="AP7">
        <v>3.7159940641186293</v>
      </c>
      <c r="AQ7">
        <v>2.9576789322182826</v>
      </c>
      <c r="AR7">
        <v>2.511149836422939</v>
      </c>
      <c r="AS7">
        <v>2.1678367527992619</v>
      </c>
      <c r="AT7">
        <v>1.8853282996922267</v>
      </c>
      <c r="AU7">
        <v>1.6440512762289961</v>
      </c>
      <c r="AV7">
        <v>1.4329251747940559</v>
      </c>
      <c r="AW7">
        <v>1.2449476218720519</v>
      </c>
      <c r="AX7">
        <v>1.075367709594643</v>
      </c>
      <c r="AY7">
        <v>0.92079542142012616</v>
      </c>
      <c r="BB7">
        <v>152.35575662886382</v>
      </c>
      <c r="BC7">
        <v>56.195899712147366</v>
      </c>
      <c r="BD7">
        <v>25.111498364229391</v>
      </c>
      <c r="BE7">
        <v>19.510530775193356</v>
      </c>
      <c r="BF7">
        <v>16.967954697230041</v>
      </c>
      <c r="BG7">
        <v>0</v>
      </c>
      <c r="BH7">
        <v>0</v>
      </c>
      <c r="BI7">
        <v>0</v>
      </c>
      <c r="BJ7">
        <v>0</v>
      </c>
      <c r="BK7">
        <v>0</v>
      </c>
      <c r="BN7">
        <v>111.25633438326724</v>
      </c>
      <c r="BO7">
        <v>36.942667914815225</v>
      </c>
      <c r="BP7">
        <v>12.792411509514636</v>
      </c>
      <c r="BQ7">
        <v>10.771172589854551</v>
      </c>
      <c r="BR7">
        <v>10.379437602099012</v>
      </c>
      <c r="BS7">
        <v>-5.1760968906081786</v>
      </c>
      <c r="BT7">
        <v>-4.1909405127442367</v>
      </c>
      <c r="BU7">
        <v>-3.472752898277411</v>
      </c>
      <c r="BV7">
        <v>-2.9310704851424219</v>
      </c>
      <c r="BW7">
        <v>-2.5112871272803194</v>
      </c>
      <c r="BZ7">
        <v>111.25633438326724</v>
      </c>
      <c r="CA7">
        <v>36.942667914815225</v>
      </c>
      <c r="CB7">
        <v>12.792411509514636</v>
      </c>
      <c r="CC7">
        <v>10.771172589854551</v>
      </c>
      <c r="CD7">
        <v>10.379437602099012</v>
      </c>
      <c r="CE7">
        <v>0</v>
      </c>
      <c r="CF7">
        <v>0</v>
      </c>
      <c r="CG7">
        <v>0</v>
      </c>
      <c r="CH7">
        <v>0</v>
      </c>
      <c r="CI7">
        <v>0</v>
      </c>
    </row>
    <row r="8" spans="1:90">
      <c r="A8">
        <v>2006</v>
      </c>
      <c r="B8">
        <v>42</v>
      </c>
      <c r="C8">
        <v>19</v>
      </c>
      <c r="D8">
        <v>9</v>
      </c>
      <c r="E8">
        <v>9</v>
      </c>
      <c r="M8">
        <v>103.13875241693553</v>
      </c>
      <c r="O8">
        <f t="shared" si="0"/>
        <v>103.13875241693555</v>
      </c>
      <c r="P8">
        <v>39.884011821555134</v>
      </c>
      <c r="Q8">
        <v>18.683866649493094</v>
      </c>
      <c r="R8">
        <v>11.954781330213219</v>
      </c>
      <c r="S8">
        <v>8.4809139917825149</v>
      </c>
      <c r="T8">
        <v>6.3936785324732428</v>
      </c>
      <c r="U8">
        <v>5.0230270474580676</v>
      </c>
      <c r="V8">
        <v>4.0670041528779448</v>
      </c>
      <c r="W8">
        <v>3.3700551024917611</v>
      </c>
      <c r="X8">
        <v>2.8443915629922696</v>
      </c>
      <c r="Y8">
        <v>2.4370222255982865</v>
      </c>
      <c r="AB8">
        <v>1</v>
      </c>
      <c r="AC8">
        <v>1</v>
      </c>
      <c r="AD8">
        <v>1</v>
      </c>
      <c r="AE8">
        <v>1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P8">
        <v>3.6859755373649365</v>
      </c>
      <c r="AQ8">
        <v>2.9276604054645898</v>
      </c>
      <c r="AR8">
        <v>2.4811313096692458</v>
      </c>
      <c r="AS8">
        <v>2.1378182260455687</v>
      </c>
      <c r="AT8">
        <v>1.8553097729385335</v>
      </c>
      <c r="AU8">
        <v>1.6140327494753028</v>
      </c>
      <c r="AV8">
        <v>1.4029066480403627</v>
      </c>
      <c r="AW8">
        <v>1.2149290951183589</v>
      </c>
      <c r="AX8">
        <v>1.0453491828409498</v>
      </c>
      <c r="AY8">
        <v>0.89077689466643306</v>
      </c>
      <c r="BB8">
        <v>154.81097256932733</v>
      </c>
      <c r="BC8">
        <v>55.625547703827209</v>
      </c>
      <c r="BD8">
        <v>22.330181787023211</v>
      </c>
      <c r="BE8">
        <v>19.240364034410117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N8">
        <v>114.9269607477722</v>
      </c>
      <c r="BO8">
        <v>36.941681054334111</v>
      </c>
      <c r="BP8">
        <v>10.375400456809992</v>
      </c>
      <c r="BQ8">
        <v>10.759450042627602</v>
      </c>
      <c r="BR8">
        <v>-6.3936785324732428</v>
      </c>
      <c r="BS8">
        <v>-5.0230270474580676</v>
      </c>
      <c r="BT8">
        <v>-4.0670041528779448</v>
      </c>
      <c r="BU8">
        <v>-3.3700551024917611</v>
      </c>
      <c r="BV8">
        <v>-2.8443915629922696</v>
      </c>
      <c r="BW8">
        <v>-2.4370222255982865</v>
      </c>
      <c r="BZ8">
        <v>114.9269607477722</v>
      </c>
      <c r="CA8">
        <v>36.941681054334111</v>
      </c>
      <c r="CB8">
        <v>10.375400456809992</v>
      </c>
      <c r="CC8">
        <v>10.759450042627602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</row>
    <row r="9" spans="1:90">
      <c r="A9">
        <v>2007</v>
      </c>
      <c r="B9">
        <v>43</v>
      </c>
      <c r="C9">
        <v>19</v>
      </c>
      <c r="D9">
        <v>10</v>
      </c>
      <c r="M9">
        <v>105.29999637179206</v>
      </c>
      <c r="O9">
        <f t="shared" si="0"/>
        <v>105.29999637179208</v>
      </c>
      <c r="P9">
        <v>40.719770228795753</v>
      </c>
      <c r="Q9">
        <v>19.075381893795505</v>
      </c>
      <c r="R9">
        <v>12.205290457734064</v>
      </c>
      <c r="S9">
        <v>8.6586291925860142</v>
      </c>
      <c r="T9">
        <v>6.5276562930509909</v>
      </c>
      <c r="U9">
        <v>5.128283186271096</v>
      </c>
      <c r="V9">
        <v>4.152227097055623</v>
      </c>
      <c r="W9">
        <v>3.4406736725938147</v>
      </c>
      <c r="X9">
        <v>2.9039949993990937</v>
      </c>
      <c r="Y9">
        <v>2.4880893505101103</v>
      </c>
      <c r="AB9">
        <v>1</v>
      </c>
      <c r="AC9">
        <v>1</v>
      </c>
      <c r="AD9">
        <v>1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P9">
        <v>3.7067137295150445</v>
      </c>
      <c r="AQ9">
        <v>2.9483985976146978</v>
      </c>
      <c r="AR9">
        <v>2.5018695018193537</v>
      </c>
      <c r="AS9">
        <v>2.1585564181956767</v>
      </c>
      <c r="AT9">
        <v>1.8760479650886417</v>
      </c>
      <c r="AU9">
        <v>1.6347709416254108</v>
      </c>
      <c r="AV9">
        <v>1.4236448401904709</v>
      </c>
      <c r="AW9">
        <v>1.2356672872684671</v>
      </c>
      <c r="AX9">
        <v>1.066087374991058</v>
      </c>
      <c r="AY9">
        <v>0.91151508681654103</v>
      </c>
      <c r="BB9">
        <v>159.3886903691469</v>
      </c>
      <c r="BC9">
        <v>56.01957335467926</v>
      </c>
      <c r="BD9">
        <v>25.018695018193537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N9">
        <v>118.66892014035115</v>
      </c>
      <c r="BO9">
        <v>36.944191460883758</v>
      </c>
      <c r="BP9">
        <v>12.813404560459473</v>
      </c>
      <c r="BQ9">
        <v>-8.6586291925860142</v>
      </c>
      <c r="BR9">
        <v>-6.5276562930509909</v>
      </c>
      <c r="BS9">
        <v>-5.128283186271096</v>
      </c>
      <c r="BT9">
        <v>-4.152227097055623</v>
      </c>
      <c r="BU9">
        <v>-3.4406736725938147</v>
      </c>
      <c r="BV9">
        <v>-2.9039949993990937</v>
      </c>
      <c r="BW9">
        <v>-2.4880893505101103</v>
      </c>
      <c r="BZ9">
        <v>118.66892014035115</v>
      </c>
      <c r="CA9">
        <v>36.944191460883758</v>
      </c>
      <c r="CB9">
        <v>12.813404560459473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</row>
    <row r="10" spans="1:90">
      <c r="A10">
        <v>2008</v>
      </c>
      <c r="B10">
        <v>43</v>
      </c>
      <c r="C10">
        <v>20</v>
      </c>
      <c r="M10">
        <v>110.94263428034657</v>
      </c>
      <c r="O10">
        <f t="shared" si="0"/>
        <v>110.94263428034657</v>
      </c>
      <c r="P10">
        <v>42.901792327916944</v>
      </c>
      <c r="Q10">
        <v>20.097561159728684</v>
      </c>
      <c r="R10">
        <v>12.859326896430256</v>
      </c>
      <c r="S10">
        <v>9.1226131527154806</v>
      </c>
      <c r="T10">
        <v>6.8774492856654792</v>
      </c>
      <c r="U10">
        <v>5.4030889422987167</v>
      </c>
      <c r="V10">
        <v>4.3747296120609285</v>
      </c>
      <c r="W10">
        <v>3.6250466675120188</v>
      </c>
      <c r="X10">
        <v>3.0596093662980803</v>
      </c>
      <c r="Y10">
        <v>2.6214168697199782</v>
      </c>
      <c r="AB10">
        <v>1</v>
      </c>
      <c r="AC10">
        <v>1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P10">
        <v>3.7589136042667679</v>
      </c>
      <c r="AQ10">
        <v>3.0005984723664212</v>
      </c>
      <c r="AR10">
        <v>2.5540693765710776</v>
      </c>
      <c r="AS10">
        <v>2.2107562929474001</v>
      </c>
      <c r="AT10">
        <v>1.9282478398403651</v>
      </c>
      <c r="AU10">
        <v>1.6869708163771344</v>
      </c>
      <c r="AV10">
        <v>1.4758447149421943</v>
      </c>
      <c r="AW10">
        <v>1.2878671620201905</v>
      </c>
      <c r="AX10">
        <v>1.1182872497427814</v>
      </c>
      <c r="AY10">
        <v>0.96371496156826464</v>
      </c>
      <c r="BB10">
        <v>161.63328498347101</v>
      </c>
      <c r="BC10">
        <v>60.011969447328426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N10">
        <v>118.73149265555406</v>
      </c>
      <c r="BO10">
        <v>39.914408287599741</v>
      </c>
      <c r="BP10">
        <v>-12.859326896430256</v>
      </c>
      <c r="BQ10">
        <v>-9.1226131527154806</v>
      </c>
      <c r="BR10">
        <v>-6.8774492856654792</v>
      </c>
      <c r="BS10">
        <v>-5.4030889422987167</v>
      </c>
      <c r="BT10">
        <v>-4.3747296120609285</v>
      </c>
      <c r="BU10">
        <v>-3.6250466675120188</v>
      </c>
      <c r="BV10">
        <v>-3.0596093662980803</v>
      </c>
      <c r="BW10">
        <v>-2.6214168697199782</v>
      </c>
      <c r="BZ10">
        <v>118.73149265555406</v>
      </c>
      <c r="CA10">
        <v>39.914408287599741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</row>
    <row r="11" spans="1:90">
      <c r="A11">
        <v>2009</v>
      </c>
      <c r="B11">
        <v>42</v>
      </c>
      <c r="M11">
        <v>108.61335642785713</v>
      </c>
      <c r="O11">
        <f t="shared" si="0"/>
        <v>108.61335642785713</v>
      </c>
      <c r="P11">
        <v>42.001054794959153</v>
      </c>
      <c r="Q11">
        <v>19.675606116006588</v>
      </c>
      <c r="R11">
        <v>12.589341011093451</v>
      </c>
      <c r="S11">
        <v>8.9310808269212902</v>
      </c>
      <c r="T11">
        <v>6.7330549290086914</v>
      </c>
      <c r="U11">
        <v>5.2896492760246625</v>
      </c>
      <c r="V11">
        <v>4.2828806951670524</v>
      </c>
      <c r="W11">
        <v>3.5489375957232645</v>
      </c>
      <c r="X11">
        <v>2.9953718404774965</v>
      </c>
      <c r="Y11">
        <v>2.5663793424754799</v>
      </c>
      <c r="AB11">
        <v>1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P11">
        <v>3.7376947321337068</v>
      </c>
      <c r="AQ11">
        <v>2.9793796002333601</v>
      </c>
      <c r="AR11">
        <v>2.5328505044380165</v>
      </c>
      <c r="AS11">
        <v>2.1895374208143394</v>
      </c>
      <c r="AT11">
        <v>1.9070289677073042</v>
      </c>
      <c r="AU11">
        <v>1.6657519442440736</v>
      </c>
      <c r="AV11">
        <v>1.4546258428091334</v>
      </c>
      <c r="AW11">
        <v>1.2666482898871296</v>
      </c>
      <c r="AX11">
        <v>1.0970683776097205</v>
      </c>
      <c r="AY11">
        <v>0.94249608943520369</v>
      </c>
      <c r="BB11">
        <v>156.98317874961569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N11">
        <v>114.98212395465654</v>
      </c>
      <c r="BO11">
        <v>-19.675606116006588</v>
      </c>
      <c r="BP11">
        <v>-12.589341011093451</v>
      </c>
      <c r="BQ11">
        <v>-8.9310808269212902</v>
      </c>
      <c r="BR11">
        <v>-6.7330549290086914</v>
      </c>
      <c r="BS11">
        <v>-5.2896492760246625</v>
      </c>
      <c r="BT11">
        <v>-4.2828806951670524</v>
      </c>
      <c r="BU11">
        <v>-3.5489375957232645</v>
      </c>
      <c r="BV11">
        <v>-2.9953718404774965</v>
      </c>
      <c r="BW11">
        <v>-2.5663793424754799</v>
      </c>
      <c r="BZ11">
        <v>114.98212395465654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</row>
    <row r="13" spans="1:90">
      <c r="M13" t="s">
        <v>18</v>
      </c>
      <c r="AB13" t="s">
        <v>19</v>
      </c>
    </row>
    <row r="14" spans="1:90">
      <c r="A14" s="6"/>
      <c r="P14" t="s">
        <v>20</v>
      </c>
    </row>
    <row r="15" spans="1:90">
      <c r="AJ15">
        <v>1</v>
      </c>
    </row>
    <row r="16" spans="1:90">
      <c r="M16">
        <v>0</v>
      </c>
      <c r="N16">
        <v>1</v>
      </c>
      <c r="O16">
        <v>2</v>
      </c>
      <c r="P16">
        <v>3</v>
      </c>
      <c r="Q16">
        <v>4</v>
      </c>
      <c r="R16">
        <v>5</v>
      </c>
      <c r="S16">
        <v>6</v>
      </c>
      <c r="T16">
        <v>7</v>
      </c>
      <c r="U16">
        <v>8</v>
      </c>
      <c r="V16">
        <v>9</v>
      </c>
      <c r="W16">
        <v>10</v>
      </c>
      <c r="AJ16">
        <v>1</v>
      </c>
    </row>
    <row r="17" spans="1:48">
      <c r="M17">
        <v>2000</v>
      </c>
      <c r="N17">
        <v>38.670687919173041</v>
      </c>
      <c r="O17">
        <v>18.115478943256939</v>
      </c>
      <c r="P17">
        <v>11.591101216973968</v>
      </c>
      <c r="Q17">
        <v>8.2229134750261892</v>
      </c>
      <c r="R17">
        <v>6.1991744534376352</v>
      </c>
      <c r="S17">
        <v>4.8702199826557546</v>
      </c>
      <c r="T17">
        <v>3.9432805572714642</v>
      </c>
      <c r="U17">
        <v>3.2675336102584254</v>
      </c>
      <c r="V17">
        <v>2.7578614444436766</v>
      </c>
      <c r="W17">
        <v>2.362884816097349</v>
      </c>
      <c r="Z17" s="5" t="s">
        <v>21</v>
      </c>
      <c r="AJ17">
        <v>1</v>
      </c>
      <c r="AV17" cm="1">
        <f t="array" ref="AV17">SUM((B2:K11*(LN((B23:K23-A23:J23)*M2:M11))-((B23:K23-A23:J23)*M2:M11))*AB2:AK11)</f>
        <v>1656.4800223673087</v>
      </c>
    </row>
    <row r="18" spans="1:48">
      <c r="M18">
        <v>2001</v>
      </c>
      <c r="N18">
        <v>39.21004240644956</v>
      </c>
      <c r="O18">
        <v>18.368142275174662</v>
      </c>
      <c r="P18">
        <v>11.752766622743792</v>
      </c>
      <c r="Q18">
        <v>8.3376015118801519</v>
      </c>
      <c r="R18">
        <v>6.2856366484174515</v>
      </c>
      <c r="S18">
        <v>4.9381467546635207</v>
      </c>
      <c r="T18">
        <v>3.9982789598755204</v>
      </c>
      <c r="U18">
        <v>3.3131071185110699</v>
      </c>
      <c r="V18">
        <v>2.7963263651727033</v>
      </c>
      <c r="W18">
        <v>0</v>
      </c>
      <c r="AJ18">
        <v>1</v>
      </c>
    </row>
    <row r="19" spans="1:48">
      <c r="M19">
        <v>2002</v>
      </c>
      <c r="N19">
        <v>39.53436568002634</v>
      </c>
      <c r="O19">
        <v>18.520073149680137</v>
      </c>
      <c r="P19">
        <v>11.849978854884732</v>
      </c>
      <c r="Q19">
        <v>8.4065654315842266</v>
      </c>
      <c r="R19">
        <v>6.337627876409428</v>
      </c>
      <c r="S19">
        <v>4.9789923090823009</v>
      </c>
      <c r="T19">
        <v>4.0313504599646564</v>
      </c>
      <c r="U19">
        <v>3.3405112650112869</v>
      </c>
      <c r="V19">
        <v>0</v>
      </c>
      <c r="W19">
        <v>0</v>
      </c>
      <c r="AJ19">
        <v>1</v>
      </c>
    </row>
    <row r="20" spans="1:48">
      <c r="M20">
        <v>2003</v>
      </c>
      <c r="N20">
        <v>40.100196813074</v>
      </c>
      <c r="O20">
        <v>18.78513959994833</v>
      </c>
      <c r="P20">
        <v>12.01958033569052</v>
      </c>
      <c r="Q20">
        <v>8.5268834476032822</v>
      </c>
      <c r="R20">
        <v>6.4283344578977335</v>
      </c>
      <c r="S20">
        <v>5.0502535728264775</v>
      </c>
      <c r="T20">
        <v>4.0890487070273878</v>
      </c>
      <c r="U20">
        <v>0</v>
      </c>
      <c r="V20">
        <v>0</v>
      </c>
      <c r="W20">
        <v>0</v>
      </c>
      <c r="Z20" t="s">
        <v>37</v>
      </c>
    </row>
    <row r="21" spans="1:48">
      <c r="A21" s="5" t="s">
        <v>42</v>
      </c>
      <c r="M21">
        <v>2004</v>
      </c>
      <c r="N21">
        <v>40.580529480271544</v>
      </c>
      <c r="O21">
        <v>19.01015386234166</v>
      </c>
      <c r="P21">
        <v>12.163554618613617</v>
      </c>
      <c r="Q21">
        <v>8.6290211176092981</v>
      </c>
      <c r="R21">
        <v>6.5053350534357861</v>
      </c>
      <c r="S21">
        <v>5.1107470856131414</v>
      </c>
      <c r="T21">
        <v>0</v>
      </c>
      <c r="U21">
        <v>0</v>
      </c>
      <c r="V21">
        <v>0</v>
      </c>
      <c r="W21">
        <v>0</v>
      </c>
    </row>
    <row r="22" spans="1:48">
      <c r="M22">
        <v>2005</v>
      </c>
      <c r="N22">
        <v>41.099422245596571</v>
      </c>
      <c r="O22">
        <v>19.253231797332141</v>
      </c>
      <c r="P22">
        <v>12.319086854714762</v>
      </c>
      <c r="Q22">
        <v>8.7393581853388014</v>
      </c>
      <c r="R22">
        <v>6.5885170951310243</v>
      </c>
      <c r="S22">
        <v>0</v>
      </c>
      <c r="T22">
        <v>0</v>
      </c>
      <c r="U22">
        <v>0</v>
      </c>
      <c r="V22">
        <v>0</v>
      </c>
      <c r="W22">
        <v>0</v>
      </c>
    </row>
    <row r="23" spans="1:48">
      <c r="A23" s="7" cm="1">
        <f t="array" ref="A23:K23">_xlfn.ANCHORARRAY(A26)</f>
        <v>0</v>
      </c>
      <c r="B23" s="7">
        <v>0.28764497963931362</v>
      </c>
      <c r="C23" s="8">
        <v>0.42239372221872901</v>
      </c>
      <c r="D23" s="8">
        <v>0.50861205069849291</v>
      </c>
      <c r="E23" s="8">
        <v>0.56977671847072131</v>
      </c>
      <c r="F23" s="8">
        <v>0.61588816632411014</v>
      </c>
      <c r="G23" s="8">
        <v>0.6521144245866487</v>
      </c>
      <c r="H23" s="8">
        <v>0.68144581010477601</v>
      </c>
      <c r="I23" s="8">
        <v>0.7057507730978847</v>
      </c>
      <c r="J23" s="8">
        <v>0.72626463105389327</v>
      </c>
      <c r="K23" s="8">
        <v>0.74384052616693008</v>
      </c>
      <c r="M23">
        <v>2006</v>
      </c>
      <c r="N23">
        <v>39.884011821555134</v>
      </c>
      <c r="O23">
        <v>18.683866649493091</v>
      </c>
      <c r="P23">
        <v>11.954781330213216</v>
      </c>
      <c r="Q23">
        <v>8.4809139917825149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</row>
    <row r="24" spans="1:48">
      <c r="A24" cm="1">
        <f t="array" ref="A24:K24">_xlfn.ANCHORARRAY(A23)/K23</f>
        <v>0</v>
      </c>
      <c r="B24">
        <v>0.38670248463278989</v>
      </c>
      <c r="C24">
        <v>0.56785521541204231</v>
      </c>
      <c r="D24">
        <v>0.68376491036245579</v>
      </c>
      <c r="E24">
        <v>0.76599311065615971</v>
      </c>
      <c r="F24">
        <v>0.82798415071282994</v>
      </c>
      <c r="G24">
        <v>0.8766857970848223</v>
      </c>
      <c r="H24">
        <v>0.91611815454089462</v>
      </c>
      <c r="I24">
        <v>0.94879311931910337</v>
      </c>
      <c r="J24">
        <v>0.97637142035859914</v>
      </c>
      <c r="K24">
        <v>1</v>
      </c>
      <c r="M24">
        <v>2007</v>
      </c>
      <c r="N24">
        <v>40.719770228795753</v>
      </c>
      <c r="O24">
        <v>19.075381893795502</v>
      </c>
      <c r="P24">
        <v>12.205290457734058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</row>
    <row r="25" spans="1:48">
      <c r="M25">
        <v>2008</v>
      </c>
      <c r="N25">
        <v>42.901792327916944</v>
      </c>
      <c r="O25">
        <v>20.097561159728684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</row>
    <row r="26" spans="1:48">
      <c r="A26" s="11" cm="1">
        <f t="array" ref="A26:K26">(A1:K1)^B34/((A1:K1)^B34 +( B35 ^ B34))</f>
        <v>0</v>
      </c>
      <c r="B26" s="7">
        <v>0.28764497963931362</v>
      </c>
      <c r="C26" s="8">
        <v>0.42239372221872901</v>
      </c>
      <c r="D26" s="8">
        <v>0.50861205069849291</v>
      </c>
      <c r="E26" s="8">
        <v>0.56977671847072131</v>
      </c>
      <c r="F26" s="8">
        <v>0.61588816632411014</v>
      </c>
      <c r="G26" s="8">
        <v>0.6521144245866487</v>
      </c>
      <c r="H26" s="8">
        <v>0.68144581010477601</v>
      </c>
      <c r="I26" s="8">
        <v>0.7057507730978847</v>
      </c>
      <c r="J26" s="8">
        <v>0.72626463105389327</v>
      </c>
      <c r="K26" s="8">
        <v>0.74384052616693008</v>
      </c>
      <c r="M26">
        <v>2009</v>
      </c>
      <c r="N26">
        <v>42.001054794959153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</row>
    <row r="30" spans="1:48">
      <c r="L30">
        <f>L25</f>
        <v>0</v>
      </c>
      <c r="M30" cm="1">
        <f t="array" ref="M30:V39">B2:K11-N17:W26</f>
        <v>3.3293120808269592</v>
      </c>
      <c r="N30">
        <v>-0.11547894325693875</v>
      </c>
      <c r="O30">
        <v>-0.59110121697396778</v>
      </c>
      <c r="P30">
        <v>0.77708652497381081</v>
      </c>
      <c r="Q30">
        <v>1.8008255465623648</v>
      </c>
      <c r="R30">
        <v>0.12978001734424538</v>
      </c>
      <c r="S30">
        <v>-0.9432805572714642</v>
      </c>
      <c r="T30">
        <v>-1.2675336102584254</v>
      </c>
      <c r="U30">
        <v>-1.7578614444436766</v>
      </c>
      <c r="V30">
        <v>-1.362884816097349</v>
      </c>
    </row>
    <row r="31" spans="1:48">
      <c r="M31">
        <v>0.78995759355044015</v>
      </c>
      <c r="N31">
        <v>0.63185772482533764</v>
      </c>
      <c r="O31">
        <v>-2.7527666227437919</v>
      </c>
      <c r="P31">
        <v>1.6623984881198481</v>
      </c>
      <c r="Q31">
        <v>2.7143633515825485</v>
      </c>
      <c r="R31">
        <v>6.185324533647929E-2</v>
      </c>
      <c r="S31">
        <v>-0.9982789598755204</v>
      </c>
      <c r="T31">
        <v>-0.31310711851106987</v>
      </c>
      <c r="U31">
        <v>-1.7963263651727033</v>
      </c>
      <c r="V31">
        <v>0</v>
      </c>
    </row>
    <row r="32" spans="1:48">
      <c r="M32">
        <v>-3.5343656800263403</v>
      </c>
      <c r="N32">
        <v>0.47992685031986326</v>
      </c>
      <c r="O32">
        <v>-1.849978854884732</v>
      </c>
      <c r="P32">
        <v>2.5934345684157734</v>
      </c>
      <c r="Q32">
        <v>2.662372123590572</v>
      </c>
      <c r="R32">
        <v>1.0210076909176991</v>
      </c>
      <c r="S32">
        <v>-1.0313504599646564</v>
      </c>
      <c r="T32">
        <v>-0.34051126501128692</v>
      </c>
      <c r="U32">
        <v>0</v>
      </c>
      <c r="V32">
        <v>0</v>
      </c>
    </row>
    <row r="33" spans="1:44">
      <c r="M33">
        <v>-2.1001968130739996</v>
      </c>
      <c r="N33">
        <v>0.21486040005166984</v>
      </c>
      <c r="O33">
        <v>-3.0195803356905202</v>
      </c>
      <c r="P33">
        <v>2.4731165523967178</v>
      </c>
      <c r="Q33">
        <v>2.5716655421022665</v>
      </c>
      <c r="R33">
        <v>0.94974642717352253</v>
      </c>
      <c r="S33">
        <v>-1.0890487070273878</v>
      </c>
      <c r="T33">
        <v>0</v>
      </c>
      <c r="U33">
        <v>0</v>
      </c>
      <c r="V33">
        <v>0</v>
      </c>
    </row>
    <row r="34" spans="1:44">
      <c r="A34" t="s">
        <v>22</v>
      </c>
      <c r="B34">
        <v>0.85680910435127833</v>
      </c>
      <c r="M34">
        <v>-1.5805294802715437</v>
      </c>
      <c r="N34">
        <v>-1.0153862341660158E-2</v>
      </c>
      <c r="O34">
        <v>-3.1635546186136168</v>
      </c>
      <c r="P34">
        <v>1.3709788823907019</v>
      </c>
      <c r="Q34">
        <v>3.4946649465642139</v>
      </c>
      <c r="R34">
        <v>-0.11074708561314139</v>
      </c>
      <c r="S34">
        <v>0</v>
      </c>
      <c r="T34">
        <v>0</v>
      </c>
      <c r="U34">
        <v>0</v>
      </c>
      <c r="V34">
        <v>0</v>
      </c>
    </row>
    <row r="35" spans="1:44">
      <c r="A35" t="s">
        <v>23</v>
      </c>
      <c r="B35">
        <v>2.8817653845639661</v>
      </c>
      <c r="M35">
        <v>-9.9422245596571202E-2</v>
      </c>
      <c r="N35">
        <v>-0.25323179733214118</v>
      </c>
      <c r="O35">
        <v>-2.3190868547147616</v>
      </c>
      <c r="P35">
        <v>0.26064181466119862</v>
      </c>
      <c r="Q35">
        <v>2.4114829048689757</v>
      </c>
      <c r="R35">
        <v>0</v>
      </c>
      <c r="S35">
        <v>0</v>
      </c>
      <c r="T35">
        <v>0</v>
      </c>
      <c r="U35">
        <v>0</v>
      </c>
      <c r="V35">
        <v>0</v>
      </c>
    </row>
    <row r="36" spans="1:44">
      <c r="A36" t="s">
        <v>24</v>
      </c>
      <c r="B36" s="26" cm="1">
        <f t="array" ref="B36">SUM((B2:K11*(LN((B24:K24-A24:J24)*M2:M11))-((B24:K24-A24:J24)*M2:M11))*AB2:AK11)</f>
        <v>1689.3682123747328</v>
      </c>
      <c r="M36">
        <v>2.1159881784448658</v>
      </c>
      <c r="N36">
        <v>0.31613335050690949</v>
      </c>
      <c r="O36">
        <v>-2.9547813302132155</v>
      </c>
      <c r="P36">
        <v>0.51908600821748507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</row>
    <row r="37" spans="1:44">
      <c r="A37" s="5" t="s">
        <v>25</v>
      </c>
      <c r="M37">
        <v>2.2802297712042474</v>
      </c>
      <c r="N37">
        <v>-7.5381893795501753E-2</v>
      </c>
      <c r="O37">
        <v>-2.2052904577340584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</row>
    <row r="38" spans="1:44">
      <c r="M38">
        <v>9.8207672083056252E-2</v>
      </c>
      <c r="N38">
        <v>-9.7561159728684288E-2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</row>
    <row r="39" spans="1:44">
      <c r="G39" s="9"/>
      <c r="M39">
        <v>-1.0547949591526162E-3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</row>
    <row r="40" spans="1:44">
      <c r="G40" s="9"/>
    </row>
    <row r="41" spans="1:44">
      <c r="G41" s="9"/>
    </row>
    <row r="42" spans="1:44">
      <c r="G42" s="9"/>
      <c r="M42" cm="1">
        <f t="array" ref="M42:V51">_xlfn.ANCHORARRAY(M30)*_xlfn.ANCHORARRAY(M30)</f>
        <v>11.084318931540336</v>
      </c>
      <c r="N42">
        <v>1.333538633573928E-2</v>
      </c>
      <c r="O42">
        <v>0.34940064870810572</v>
      </c>
      <c r="P42">
        <v>0.60386346729587315</v>
      </c>
      <c r="Q42">
        <v>3.24297264915164</v>
      </c>
      <c r="R42">
        <v>1.6842852901872631E-2</v>
      </c>
      <c r="S42">
        <v>0.88977820972636401</v>
      </c>
      <c r="T42">
        <v>1.6066414531347577</v>
      </c>
      <c r="U42">
        <v>3.0900768578616091</v>
      </c>
      <c r="V42">
        <v>1.8574550219487049</v>
      </c>
      <c r="X42" cm="1">
        <f t="array" ref="X42:AG51">_xlfn.ANCHORARRAY(M42)/N17:W26</f>
        <v>0.28663361134686971</v>
      </c>
      <c r="Y42">
        <v>7.3613214298720283E-4</v>
      </c>
      <c r="Z42">
        <v>3.014387004027233E-2</v>
      </c>
      <c r="AA42">
        <v>7.3436680214362823E-2</v>
      </c>
      <c r="AB42">
        <v>0.52312976082699381</v>
      </c>
      <c r="AC42">
        <v>3.4583351392452177E-3</v>
      </c>
      <c r="AD42">
        <v>0.2256441551148575</v>
      </c>
      <c r="AE42">
        <v>0.49169852395418523</v>
      </c>
      <c r="AF42">
        <v>1.1204612414765267</v>
      </c>
      <c r="AG42">
        <v>0.78609630452345303</v>
      </c>
      <c r="AI42" cm="1">
        <f t="array" ref="AI42:AR51">_xlfn.ANCHORARRAY(X42)*AB2:AK11</f>
        <v>0.28663361134686971</v>
      </c>
      <c r="AJ42">
        <v>7.3613214298720283E-4</v>
      </c>
      <c r="AK42">
        <v>3.014387004027233E-2</v>
      </c>
      <c r="AL42">
        <v>7.3436680214362823E-2</v>
      </c>
      <c r="AM42">
        <v>0.52312976082699381</v>
      </c>
      <c r="AN42">
        <v>3.4583351392452177E-3</v>
      </c>
      <c r="AO42">
        <v>0.2256441551148575</v>
      </c>
      <c r="AP42">
        <v>0.49169852395418523</v>
      </c>
      <c r="AQ42">
        <v>1.1204612414765267</v>
      </c>
      <c r="AR42">
        <v>0.78609630452345303</v>
      </c>
    </row>
    <row r="43" spans="1:44">
      <c r="G43" s="9"/>
      <c r="M43">
        <v>0.6240329996080024</v>
      </c>
      <c r="N43">
        <v>0.3992441844214521</v>
      </c>
      <c r="O43">
        <v>7.5777240792922615</v>
      </c>
      <c r="P43">
        <v>2.7635687333031567</v>
      </c>
      <c r="Q43">
        <v>7.3677684044144458</v>
      </c>
      <c r="R43">
        <v>3.8258239586546972E-3</v>
      </c>
      <c r="S43">
        <v>0.99656088173015089</v>
      </c>
      <c r="T43">
        <v>9.803606766230516E-2</v>
      </c>
      <c r="U43">
        <v>3.2267884102145761</v>
      </c>
      <c r="V43">
        <v>0</v>
      </c>
      <c r="X43">
        <v>1.5915131974082151E-2</v>
      </c>
      <c r="Y43">
        <v>2.1735686627441245E-2</v>
      </c>
      <c r="Z43">
        <v>0.64476087397395898</v>
      </c>
      <c r="AA43">
        <v>0.33145848111898601</v>
      </c>
      <c r="AB43">
        <v>1.1721594512259064</v>
      </c>
      <c r="AC43">
        <v>7.7474893897019957E-4</v>
      </c>
      <c r="AD43">
        <v>0.24924746165314515</v>
      </c>
      <c r="AE43">
        <v>2.959037065676378E-2</v>
      </c>
      <c r="AF43">
        <v>1.153938413771415</v>
      </c>
      <c r="AG43" t="e">
        <v>#DIV/0!</v>
      </c>
      <c r="AI43">
        <v>1.5915131974082151E-2</v>
      </c>
      <c r="AJ43">
        <v>2.1735686627441245E-2</v>
      </c>
      <c r="AK43">
        <v>0.64476087397395898</v>
      </c>
      <c r="AL43">
        <v>0.33145848111898601</v>
      </c>
      <c r="AM43">
        <v>1.1721594512259064</v>
      </c>
      <c r="AN43">
        <v>7.7474893897019957E-4</v>
      </c>
      <c r="AO43">
        <v>0.24924746165314515</v>
      </c>
      <c r="AP43">
        <v>2.959037065676378E-2</v>
      </c>
      <c r="AQ43">
        <v>1.153938413771415</v>
      </c>
      <c r="AR43" t="e">
        <v>#DIV/0!</v>
      </c>
    </row>
    <row r="44" spans="1:44">
      <c r="G44" s="9"/>
      <c r="M44">
        <v>12.491740760148055</v>
      </c>
      <c r="N44">
        <v>0.23032978165794443</v>
      </c>
      <c r="O44">
        <v>3.4224217635206244</v>
      </c>
      <c r="P44">
        <v>6.7259028606539086</v>
      </c>
      <c r="Q44">
        <v>7.0882253244721714</v>
      </c>
      <c r="R44">
        <v>1.0424567049130917</v>
      </c>
      <c r="S44">
        <v>1.0636837712693081</v>
      </c>
      <c r="T44">
        <v>0.11594792159958688</v>
      </c>
      <c r="U44">
        <v>0</v>
      </c>
      <c r="V44">
        <v>0</v>
      </c>
      <c r="X44">
        <v>0.31597170070340008</v>
      </c>
      <c r="Y44">
        <v>1.2436764142150405E-2</v>
      </c>
      <c r="Z44">
        <v>0.28881247852268133</v>
      </c>
      <c r="AA44">
        <v>0.80007738182636201</v>
      </c>
      <c r="AB44">
        <v>1.1184350773980742</v>
      </c>
      <c r="AC44">
        <v>0.20937102132323465</v>
      </c>
      <c r="AD44">
        <v>0.26385296486444237</v>
      </c>
      <c r="AE44">
        <v>3.4709633466599048E-2</v>
      </c>
      <c r="AF44" t="e">
        <v>#DIV/0!</v>
      </c>
      <c r="AG44" t="e">
        <v>#DIV/0!</v>
      </c>
      <c r="AI44">
        <v>0.31597170070340008</v>
      </c>
      <c r="AJ44">
        <v>1.2436764142150405E-2</v>
      </c>
      <c r="AK44">
        <v>0.28881247852268133</v>
      </c>
      <c r="AL44">
        <v>0.80007738182636201</v>
      </c>
      <c r="AM44">
        <v>1.1184350773980742</v>
      </c>
      <c r="AN44">
        <v>0.20937102132323465</v>
      </c>
      <c r="AO44">
        <v>0.26385296486444237</v>
      </c>
      <c r="AP44">
        <v>3.4709633466599048E-2</v>
      </c>
      <c r="AQ44" t="e">
        <v>#DIV/0!</v>
      </c>
      <c r="AR44" t="e">
        <v>#DIV/0!</v>
      </c>
    </row>
    <row r="45" spans="1:44">
      <c r="G45" s="9"/>
      <c r="M45">
        <v>4.4108266536461844</v>
      </c>
      <c r="N45">
        <v>4.6164991510363608E-2</v>
      </c>
      <c r="O45">
        <v>9.1178654036888744</v>
      </c>
      <c r="P45">
        <v>6.1163054817386273</v>
      </c>
      <c r="Q45">
        <v>6.6134636604361443</v>
      </c>
      <c r="R45">
        <v>0.90201827592887118</v>
      </c>
      <c r="S45">
        <v>1.1860270862780251</v>
      </c>
      <c r="T45">
        <v>0</v>
      </c>
      <c r="U45">
        <v>0</v>
      </c>
      <c r="V45">
        <v>0</v>
      </c>
      <c r="X45">
        <v>0.10999513728591247</v>
      </c>
      <c r="Y45">
        <v>2.4575271993448793E-3</v>
      </c>
      <c r="Z45">
        <v>0.75858433897351685</v>
      </c>
      <c r="AA45">
        <v>0.71729671448221621</v>
      </c>
      <c r="AB45">
        <v>1.0287989375398732</v>
      </c>
      <c r="AC45">
        <v>0.17860851201260342</v>
      </c>
      <c r="AD45">
        <v>0.2900496353197588</v>
      </c>
      <c r="AE45" t="e">
        <v>#DIV/0!</v>
      </c>
      <c r="AF45" t="e">
        <v>#DIV/0!</v>
      </c>
      <c r="AG45" t="e">
        <v>#DIV/0!</v>
      </c>
      <c r="AI45">
        <v>0.10999513728591247</v>
      </c>
      <c r="AJ45">
        <v>2.4575271993448793E-3</v>
      </c>
      <c r="AK45">
        <v>0.75858433897351685</v>
      </c>
      <c r="AL45">
        <v>0.71729671448221621</v>
      </c>
      <c r="AM45">
        <v>1.0287989375398732</v>
      </c>
      <c r="AN45">
        <v>0.17860851201260342</v>
      </c>
      <c r="AO45">
        <v>0.2900496353197588</v>
      </c>
      <c r="AP45" t="e">
        <v>#DIV/0!</v>
      </c>
      <c r="AQ45" t="e">
        <v>#DIV/0!</v>
      </c>
      <c r="AR45" t="e">
        <v>#DIV/0!</v>
      </c>
    </row>
    <row r="46" spans="1:44">
      <c r="G46" s="9"/>
      <c r="M46">
        <v>2.4980734380074363</v>
      </c>
      <c r="N46">
        <v>1.0310092045338431E-4</v>
      </c>
      <c r="O46">
        <v>10.008077824951545</v>
      </c>
      <c r="P46">
        <v>1.8795830959612581</v>
      </c>
      <c r="Q46">
        <v>12.21268308874466</v>
      </c>
      <c r="R46">
        <v>1.2264916971804469E-2</v>
      </c>
      <c r="S46">
        <v>0</v>
      </c>
      <c r="T46">
        <v>0</v>
      </c>
      <c r="U46">
        <v>0</v>
      </c>
      <c r="V46">
        <v>0</v>
      </c>
      <c r="X46">
        <v>6.1558423953583186E-2</v>
      </c>
      <c r="Y46">
        <v>5.4234658593491467E-6</v>
      </c>
      <c r="Z46">
        <v>0.82279219675113779</v>
      </c>
      <c r="AA46">
        <v>0.21782112598213266</v>
      </c>
      <c r="AB46">
        <v>1.8773334483816546</v>
      </c>
      <c r="AC46">
        <v>2.3998285899003813E-3</v>
      </c>
      <c r="AD46" t="e">
        <v>#DIV/0!</v>
      </c>
      <c r="AE46" t="e">
        <v>#DIV/0!</v>
      </c>
      <c r="AF46" t="e">
        <v>#DIV/0!</v>
      </c>
      <c r="AG46" t="e">
        <v>#DIV/0!</v>
      </c>
      <c r="AI46">
        <v>6.1558423953583186E-2</v>
      </c>
      <c r="AJ46">
        <v>5.4234658593491467E-6</v>
      </c>
      <c r="AK46">
        <v>0.82279219675113779</v>
      </c>
      <c r="AL46">
        <v>0.21782112598213266</v>
      </c>
      <c r="AM46">
        <v>1.8773334483816546</v>
      </c>
      <c r="AN46">
        <v>2.3998285899003813E-3</v>
      </c>
      <c r="AO46" t="e">
        <v>#DIV/0!</v>
      </c>
      <c r="AP46" t="e">
        <v>#DIV/0!</v>
      </c>
      <c r="AQ46" t="e">
        <v>#DIV/0!</v>
      </c>
      <c r="AR46" t="e">
        <v>#DIV/0!</v>
      </c>
    </row>
    <row r="47" spans="1:44">
      <c r="G47" s="9"/>
      <c r="M47">
        <v>9.8847829194649208E-3</v>
      </c>
      <c r="N47">
        <v>6.4126343180066631E-2</v>
      </c>
      <c r="O47">
        <v>5.3781638397108056</v>
      </c>
      <c r="P47">
        <v>6.7934155549882608E-2</v>
      </c>
      <c r="Q47">
        <v>5.8152498004753133</v>
      </c>
      <c r="R47">
        <v>0</v>
      </c>
      <c r="S47">
        <v>0</v>
      </c>
      <c r="T47">
        <v>0</v>
      </c>
      <c r="U47">
        <v>0</v>
      </c>
      <c r="V47">
        <v>0</v>
      </c>
      <c r="X47">
        <v>2.4050904804444022E-4</v>
      </c>
      <c r="Y47">
        <v>3.3306794337225197E-3</v>
      </c>
      <c r="Z47">
        <v>0.43657163092834878</v>
      </c>
      <c r="AA47">
        <v>7.7733575062582227E-3</v>
      </c>
      <c r="AB47">
        <v>0.8826340914821087</v>
      </c>
      <c r="AC47" t="e">
        <v>#DIV/0!</v>
      </c>
      <c r="AD47" t="e">
        <v>#DIV/0!</v>
      </c>
      <c r="AE47" t="e">
        <v>#DIV/0!</v>
      </c>
      <c r="AF47" t="e">
        <v>#DIV/0!</v>
      </c>
      <c r="AG47" t="e">
        <v>#DIV/0!</v>
      </c>
      <c r="AI47">
        <v>2.4050904804444022E-4</v>
      </c>
      <c r="AJ47">
        <v>3.3306794337225197E-3</v>
      </c>
      <c r="AK47">
        <v>0.43657163092834878</v>
      </c>
      <c r="AL47">
        <v>7.7733575062582227E-3</v>
      </c>
      <c r="AM47">
        <v>0.8826340914821087</v>
      </c>
      <c r="AN47" t="e">
        <v>#DIV/0!</v>
      </c>
      <c r="AO47" t="e">
        <v>#DIV/0!</v>
      </c>
      <c r="AP47" t="e">
        <v>#DIV/0!</v>
      </c>
      <c r="AQ47" t="e">
        <v>#DIV/0!</v>
      </c>
      <c r="AR47" t="e">
        <v>#DIV/0!</v>
      </c>
    </row>
    <row r="48" spans="1:44">
      <c r="G48" s="9"/>
      <c r="M48">
        <v>4.4774059713184213</v>
      </c>
      <c r="N48">
        <v>9.9940295302724497E-2</v>
      </c>
      <c r="O48">
        <v>8.7307327093765803</v>
      </c>
      <c r="P48">
        <v>0.26945028392716297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X48">
        <v>0.11226067205452556</v>
      </c>
      <c r="Y48">
        <v>5.3490156602801469E-3</v>
      </c>
      <c r="Z48">
        <v>0.73031304113538864</v>
      </c>
      <c r="AA48">
        <v>3.1771373249185615E-2</v>
      </c>
      <c r="AB48" t="e">
        <v>#DIV/0!</v>
      </c>
      <c r="AC48" t="e">
        <v>#DIV/0!</v>
      </c>
      <c r="AD48" t="e">
        <v>#DIV/0!</v>
      </c>
      <c r="AE48" t="e">
        <v>#DIV/0!</v>
      </c>
      <c r="AF48" t="e">
        <v>#DIV/0!</v>
      </c>
      <c r="AG48" t="e">
        <v>#DIV/0!</v>
      </c>
      <c r="AI48">
        <v>0.11226067205452556</v>
      </c>
      <c r="AJ48">
        <v>5.3490156602801469E-3</v>
      </c>
      <c r="AK48">
        <v>0.73031304113538864</v>
      </c>
      <c r="AL48">
        <v>3.1771373249185615E-2</v>
      </c>
      <c r="AM48" t="e">
        <v>#DIV/0!</v>
      </c>
      <c r="AN48" t="e">
        <v>#DIV/0!</v>
      </c>
      <c r="AO48" t="e">
        <v>#DIV/0!</v>
      </c>
      <c r="AP48" t="e">
        <v>#DIV/0!</v>
      </c>
      <c r="AQ48" t="e">
        <v>#DIV/0!</v>
      </c>
      <c r="AR48" t="e">
        <v>#DIV/0!</v>
      </c>
    </row>
    <row r="49" spans="1:46">
      <c r="M49">
        <v>5.1994478094861742</v>
      </c>
      <c r="N49">
        <v>5.6824299121963056E-3</v>
      </c>
      <c r="O49">
        <v>4.8633060029728927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X49">
        <v>0.12768853508434796</v>
      </c>
      <c r="Y49">
        <v>2.9789337607152101E-4</v>
      </c>
      <c r="Z49">
        <v>0.39845885026776962</v>
      </c>
      <c r="AA49" t="e">
        <v>#DIV/0!</v>
      </c>
      <c r="AB49" t="e">
        <v>#DIV/0!</v>
      </c>
      <c r="AC49" t="e">
        <v>#DIV/0!</v>
      </c>
      <c r="AD49" t="e">
        <v>#DIV/0!</v>
      </c>
      <c r="AE49" t="e">
        <v>#DIV/0!</v>
      </c>
      <c r="AF49" t="e">
        <v>#DIV/0!</v>
      </c>
      <c r="AG49" t="e">
        <v>#DIV/0!</v>
      </c>
      <c r="AI49">
        <v>0.12768853508434796</v>
      </c>
      <c r="AJ49">
        <v>2.9789337607152101E-4</v>
      </c>
      <c r="AK49">
        <v>0.39845885026776962</v>
      </c>
      <c r="AL49" t="e">
        <v>#DIV/0!</v>
      </c>
      <c r="AM49" t="e">
        <v>#DIV/0!</v>
      </c>
      <c r="AN49" t="e">
        <v>#DIV/0!</v>
      </c>
      <c r="AO49" t="e">
        <v>#DIV/0!</v>
      </c>
      <c r="AP49" t="e">
        <v>#DIV/0!</v>
      </c>
      <c r="AQ49" t="e">
        <v>#DIV/0!</v>
      </c>
      <c r="AR49" t="e">
        <v>#DIV/0!</v>
      </c>
    </row>
    <row r="50" spans="1:46">
      <c r="M50">
        <v>9.6447468559731058E-3</v>
      </c>
      <c r="N50">
        <v>9.5181798876058481E-3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X50">
        <v>2.2480988165375789E-4</v>
      </c>
      <c r="Y50">
        <v>4.7359875220473479E-4</v>
      </c>
      <c r="Z50" t="e">
        <v>#DIV/0!</v>
      </c>
      <c r="AA50" t="e">
        <v>#DIV/0!</v>
      </c>
      <c r="AB50" t="e">
        <v>#DIV/0!</v>
      </c>
      <c r="AC50" t="e">
        <v>#DIV/0!</v>
      </c>
      <c r="AD50" t="e">
        <v>#DIV/0!</v>
      </c>
      <c r="AE50" t="e">
        <v>#DIV/0!</v>
      </c>
      <c r="AF50" t="e">
        <v>#DIV/0!</v>
      </c>
      <c r="AG50" t="e">
        <v>#DIV/0!</v>
      </c>
      <c r="AI50">
        <v>2.2480988165375789E-4</v>
      </c>
      <c r="AJ50">
        <v>4.7359875220473479E-4</v>
      </c>
      <c r="AK50" t="e">
        <v>#DIV/0!</v>
      </c>
      <c r="AL50" t="e">
        <v>#DIV/0!</v>
      </c>
      <c r="AM50" t="e">
        <v>#DIV/0!</v>
      </c>
      <c r="AN50" t="e">
        <v>#DIV/0!</v>
      </c>
      <c r="AO50" t="e">
        <v>#DIV/0!</v>
      </c>
      <c r="AP50" t="e">
        <v>#DIV/0!</v>
      </c>
      <c r="AQ50" t="e">
        <v>#DIV/0!</v>
      </c>
      <c r="AR50" t="e">
        <v>#DIV/0!</v>
      </c>
    </row>
    <row r="51" spans="1:46">
      <c r="M51">
        <v>1.1125924058537694E-6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X51">
        <v>2.6489630112510879E-8</v>
      </c>
      <c r="Y51" t="e">
        <v>#DIV/0!</v>
      </c>
      <c r="Z51" t="e">
        <v>#DIV/0!</v>
      </c>
      <c r="AA51" t="e">
        <v>#DIV/0!</v>
      </c>
      <c r="AB51" t="e">
        <v>#DIV/0!</v>
      </c>
      <c r="AC51" t="e">
        <v>#DIV/0!</v>
      </c>
      <c r="AD51" t="e">
        <v>#DIV/0!</v>
      </c>
      <c r="AE51" t="e">
        <v>#DIV/0!</v>
      </c>
      <c r="AF51" t="e">
        <v>#DIV/0!</v>
      </c>
      <c r="AG51" t="e">
        <v>#DIV/0!</v>
      </c>
      <c r="AI51">
        <v>2.6489630112510879E-8</v>
      </c>
      <c r="AJ51" t="e">
        <v>#DIV/0!</v>
      </c>
      <c r="AK51" t="e">
        <v>#DIV/0!</v>
      </c>
      <c r="AL51" t="e">
        <v>#DIV/0!</v>
      </c>
      <c r="AM51" t="e">
        <v>#DIV/0!</v>
      </c>
      <c r="AN51" t="e">
        <v>#DIV/0!</v>
      </c>
      <c r="AO51" t="e">
        <v>#DIV/0!</v>
      </c>
      <c r="AP51" t="e">
        <v>#DIV/0!</v>
      </c>
      <c r="AQ51" t="e">
        <v>#DIV/0!</v>
      </c>
      <c r="AR51" t="e">
        <v>#DIV/0!</v>
      </c>
    </row>
    <row r="53" spans="1:46">
      <c r="M53">
        <f>SUM(M42:V52)</f>
        <v>167.99688943369665</v>
      </c>
    </row>
    <row r="54" spans="1:46">
      <c r="M54">
        <f>M53/45</f>
        <v>3.7332642096377033</v>
      </c>
      <c r="N54">
        <f>M53/44</f>
        <v>3.8181111234931056</v>
      </c>
    </row>
    <row r="55" spans="1:46">
      <c r="A55" t="s">
        <v>46</v>
      </c>
    </row>
    <row r="56" spans="1:46">
      <c r="M56" cm="1">
        <f t="array" ref="M56:N56">SQRT(M54:N54)</f>
        <v>1.93216567862016</v>
      </c>
      <c r="N56">
        <v>1.953998752172863</v>
      </c>
      <c r="AI56" cm="1">
        <f t="array" ref="AI56:AR65">IFERROR(_xlfn.ANCHORARRAY(AI42),0)</f>
        <v>0.28663361134686971</v>
      </c>
      <c r="AJ56">
        <v>7.3613214298720283E-4</v>
      </c>
      <c r="AK56">
        <v>3.014387004027233E-2</v>
      </c>
      <c r="AL56">
        <v>7.3436680214362823E-2</v>
      </c>
      <c r="AM56">
        <v>0.52312976082699381</v>
      </c>
      <c r="AN56">
        <v>3.4583351392452177E-3</v>
      </c>
      <c r="AO56">
        <v>0.2256441551148575</v>
      </c>
      <c r="AP56">
        <v>0.49169852395418523</v>
      </c>
      <c r="AQ56">
        <v>1.1204612414765267</v>
      </c>
      <c r="AR56">
        <v>0.78609630452345303</v>
      </c>
      <c r="AT56">
        <f>SUM(_xlfn.ANCHORARRAY(AI56))</f>
        <v>19.009775591254403</v>
      </c>
    </row>
    <row r="57" spans="1:46">
      <c r="AI57">
        <v>1.5915131974082151E-2</v>
      </c>
      <c r="AJ57">
        <v>2.1735686627441245E-2</v>
      </c>
      <c r="AK57">
        <v>0.64476087397395898</v>
      </c>
      <c r="AL57">
        <v>0.33145848111898601</v>
      </c>
      <c r="AM57">
        <v>1.1721594512259064</v>
      </c>
      <c r="AN57">
        <v>7.7474893897019957E-4</v>
      </c>
      <c r="AO57">
        <v>0.24924746165314515</v>
      </c>
      <c r="AP57">
        <v>2.959037065676378E-2</v>
      </c>
      <c r="AQ57">
        <v>1.153938413771415</v>
      </c>
      <c r="AR57">
        <v>0</v>
      </c>
    </row>
    <row r="58" spans="1:46">
      <c r="AI58">
        <v>0.31597170070340008</v>
      </c>
      <c r="AJ58">
        <v>1.2436764142150405E-2</v>
      </c>
      <c r="AK58">
        <v>0.28881247852268133</v>
      </c>
      <c r="AL58">
        <v>0.80007738182636201</v>
      </c>
      <c r="AM58">
        <v>1.1184350773980742</v>
      </c>
      <c r="AN58">
        <v>0.20937102132323465</v>
      </c>
      <c r="AO58">
        <v>0.26385296486444237</v>
      </c>
      <c r="AP58">
        <v>3.4709633466599048E-2</v>
      </c>
      <c r="AQ58">
        <v>0</v>
      </c>
      <c r="AR58">
        <v>0</v>
      </c>
    </row>
    <row r="59" spans="1:46">
      <c r="AI59">
        <v>0.10999513728591247</v>
      </c>
      <c r="AJ59">
        <v>2.4575271993448793E-3</v>
      </c>
      <c r="AK59">
        <v>0.75858433897351685</v>
      </c>
      <c r="AL59">
        <v>0.71729671448221621</v>
      </c>
      <c r="AM59">
        <v>1.0287989375398732</v>
      </c>
      <c r="AN59">
        <v>0.17860851201260342</v>
      </c>
      <c r="AO59">
        <v>0.2900496353197588</v>
      </c>
      <c r="AP59">
        <v>0</v>
      </c>
      <c r="AQ59">
        <v>0</v>
      </c>
      <c r="AR59">
        <v>0</v>
      </c>
    </row>
    <row r="60" spans="1:46">
      <c r="AI60">
        <v>6.1558423953583186E-2</v>
      </c>
      <c r="AJ60">
        <v>5.4234658593491467E-6</v>
      </c>
      <c r="AK60">
        <v>0.82279219675113779</v>
      </c>
      <c r="AL60">
        <v>0.21782112598213266</v>
      </c>
      <c r="AM60">
        <v>1.8773334483816546</v>
      </c>
      <c r="AN60">
        <v>2.3998285899003813E-3</v>
      </c>
      <c r="AO60">
        <v>0</v>
      </c>
      <c r="AP60">
        <v>0</v>
      </c>
      <c r="AQ60">
        <v>0</v>
      </c>
      <c r="AR60">
        <v>0</v>
      </c>
    </row>
    <row r="61" spans="1:46">
      <c r="AI61">
        <v>2.4050904804444022E-4</v>
      </c>
      <c r="AJ61">
        <v>3.3306794337225197E-3</v>
      </c>
      <c r="AK61">
        <v>0.43657163092834878</v>
      </c>
      <c r="AL61">
        <v>7.7733575062582227E-3</v>
      </c>
      <c r="AM61">
        <v>0.8826340914821087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46">
      <c r="AI62">
        <v>0.11226067205452556</v>
      </c>
      <c r="AJ62">
        <v>5.3490156602801469E-3</v>
      </c>
      <c r="AK62">
        <v>0.73031304113538864</v>
      </c>
      <c r="AL62">
        <v>3.1771373249185615E-2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46">
      <c r="AI63">
        <v>0.12768853508434796</v>
      </c>
      <c r="AJ63">
        <v>2.9789337607152101E-4</v>
      </c>
      <c r="AK63">
        <v>0.39845885026776962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46">
      <c r="AI64">
        <v>2.2480988165375789E-4</v>
      </c>
      <c r="AJ64">
        <v>4.7359875220473479E-4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35:44">
      <c r="AI65">
        <v>2.6489630112510879E-8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</sheetData>
  <pageMargins left="0.7" right="0.7" top="0.75" bottom="0.75" header="0.3" footer="0.3"/>
  <ignoredErrors>
    <ignoredError sqref="AG43" evalError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CC2FA-2D37-4FA3-B16C-77D5EFBF8D86}">
  <dimension ref="A1:CL48"/>
  <sheetViews>
    <sheetView workbookViewId="0">
      <selection activeCell="L2" sqref="L2"/>
    </sheetView>
  </sheetViews>
  <sheetFormatPr defaultRowHeight="15"/>
  <cols>
    <col min="1" max="1" width="17.85546875" customWidth="1"/>
    <col min="13" max="13" width="9.28515625" bestFit="1" customWidth="1"/>
  </cols>
  <sheetData>
    <row r="1" spans="1:90" ht="18" customHeight="1">
      <c r="A1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N1" t="s">
        <v>13</v>
      </c>
      <c r="P1" s="4" cm="1">
        <f t="array" ref="P1:Y1">B24:K24-A24:J24</f>
        <v>0.38670248463278989</v>
      </c>
      <c r="Q1">
        <v>0.18115273077925242</v>
      </c>
      <c r="R1">
        <v>0.11590969495041348</v>
      </c>
      <c r="S1">
        <v>8.2228200293703924E-2</v>
      </c>
      <c r="T1" s="10">
        <v>6.1991040056670221E-2</v>
      </c>
      <c r="U1">
        <v>4.8701646371992369E-2</v>
      </c>
      <c r="V1">
        <v>3.943235745607232E-2</v>
      </c>
      <c r="W1">
        <v>3.2674964778208748E-2</v>
      </c>
      <c r="X1">
        <v>2.7578301039495767E-2</v>
      </c>
      <c r="Y1">
        <v>2.362857964140086E-2</v>
      </c>
      <c r="AN1" s="5" t="s">
        <v>14</v>
      </c>
      <c r="BA1" s="5" t="s">
        <v>15</v>
      </c>
      <c r="BM1" t="s">
        <v>16</v>
      </c>
      <c r="BY1" t="s">
        <v>17</v>
      </c>
    </row>
    <row r="2" spans="1:90">
      <c r="A2">
        <v>2000</v>
      </c>
      <c r="B2">
        <v>38.670687919173041</v>
      </c>
      <c r="C2">
        <v>18.115478943256939</v>
      </c>
      <c r="D2">
        <v>11.591101216973968</v>
      </c>
      <c r="E2">
        <v>8.2229134750261892</v>
      </c>
      <c r="F2">
        <v>6.1991744534376352</v>
      </c>
      <c r="G2">
        <v>4.8702199826557546</v>
      </c>
      <c r="H2">
        <v>3.9432805572714642</v>
      </c>
      <c r="I2">
        <v>3.2675336102584254</v>
      </c>
      <c r="J2">
        <v>2.7578614444436766</v>
      </c>
      <c r="K2">
        <v>2.362884816097349</v>
      </c>
      <c r="M2">
        <v>100.00113641859444</v>
      </c>
      <c r="O2">
        <f>SUM(P2:Y2)</f>
        <v>100.00113641859444</v>
      </c>
      <c r="P2" cm="1">
        <f t="array" ref="P2:Y11">_xlfn.ANCHORARRAY(P1)*M2:M11</f>
        <v>38.670687919173041</v>
      </c>
      <c r="Q2">
        <v>18.115478943256935</v>
      </c>
      <c r="R2">
        <v>11.591101216973966</v>
      </c>
      <c r="S2">
        <v>8.2229134750261927</v>
      </c>
      <c r="T2" s="10">
        <v>6.1991744534376316</v>
      </c>
      <c r="U2">
        <v>4.8702199826557537</v>
      </c>
      <c r="V2">
        <v>3.9432805572714678</v>
      </c>
      <c r="W2">
        <v>3.2675336102584214</v>
      </c>
      <c r="X2">
        <v>2.7578614444436811</v>
      </c>
      <c r="Y2">
        <v>2.3628848160973508</v>
      </c>
      <c r="AB2">
        <v>1</v>
      </c>
      <c r="AC2">
        <v>1</v>
      </c>
      <c r="AD2">
        <v>1</v>
      </c>
      <c r="AE2">
        <v>1</v>
      </c>
      <c r="AF2">
        <v>1</v>
      </c>
      <c r="AG2">
        <v>1</v>
      </c>
      <c r="AH2">
        <v>1</v>
      </c>
      <c r="AI2">
        <v>1</v>
      </c>
      <c r="AJ2">
        <v>1</v>
      </c>
      <c r="AK2">
        <v>1</v>
      </c>
      <c r="AP2" s="4" cm="1">
        <f t="array" ref="AP2:AY11">LN(P2:Y11)</f>
        <v>3.6550818949404951</v>
      </c>
      <c r="AQ2">
        <v>2.8967667630401484</v>
      </c>
      <c r="AR2">
        <v>2.4502376672448043</v>
      </c>
      <c r="AS2">
        <v>2.1069245836211272</v>
      </c>
      <c r="AT2">
        <v>1.8244161305140922</v>
      </c>
      <c r="AU2">
        <v>1.5831391070508614</v>
      </c>
      <c r="AV2">
        <v>1.3720130056159212</v>
      </c>
      <c r="AW2">
        <v>1.1840354526939174</v>
      </c>
      <c r="AX2">
        <v>1.0144555404165085</v>
      </c>
      <c r="AY2">
        <v>0.85988325224199158</v>
      </c>
      <c r="BB2" cm="1">
        <f t="array" ref="BB2:BK11">_xlfn.ANCHORARRAY(AP2)*B2:K11</f>
        <v>141.3445312782635</v>
      </c>
      <c r="BC2">
        <v>52.476317299380369</v>
      </c>
      <c r="BD2">
        <v>28.400952806676706</v>
      </c>
      <c r="BE2">
        <v>17.325058549522112</v>
      </c>
      <c r="BF2">
        <v>11.309873868722503</v>
      </c>
      <c r="BG2">
        <v>7.7102357144828932</v>
      </c>
      <c r="BH2">
        <v>5.4102322093688464</v>
      </c>
      <c r="BI2">
        <v>3.8688756374149249</v>
      </c>
      <c r="BJ2">
        <v>2.797727822016963</v>
      </c>
      <c r="BK2">
        <v>2.0318050803390086</v>
      </c>
      <c r="BN2" cm="1">
        <f t="array" ref="BN2:BW11">_xlfn.ANCHORARRAY(BB2)-_xlfn.ANCHORARRAY(P2)</f>
        <v>102.67384335909045</v>
      </c>
      <c r="BO2">
        <v>34.360838356123438</v>
      </c>
      <c r="BP2">
        <v>16.809851589702738</v>
      </c>
      <c r="BQ2">
        <v>9.1021450744959189</v>
      </c>
      <c r="BR2">
        <v>5.1106994152848717</v>
      </c>
      <c r="BS2">
        <v>2.8400157318271395</v>
      </c>
      <c r="BT2">
        <v>1.4669516520973787</v>
      </c>
      <c r="BU2">
        <v>0.60134202715650353</v>
      </c>
      <c r="BV2">
        <v>3.986637757328193E-2</v>
      </c>
      <c r="BW2">
        <v>-0.33107973575834215</v>
      </c>
      <c r="BZ2" cm="1">
        <f t="array" ref="BZ2:CI11">_xlfn.ANCHORARRAY(BN2)*AB2:AK11</f>
        <v>102.67384335909045</v>
      </c>
      <c r="CA2">
        <v>34.360838356123438</v>
      </c>
      <c r="CB2">
        <v>16.809851589702738</v>
      </c>
      <c r="CC2">
        <v>9.1021450744959189</v>
      </c>
      <c r="CD2">
        <v>5.1106994152848717</v>
      </c>
      <c r="CE2">
        <v>2.8400157318271395</v>
      </c>
      <c r="CF2">
        <v>1.4669516520973787</v>
      </c>
      <c r="CG2">
        <v>0.60134202715650353</v>
      </c>
      <c r="CH2">
        <v>3.986637757328193E-2</v>
      </c>
      <c r="CI2">
        <v>-0.33107973575834215</v>
      </c>
      <c r="CL2">
        <f>SUM(_xlfn.ANCHORARRAY(BZ2))</f>
        <v>1688.1345397556549</v>
      </c>
    </row>
    <row r="3" spans="1:90">
      <c r="A3">
        <v>2001</v>
      </c>
      <c r="B3">
        <v>39.21004240644956</v>
      </c>
      <c r="C3">
        <v>18.368142275174662</v>
      </c>
      <c r="D3">
        <v>11.752766622743792</v>
      </c>
      <c r="E3">
        <v>8.3376015118801519</v>
      </c>
      <c r="F3">
        <v>6.2856366484174515</v>
      </c>
      <c r="G3">
        <v>4.9381467546635207</v>
      </c>
      <c r="H3">
        <v>3.9982789598755204</v>
      </c>
      <c r="I3">
        <v>3.3131071185110699</v>
      </c>
      <c r="J3">
        <v>2.7963263651727033</v>
      </c>
      <c r="K3">
        <v>0</v>
      </c>
      <c r="M3">
        <v>101.39588951357051</v>
      </c>
      <c r="O3">
        <f t="shared" ref="O3:O11" si="0">SUM(P3:Y3)</f>
        <v>101.39588951357049</v>
      </c>
      <c r="P3">
        <v>39.21004240644956</v>
      </c>
      <c r="Q3">
        <v>18.368142275174662</v>
      </c>
      <c r="R3">
        <v>11.752766622743787</v>
      </c>
      <c r="S3">
        <v>8.3376015118801483</v>
      </c>
      <c r="T3" s="10">
        <v>6.2856366484174577</v>
      </c>
      <c r="U3">
        <v>4.9381467546635198</v>
      </c>
      <c r="V3">
        <v>3.9982789598755271</v>
      </c>
      <c r="W3">
        <v>3.3131071185110623</v>
      </c>
      <c r="X3">
        <v>2.7963263651726997</v>
      </c>
      <c r="Y3">
        <v>2.3958408506820832</v>
      </c>
      <c r="AB3">
        <v>1</v>
      </c>
      <c r="AC3">
        <v>1</v>
      </c>
      <c r="AD3">
        <v>1</v>
      </c>
      <c r="AE3">
        <v>1</v>
      </c>
      <c r="AF3">
        <v>1</v>
      </c>
      <c r="AG3">
        <v>1</v>
      </c>
      <c r="AH3">
        <v>1</v>
      </c>
      <c r="AI3">
        <v>1</v>
      </c>
      <c r="AJ3">
        <v>1</v>
      </c>
      <c r="AK3">
        <v>0</v>
      </c>
      <c r="AP3">
        <v>3.6689328978249396</v>
      </c>
      <c r="AQ3">
        <v>2.9106177659245933</v>
      </c>
      <c r="AR3">
        <v>2.4640886701292493</v>
      </c>
      <c r="AS3">
        <v>2.1207755865055722</v>
      </c>
      <c r="AT3">
        <v>1.8382671333985372</v>
      </c>
      <c r="AU3">
        <v>1.5969901099353063</v>
      </c>
      <c r="AV3">
        <v>1.3858640085003662</v>
      </c>
      <c r="AW3">
        <v>1.1978864555783624</v>
      </c>
      <c r="AX3">
        <v>1.0283065433009535</v>
      </c>
      <c r="AY3">
        <v>0.87373425512643654</v>
      </c>
      <c r="BB3">
        <v>143.85901451013376</v>
      </c>
      <c r="BC3">
        <v>53.462641233153953</v>
      </c>
      <c r="BD3">
        <v>28.95985907777618</v>
      </c>
      <c r="BE3">
        <v>17.682181736407376</v>
      </c>
      <c r="BF3">
        <v>11.554679263271138</v>
      </c>
      <c r="BG3">
        <v>7.8861715286067717</v>
      </c>
      <c r="BH3">
        <v>5.5410709064357633</v>
      </c>
      <c r="BI3">
        <v>3.968726143144667</v>
      </c>
      <c r="BJ3">
        <v>2.8754806985120624</v>
      </c>
      <c r="BK3">
        <v>0</v>
      </c>
      <c r="BN3">
        <v>104.6489721036842</v>
      </c>
      <c r="BO3">
        <v>35.09449895797929</v>
      </c>
      <c r="BP3">
        <v>17.207092455032395</v>
      </c>
      <c r="BQ3">
        <v>9.3445802245272276</v>
      </c>
      <c r="BR3">
        <v>5.2690426148536806</v>
      </c>
      <c r="BS3">
        <v>2.9480247739432519</v>
      </c>
      <c r="BT3">
        <v>1.5427919465602362</v>
      </c>
      <c r="BU3">
        <v>0.65561902463360466</v>
      </c>
      <c r="BV3">
        <v>7.9154333339362726E-2</v>
      </c>
      <c r="BW3">
        <v>-2.3958408506820832</v>
      </c>
      <c r="BZ3">
        <v>104.6489721036842</v>
      </c>
      <c r="CA3">
        <v>35.09449895797929</v>
      </c>
      <c r="CB3">
        <v>17.207092455032395</v>
      </c>
      <c r="CC3">
        <v>9.3445802245272276</v>
      </c>
      <c r="CD3">
        <v>5.2690426148536806</v>
      </c>
      <c r="CE3">
        <v>2.9480247739432519</v>
      </c>
      <c r="CF3">
        <v>1.5427919465602362</v>
      </c>
      <c r="CG3">
        <v>0.65561902463360466</v>
      </c>
      <c r="CH3">
        <v>7.9154333339362726E-2</v>
      </c>
      <c r="CI3">
        <v>0</v>
      </c>
    </row>
    <row r="4" spans="1:90">
      <c r="A4">
        <v>2002</v>
      </c>
      <c r="B4">
        <v>39.53436568002634</v>
      </c>
      <c r="C4">
        <v>18.520073149680137</v>
      </c>
      <c r="D4">
        <v>11.849978854884732</v>
      </c>
      <c r="E4">
        <v>8.4065654315842266</v>
      </c>
      <c r="F4">
        <v>6.337627876409428</v>
      </c>
      <c r="G4">
        <v>4.9789923090823009</v>
      </c>
      <c r="H4">
        <v>4.0313504599646564</v>
      </c>
      <c r="I4">
        <v>3.3405112650112869</v>
      </c>
      <c r="J4">
        <v>0</v>
      </c>
      <c r="K4">
        <v>0</v>
      </c>
      <c r="M4">
        <v>102.23457891036803</v>
      </c>
      <c r="O4">
        <f t="shared" si="0"/>
        <v>102.23457891036803</v>
      </c>
      <c r="P4">
        <v>39.53436568002634</v>
      </c>
      <c r="Q4">
        <v>18.520073149680137</v>
      </c>
      <c r="R4">
        <v>11.849978854884734</v>
      </c>
      <c r="S4">
        <v>8.4065654315842213</v>
      </c>
      <c r="T4" s="10">
        <v>6.3376278764094369</v>
      </c>
      <c r="U4">
        <v>4.978992309082293</v>
      </c>
      <c r="V4">
        <v>4.0313504599646643</v>
      </c>
      <c r="W4">
        <v>3.340511265011278</v>
      </c>
      <c r="X4">
        <v>2.8194559938362147</v>
      </c>
      <c r="Y4">
        <v>2.4156578898887116</v>
      </c>
      <c r="AB4">
        <v>1</v>
      </c>
      <c r="AC4">
        <v>1</v>
      </c>
      <c r="AD4">
        <v>1</v>
      </c>
      <c r="AE4">
        <v>1</v>
      </c>
      <c r="AF4">
        <v>1</v>
      </c>
      <c r="AG4">
        <v>1</v>
      </c>
      <c r="AH4">
        <v>1</v>
      </c>
      <c r="AI4">
        <v>1</v>
      </c>
      <c r="AJ4">
        <v>0</v>
      </c>
      <c r="AK4">
        <v>0</v>
      </c>
      <c r="AP4">
        <v>3.6771703108773259</v>
      </c>
      <c r="AQ4">
        <v>2.9188551789769792</v>
      </c>
      <c r="AR4">
        <v>2.4723260831816356</v>
      </c>
      <c r="AS4">
        <v>2.1290129995579581</v>
      </c>
      <c r="AT4">
        <v>1.8465045464509231</v>
      </c>
      <c r="AU4">
        <v>1.6052275229876924</v>
      </c>
      <c r="AV4">
        <v>1.3941014215527521</v>
      </c>
      <c r="AW4">
        <v>1.2061238686307483</v>
      </c>
      <c r="AX4">
        <v>1.0365439563533394</v>
      </c>
      <c r="AY4">
        <v>0.88197166817882244</v>
      </c>
      <c r="BB4">
        <v>145.37459573796033</v>
      </c>
      <c r="BC4">
        <v>54.057411427976362</v>
      </c>
      <c r="BD4">
        <v>29.297011808082374</v>
      </c>
      <c r="BE4">
        <v>17.897687085477376</v>
      </c>
      <c r="BF4">
        <v>11.702458687504118</v>
      </c>
      <c r="BG4">
        <v>7.9924154912829533</v>
      </c>
      <c r="BH4">
        <v>5.6201114070140683</v>
      </c>
      <c r="BI4">
        <v>4.0290703701600084</v>
      </c>
      <c r="BJ4">
        <v>0</v>
      </c>
      <c r="BK4">
        <v>0</v>
      </c>
      <c r="BN4">
        <v>105.84023005793399</v>
      </c>
      <c r="BO4">
        <v>35.537338278296225</v>
      </c>
      <c r="BP4">
        <v>17.447032953197642</v>
      </c>
      <c r="BQ4">
        <v>9.4911216538931544</v>
      </c>
      <c r="BR4">
        <v>5.3648308110946807</v>
      </c>
      <c r="BS4">
        <v>3.0134231822006603</v>
      </c>
      <c r="BT4">
        <v>1.588760947049404</v>
      </c>
      <c r="BU4">
        <v>0.68855910514873031</v>
      </c>
      <c r="BV4">
        <v>-2.8194559938362147</v>
      </c>
      <c r="BW4">
        <v>-2.4156578898887116</v>
      </c>
      <c r="BZ4">
        <v>105.84023005793399</v>
      </c>
      <c r="CA4">
        <v>35.537338278296225</v>
      </c>
      <c r="CB4">
        <v>17.447032953197642</v>
      </c>
      <c r="CC4">
        <v>9.4911216538931544</v>
      </c>
      <c r="CD4">
        <v>5.3648308110946807</v>
      </c>
      <c r="CE4">
        <v>3.0134231822006603</v>
      </c>
      <c r="CF4">
        <v>1.588760947049404</v>
      </c>
      <c r="CG4">
        <v>0.68855910514873031</v>
      </c>
      <c r="CH4">
        <v>0</v>
      </c>
      <c r="CI4">
        <v>0</v>
      </c>
    </row>
    <row r="5" spans="1:90">
      <c r="A5">
        <v>2003</v>
      </c>
      <c r="B5">
        <v>40.100196813074</v>
      </c>
      <c r="C5">
        <v>18.78513959994833</v>
      </c>
      <c r="D5">
        <v>12.01958033569052</v>
      </c>
      <c r="E5">
        <v>8.5268834476032822</v>
      </c>
      <c r="F5">
        <v>6.4283344578977335</v>
      </c>
      <c r="G5">
        <v>5.0502535728264775</v>
      </c>
      <c r="H5">
        <v>4.0890487070273878</v>
      </c>
      <c r="I5">
        <v>0</v>
      </c>
      <c r="J5">
        <v>0</v>
      </c>
      <c r="K5">
        <v>0</v>
      </c>
      <c r="M5">
        <v>103.69779974688521</v>
      </c>
      <c r="O5">
        <f t="shared" si="0"/>
        <v>103.69779974688522</v>
      </c>
      <c r="P5">
        <v>40.100196813074</v>
      </c>
      <c r="Q5">
        <v>18.785139599948327</v>
      </c>
      <c r="R5">
        <v>12.019580335690529</v>
      </c>
      <c r="S5">
        <v>8.5268834476032769</v>
      </c>
      <c r="T5" s="10">
        <v>6.4283344578977282</v>
      </c>
      <c r="U5">
        <v>5.0502535728264828</v>
      </c>
      <c r="V5">
        <v>4.0890487070273833</v>
      </c>
      <c r="W5">
        <v>3.3883219543072181</v>
      </c>
      <c r="X5">
        <v>2.8598091385529485</v>
      </c>
      <c r="Y5">
        <v>2.4502317199573151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0</v>
      </c>
      <c r="AJ5">
        <v>0</v>
      </c>
      <c r="AK5">
        <v>0</v>
      </c>
      <c r="AP5">
        <v>3.6913812423571875</v>
      </c>
      <c r="AQ5">
        <v>2.9330661104568407</v>
      </c>
      <c r="AR5">
        <v>2.4865370146614967</v>
      </c>
      <c r="AS5">
        <v>2.1432239310378196</v>
      </c>
      <c r="AT5">
        <v>1.8607154779307846</v>
      </c>
      <c r="AU5">
        <v>1.6194384544675537</v>
      </c>
      <c r="AV5">
        <v>1.4083123530326136</v>
      </c>
      <c r="AW5">
        <v>1.2203348001106098</v>
      </c>
      <c r="AX5">
        <v>1.0507548878332009</v>
      </c>
      <c r="AY5">
        <v>0.89618259965868396</v>
      </c>
      <c r="BB5">
        <v>148.02511433061284</v>
      </c>
      <c r="BC5">
        <v>55.098056340809222</v>
      </c>
      <c r="BD5">
        <v>29.887131405391937</v>
      </c>
      <c r="BE5">
        <v>18.275020662073622</v>
      </c>
      <c r="BF5">
        <v>11.961301423126113</v>
      </c>
      <c r="BG5">
        <v>8.178574840647352</v>
      </c>
      <c r="BH5">
        <v>5.7586578062587064</v>
      </c>
      <c r="BI5">
        <v>0</v>
      </c>
      <c r="BJ5">
        <v>0</v>
      </c>
      <c r="BK5">
        <v>0</v>
      </c>
      <c r="BN5">
        <v>107.92491751753883</v>
      </c>
      <c r="BO5">
        <v>36.312916740860899</v>
      </c>
      <c r="BP5">
        <v>17.867551069701406</v>
      </c>
      <c r="BQ5">
        <v>9.7481372144703453</v>
      </c>
      <c r="BR5">
        <v>5.5329669652283844</v>
      </c>
      <c r="BS5">
        <v>3.1283212678208692</v>
      </c>
      <c r="BT5">
        <v>1.6696090992313231</v>
      </c>
      <c r="BU5">
        <v>-3.3883219543072181</v>
      </c>
      <c r="BV5">
        <v>-2.8598091385529485</v>
      </c>
      <c r="BW5">
        <v>-2.4502317199573151</v>
      </c>
      <c r="BZ5">
        <v>107.92491751753883</v>
      </c>
      <c r="CA5">
        <v>36.312916740860899</v>
      </c>
      <c r="CB5">
        <v>17.867551069701406</v>
      </c>
      <c r="CC5">
        <v>9.7481372144703453</v>
      </c>
      <c r="CD5">
        <v>5.5329669652283844</v>
      </c>
      <c r="CE5">
        <v>3.1283212678208692</v>
      </c>
      <c r="CF5">
        <v>1.6696090992313231</v>
      </c>
      <c r="CG5">
        <v>0</v>
      </c>
      <c r="CH5">
        <v>0</v>
      </c>
      <c r="CI5">
        <v>0</v>
      </c>
    </row>
    <row r="6" spans="1:90">
      <c r="A6">
        <v>2004</v>
      </c>
      <c r="B6">
        <v>40.580529480271544</v>
      </c>
      <c r="C6">
        <v>19.01015386234166</v>
      </c>
      <c r="D6">
        <v>12.163554618613617</v>
      </c>
      <c r="E6">
        <v>8.6290211176092981</v>
      </c>
      <c r="F6">
        <v>6.5053350534357861</v>
      </c>
      <c r="G6">
        <v>5.1107470856131414</v>
      </c>
      <c r="H6">
        <v>0</v>
      </c>
      <c r="I6">
        <v>0</v>
      </c>
      <c r="J6">
        <v>0</v>
      </c>
      <c r="K6">
        <v>0</v>
      </c>
      <c r="M6">
        <v>104.9399243421116</v>
      </c>
      <c r="O6">
        <f t="shared" si="0"/>
        <v>104.9399243421116</v>
      </c>
      <c r="P6">
        <v>40.580529480271544</v>
      </c>
      <c r="Q6">
        <v>19.01015386234166</v>
      </c>
      <c r="R6">
        <v>12.163554618613626</v>
      </c>
      <c r="S6">
        <v>8.6290211176092875</v>
      </c>
      <c r="T6" s="10">
        <v>6.5053350534357826</v>
      </c>
      <c r="U6">
        <v>5.1107470856131529</v>
      </c>
      <c r="V6">
        <v>4.1380286080713296</v>
      </c>
      <c r="W6">
        <v>3.4289083317063871</v>
      </c>
      <c r="X6">
        <v>2.8940648245686633</v>
      </c>
      <c r="Y6">
        <v>2.4795813598801644</v>
      </c>
      <c r="AB6">
        <v>1</v>
      </c>
      <c r="AC6">
        <v>1</v>
      </c>
      <c r="AD6">
        <v>1</v>
      </c>
      <c r="AE6">
        <v>1</v>
      </c>
      <c r="AF6">
        <v>1</v>
      </c>
      <c r="AG6">
        <v>1</v>
      </c>
      <c r="AH6">
        <v>0</v>
      </c>
      <c r="AI6">
        <v>0</v>
      </c>
      <c r="AJ6">
        <v>0</v>
      </c>
      <c r="AK6">
        <v>0</v>
      </c>
      <c r="AP6">
        <v>3.7032883821260398</v>
      </c>
      <c r="AQ6">
        <v>2.9449732502256931</v>
      </c>
      <c r="AR6">
        <v>2.4984441544303491</v>
      </c>
      <c r="AS6">
        <v>2.155131070806672</v>
      </c>
      <c r="AT6">
        <v>1.872622617699637</v>
      </c>
      <c r="AU6">
        <v>1.6313455942364061</v>
      </c>
      <c r="AV6">
        <v>1.420219492801466</v>
      </c>
      <c r="AW6">
        <v>1.2322419398794622</v>
      </c>
      <c r="AX6">
        <v>1.0626620276020531</v>
      </c>
      <c r="AY6">
        <v>0.90808973942753624</v>
      </c>
      <c r="BB6">
        <v>150.28140336481286</v>
      </c>
      <c r="BC6">
        <v>55.984394607270829</v>
      </c>
      <c r="BD6">
        <v>30.389961933969463</v>
      </c>
      <c r="BE6">
        <v>18.596671521206712</v>
      </c>
      <c r="BF6">
        <v>12.18203755677813</v>
      </c>
      <c r="BG6">
        <v>8.3373947413715506</v>
      </c>
      <c r="BH6">
        <v>0</v>
      </c>
      <c r="BI6">
        <v>0</v>
      </c>
      <c r="BJ6">
        <v>0</v>
      </c>
      <c r="BK6">
        <v>0</v>
      </c>
      <c r="BN6">
        <v>109.70087388454132</v>
      </c>
      <c r="BO6">
        <v>36.974240744929169</v>
      </c>
      <c r="BP6">
        <v>18.226407315355836</v>
      </c>
      <c r="BQ6">
        <v>9.9676504035974247</v>
      </c>
      <c r="BR6">
        <v>5.6767025033423479</v>
      </c>
      <c r="BS6">
        <v>3.2266476557583976</v>
      </c>
      <c r="BT6">
        <v>-4.1380286080713296</v>
      </c>
      <c r="BU6">
        <v>-3.4289083317063871</v>
      </c>
      <c r="BV6">
        <v>-2.8940648245686633</v>
      </c>
      <c r="BW6">
        <v>-2.4795813598801644</v>
      </c>
      <c r="BZ6">
        <v>109.70087388454132</v>
      </c>
      <c r="CA6">
        <v>36.974240744929169</v>
      </c>
      <c r="CB6">
        <v>18.226407315355836</v>
      </c>
      <c r="CC6">
        <v>9.9676504035974247</v>
      </c>
      <c r="CD6">
        <v>5.6767025033423479</v>
      </c>
      <c r="CE6">
        <v>3.2266476557583976</v>
      </c>
      <c r="CF6">
        <v>0</v>
      </c>
      <c r="CG6">
        <v>0</v>
      </c>
      <c r="CH6">
        <v>0</v>
      </c>
      <c r="CI6">
        <v>0</v>
      </c>
    </row>
    <row r="7" spans="1:90">
      <c r="A7">
        <v>2005</v>
      </c>
      <c r="B7">
        <v>41.099422245596571</v>
      </c>
      <c r="C7">
        <v>19.253231797332141</v>
      </c>
      <c r="D7">
        <v>12.319086854714762</v>
      </c>
      <c r="E7">
        <v>8.7393581853388014</v>
      </c>
      <c r="F7">
        <v>6.5885170951310243</v>
      </c>
      <c r="G7">
        <v>0</v>
      </c>
      <c r="H7">
        <v>0</v>
      </c>
      <c r="I7">
        <v>0</v>
      </c>
      <c r="J7">
        <v>0</v>
      </c>
      <c r="K7">
        <v>0</v>
      </c>
      <c r="M7">
        <v>106.28176409216587</v>
      </c>
      <c r="O7">
        <f t="shared" si="0"/>
        <v>106.28176409216587</v>
      </c>
      <c r="P7">
        <v>41.099422245596571</v>
      </c>
      <c r="Q7">
        <v>19.253231797332141</v>
      </c>
      <c r="R7">
        <v>12.319086854714755</v>
      </c>
      <c r="S7">
        <v>8.7393581853388049</v>
      </c>
      <c r="T7" s="10">
        <v>6.5885170951310297</v>
      </c>
      <c r="U7">
        <v>5.1760968906081786</v>
      </c>
      <c r="V7">
        <v>4.1909405127442367</v>
      </c>
      <c r="W7">
        <v>3.472752898277411</v>
      </c>
      <c r="X7">
        <v>2.9310704851424219</v>
      </c>
      <c r="Y7">
        <v>2.5112871272803194</v>
      </c>
      <c r="AB7">
        <v>1</v>
      </c>
      <c r="AC7">
        <v>1</v>
      </c>
      <c r="AD7">
        <v>1</v>
      </c>
      <c r="AE7">
        <v>1</v>
      </c>
      <c r="AF7">
        <v>1</v>
      </c>
      <c r="AG7">
        <v>0</v>
      </c>
      <c r="AH7">
        <v>0</v>
      </c>
      <c r="AI7">
        <v>0</v>
      </c>
      <c r="AJ7">
        <v>0</v>
      </c>
      <c r="AK7">
        <v>0</v>
      </c>
      <c r="AP7">
        <v>3.7159940641186293</v>
      </c>
      <c r="AQ7">
        <v>2.9576789322182826</v>
      </c>
      <c r="AR7">
        <v>2.511149836422939</v>
      </c>
      <c r="AS7">
        <v>2.1678367527992619</v>
      </c>
      <c r="AT7">
        <v>1.8853282996922267</v>
      </c>
      <c r="AU7">
        <v>1.6440512762289961</v>
      </c>
      <c r="AV7">
        <v>1.4329251747940559</v>
      </c>
      <c r="AW7">
        <v>1.2449476218720519</v>
      </c>
      <c r="AX7">
        <v>1.075367709594643</v>
      </c>
      <c r="AY7">
        <v>0.92079542142012616</v>
      </c>
      <c r="BB7">
        <v>152.725209103342</v>
      </c>
      <c r="BC7">
        <v>56.944878064084413</v>
      </c>
      <c r="BD7">
        <v>30.935072940096951</v>
      </c>
      <c r="BE7">
        <v>18.945501870054517</v>
      </c>
      <c r="BF7">
        <v>12.421517732456543</v>
      </c>
      <c r="BG7">
        <v>0</v>
      </c>
      <c r="BH7">
        <v>0</v>
      </c>
      <c r="BI7">
        <v>0</v>
      </c>
      <c r="BJ7">
        <v>0</v>
      </c>
      <c r="BK7">
        <v>0</v>
      </c>
      <c r="BN7">
        <v>111.62578685774542</v>
      </c>
      <c r="BO7">
        <v>37.691646266752272</v>
      </c>
      <c r="BP7">
        <v>18.615986085382197</v>
      </c>
      <c r="BQ7">
        <v>10.206143684715713</v>
      </c>
      <c r="BR7">
        <v>5.8330006373255134</v>
      </c>
      <c r="BS7">
        <v>-5.1760968906081786</v>
      </c>
      <c r="BT7">
        <v>-4.1909405127442367</v>
      </c>
      <c r="BU7">
        <v>-3.472752898277411</v>
      </c>
      <c r="BV7">
        <v>-2.9310704851424219</v>
      </c>
      <c r="BW7">
        <v>-2.5112871272803194</v>
      </c>
      <c r="BZ7">
        <v>111.62578685774542</v>
      </c>
      <c r="CA7">
        <v>37.691646266752272</v>
      </c>
      <c r="CB7">
        <v>18.615986085382197</v>
      </c>
      <c r="CC7">
        <v>10.206143684715713</v>
      </c>
      <c r="CD7">
        <v>5.8330006373255134</v>
      </c>
      <c r="CE7">
        <v>0</v>
      </c>
      <c r="CF7">
        <v>0</v>
      </c>
      <c r="CG7">
        <v>0</v>
      </c>
      <c r="CH7">
        <v>0</v>
      </c>
      <c r="CI7">
        <v>0</v>
      </c>
    </row>
    <row r="8" spans="1:90">
      <c r="A8">
        <v>2006</v>
      </c>
      <c r="B8">
        <v>39.884011821555134</v>
      </c>
      <c r="C8">
        <v>18.683866649493091</v>
      </c>
      <c r="D8">
        <v>11.954781330213216</v>
      </c>
      <c r="E8">
        <v>8.4809139917825149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M8">
        <v>103.13875241693553</v>
      </c>
      <c r="O8">
        <f t="shared" si="0"/>
        <v>103.13875241693555</v>
      </c>
      <c r="P8">
        <v>39.884011821555134</v>
      </c>
      <c r="Q8">
        <v>18.683866649493094</v>
      </c>
      <c r="R8">
        <v>11.954781330213219</v>
      </c>
      <c r="S8">
        <v>8.4809139917825149</v>
      </c>
      <c r="T8">
        <v>6.3936785324732428</v>
      </c>
      <c r="U8">
        <v>5.0230270474580676</v>
      </c>
      <c r="V8">
        <v>4.0670041528779448</v>
      </c>
      <c r="W8">
        <v>3.3700551024917611</v>
      </c>
      <c r="X8">
        <v>2.8443915629922696</v>
      </c>
      <c r="Y8">
        <v>2.4370222255982865</v>
      </c>
      <c r="AB8">
        <v>1</v>
      </c>
      <c r="AC8">
        <v>1</v>
      </c>
      <c r="AD8">
        <v>1</v>
      </c>
      <c r="AE8">
        <v>1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P8">
        <v>3.6859755373649365</v>
      </c>
      <c r="AQ8">
        <v>2.9276604054645898</v>
      </c>
      <c r="AR8">
        <v>2.4811313096692458</v>
      </c>
      <c r="AS8">
        <v>2.1378182260455687</v>
      </c>
      <c r="AT8">
        <v>1.8553097729385335</v>
      </c>
      <c r="AU8">
        <v>1.6140327494753028</v>
      </c>
      <c r="AV8">
        <v>1.4029066480403627</v>
      </c>
      <c r="AW8">
        <v>1.2149290951183589</v>
      </c>
      <c r="AX8">
        <v>1.0453491828409498</v>
      </c>
      <c r="AY8">
        <v>0.89077689466643306</v>
      </c>
      <c r="BB8">
        <v>147.01149190622615</v>
      </c>
      <c r="BC8">
        <v>54.700016610701269</v>
      </c>
      <c r="BD8">
        <v>29.661382258641364</v>
      </c>
      <c r="BE8">
        <v>18.130652505157538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N8">
        <v>107.12748008467102</v>
      </c>
      <c r="BO8">
        <v>36.016149961208171</v>
      </c>
      <c r="BP8">
        <v>17.706600928428145</v>
      </c>
      <c r="BQ8">
        <v>9.6497385133750235</v>
      </c>
      <c r="BR8">
        <v>-6.3936785324732428</v>
      </c>
      <c r="BS8">
        <v>-5.0230270474580676</v>
      </c>
      <c r="BT8">
        <v>-4.0670041528779448</v>
      </c>
      <c r="BU8">
        <v>-3.3700551024917611</v>
      </c>
      <c r="BV8">
        <v>-2.8443915629922696</v>
      </c>
      <c r="BW8">
        <v>-2.4370222255982865</v>
      </c>
      <c r="BZ8">
        <v>107.12748008467102</v>
      </c>
      <c r="CA8">
        <v>36.016149961208171</v>
      </c>
      <c r="CB8">
        <v>17.706600928428145</v>
      </c>
      <c r="CC8">
        <v>9.6497385133750235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</row>
    <row r="9" spans="1:90">
      <c r="A9">
        <v>2007</v>
      </c>
      <c r="B9">
        <v>40.719770228795753</v>
      </c>
      <c r="C9">
        <v>19.075381893795502</v>
      </c>
      <c r="D9">
        <v>12.205290457734058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M9">
        <v>105.29999637179206</v>
      </c>
      <c r="O9">
        <f t="shared" si="0"/>
        <v>105.29999637179208</v>
      </c>
      <c r="P9">
        <v>40.719770228795753</v>
      </c>
      <c r="Q9">
        <v>19.075381893795505</v>
      </c>
      <c r="R9">
        <v>12.205290457734064</v>
      </c>
      <c r="S9">
        <v>8.6586291925860142</v>
      </c>
      <c r="T9">
        <v>6.5276562930509909</v>
      </c>
      <c r="U9">
        <v>5.128283186271096</v>
      </c>
      <c r="V9">
        <v>4.152227097055623</v>
      </c>
      <c r="W9">
        <v>3.4406736725938147</v>
      </c>
      <c r="X9">
        <v>2.9039949993990937</v>
      </c>
      <c r="Y9">
        <v>2.4880893505101103</v>
      </c>
      <c r="AB9">
        <v>1</v>
      </c>
      <c r="AC9">
        <v>1</v>
      </c>
      <c r="AD9">
        <v>1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P9">
        <v>3.7067137295150445</v>
      </c>
      <c r="AQ9">
        <v>2.9483985976146978</v>
      </c>
      <c r="AR9">
        <v>2.5018695018193537</v>
      </c>
      <c r="AS9">
        <v>2.1585564181956767</v>
      </c>
      <c r="AT9">
        <v>1.8760479650886417</v>
      </c>
      <c r="AU9">
        <v>1.6347709416254108</v>
      </c>
      <c r="AV9">
        <v>1.4236448401904709</v>
      </c>
      <c r="AW9">
        <v>1.2356672872684671</v>
      </c>
      <c r="AX9">
        <v>1.066087374991058</v>
      </c>
      <c r="AY9">
        <v>0.91151508681654103</v>
      </c>
      <c r="BB9">
        <v>150.9365313697752</v>
      </c>
      <c r="BC9">
        <v>56.241829224631452</v>
      </c>
      <c r="BD9">
        <v>30.536043957051621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N9">
        <v>110.21676114097944</v>
      </c>
      <c r="BO9">
        <v>37.16644733083595</v>
      </c>
      <c r="BP9">
        <v>18.330753499317559</v>
      </c>
      <c r="BQ9">
        <v>-8.6586291925860142</v>
      </c>
      <c r="BR9">
        <v>-6.5276562930509909</v>
      </c>
      <c r="BS9">
        <v>-5.128283186271096</v>
      </c>
      <c r="BT9">
        <v>-4.152227097055623</v>
      </c>
      <c r="BU9">
        <v>-3.4406736725938147</v>
      </c>
      <c r="BV9">
        <v>-2.9039949993990937</v>
      </c>
      <c r="BW9">
        <v>-2.4880893505101103</v>
      </c>
      <c r="BZ9">
        <v>110.21676114097944</v>
      </c>
      <c r="CA9">
        <v>37.16644733083595</v>
      </c>
      <c r="CB9">
        <v>18.330753499317559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</row>
    <row r="10" spans="1:90">
      <c r="A10">
        <v>2008</v>
      </c>
      <c r="B10">
        <v>42.901792327916944</v>
      </c>
      <c r="C10">
        <v>20.097561159728684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M10">
        <v>110.94263428034657</v>
      </c>
      <c r="O10">
        <f t="shared" si="0"/>
        <v>110.94263428034657</v>
      </c>
      <c r="P10">
        <v>42.901792327916944</v>
      </c>
      <c r="Q10">
        <v>20.097561159728684</v>
      </c>
      <c r="R10">
        <v>12.859326896430256</v>
      </c>
      <c r="S10">
        <v>9.1226131527154806</v>
      </c>
      <c r="T10">
        <v>6.8774492856654792</v>
      </c>
      <c r="U10">
        <v>5.4030889422987167</v>
      </c>
      <c r="V10">
        <v>4.3747296120609285</v>
      </c>
      <c r="W10">
        <v>3.6250466675120188</v>
      </c>
      <c r="X10">
        <v>3.0596093662980803</v>
      </c>
      <c r="Y10">
        <v>2.6214168697199782</v>
      </c>
      <c r="AB10">
        <v>1</v>
      </c>
      <c r="AC10">
        <v>1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P10">
        <v>3.7589136042667679</v>
      </c>
      <c r="AQ10">
        <v>3.0005984723664212</v>
      </c>
      <c r="AR10">
        <v>2.5540693765710776</v>
      </c>
      <c r="AS10">
        <v>2.2107562929474001</v>
      </c>
      <c r="AT10">
        <v>1.9282478398403651</v>
      </c>
      <c r="AU10">
        <v>1.6869708163771344</v>
      </c>
      <c r="AV10">
        <v>1.4758447149421943</v>
      </c>
      <c r="AW10">
        <v>1.2878671620201905</v>
      </c>
      <c r="AX10">
        <v>1.1182872497427814</v>
      </c>
      <c r="AY10">
        <v>0.96371496156826464</v>
      </c>
      <c r="BB10">
        <v>161.26413082883465</v>
      </c>
      <c r="BC10">
        <v>60.304711314172607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N10">
        <v>118.3623385009177</v>
      </c>
      <c r="BO10">
        <v>40.207150154443923</v>
      </c>
      <c r="BP10">
        <v>-12.859326896430256</v>
      </c>
      <c r="BQ10">
        <v>-9.1226131527154806</v>
      </c>
      <c r="BR10">
        <v>-6.8774492856654792</v>
      </c>
      <c r="BS10">
        <v>-5.4030889422987167</v>
      </c>
      <c r="BT10">
        <v>-4.3747296120609285</v>
      </c>
      <c r="BU10">
        <v>-3.6250466675120188</v>
      </c>
      <c r="BV10">
        <v>-3.0596093662980803</v>
      </c>
      <c r="BW10">
        <v>-2.6214168697199782</v>
      </c>
      <c r="BZ10">
        <v>118.3623385009177</v>
      </c>
      <c r="CA10">
        <v>40.207150154443923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</row>
    <row r="11" spans="1:90">
      <c r="A11">
        <v>2009</v>
      </c>
      <c r="B11">
        <v>42.001054794959153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M11">
        <v>108.61335642785713</v>
      </c>
      <c r="O11">
        <f t="shared" si="0"/>
        <v>108.61335642785713</v>
      </c>
      <c r="P11">
        <v>42.001054794959153</v>
      </c>
      <c r="Q11">
        <v>19.675606116006588</v>
      </c>
      <c r="R11">
        <v>12.589341011093451</v>
      </c>
      <c r="S11">
        <v>8.9310808269212902</v>
      </c>
      <c r="T11">
        <v>6.7330549290086914</v>
      </c>
      <c r="U11">
        <v>5.2896492760246625</v>
      </c>
      <c r="V11">
        <v>4.2828806951670524</v>
      </c>
      <c r="W11">
        <v>3.5489375957232645</v>
      </c>
      <c r="X11">
        <v>2.9953718404774965</v>
      </c>
      <c r="Y11">
        <v>2.5663793424754799</v>
      </c>
      <c r="AB11">
        <v>1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P11">
        <v>3.7376947321337068</v>
      </c>
      <c r="AQ11">
        <v>2.9793796002333601</v>
      </c>
      <c r="AR11">
        <v>2.5328505044380165</v>
      </c>
      <c r="AS11">
        <v>2.1895374208143394</v>
      </c>
      <c r="AT11">
        <v>1.9070289677073042</v>
      </c>
      <c r="AU11">
        <v>1.6657519442440736</v>
      </c>
      <c r="AV11">
        <v>1.4546258428091334</v>
      </c>
      <c r="AW11">
        <v>1.2666482898871296</v>
      </c>
      <c r="AX11">
        <v>1.0970683776097205</v>
      </c>
      <c r="AY11">
        <v>0.94249608943520369</v>
      </c>
      <c r="BB11">
        <v>156.987121251178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N11">
        <v>114.98606645621885</v>
      </c>
      <c r="BO11">
        <v>-19.675606116006588</v>
      </c>
      <c r="BP11">
        <v>-12.589341011093451</v>
      </c>
      <c r="BQ11">
        <v>-8.9310808269212902</v>
      </c>
      <c r="BR11">
        <v>-6.7330549290086914</v>
      </c>
      <c r="BS11">
        <v>-5.2896492760246625</v>
      </c>
      <c r="BT11">
        <v>-4.2828806951670524</v>
      </c>
      <c r="BU11">
        <v>-3.5489375957232645</v>
      </c>
      <c r="BV11">
        <v>-2.9953718404774965</v>
      </c>
      <c r="BW11">
        <v>-2.5663793424754799</v>
      </c>
      <c r="BZ11">
        <v>114.98606645621885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</row>
    <row r="13" spans="1:90">
      <c r="M13" t="s">
        <v>18</v>
      </c>
      <c r="AB13" t="s">
        <v>19</v>
      </c>
    </row>
    <row r="14" spans="1:90">
      <c r="A14" s="6"/>
      <c r="P14" t="s">
        <v>20</v>
      </c>
    </row>
    <row r="17" spans="1:48">
      <c r="N17" cm="1">
        <f t="array" ref="N17:X26">M2:M11*_xlfn.ANCHORARRAY(A24)</f>
        <v>0</v>
      </c>
      <c r="O17">
        <v>38.670687919173041</v>
      </c>
      <c r="P17">
        <v>56.78616686242998</v>
      </c>
      <c r="Q17">
        <v>68.377268079403947</v>
      </c>
      <c r="R17">
        <v>76.600181554430137</v>
      </c>
      <c r="S17">
        <v>82.799356007867772</v>
      </c>
      <c r="T17">
        <v>87.669575990523526</v>
      </c>
      <c r="U17">
        <v>91.612856547794991</v>
      </c>
      <c r="V17">
        <v>94.880390158053416</v>
      </c>
      <c r="W17">
        <v>97.638251602497093</v>
      </c>
      <c r="X17">
        <v>100.00113641859444</v>
      </c>
      <c r="Z17" s="5" t="s">
        <v>21</v>
      </c>
      <c r="AK17" cm="1">
        <f t="array" ref="AK17:AT26">(B2:K11*(LN((B23:K23-A23:J23)*M2:M11))-((B23:K23-A23:J23)*M2:M11))*AB2:AK11</f>
        <v>101.13594336347339</v>
      </c>
      <c r="AL17">
        <v>33.640401340736823</v>
      </c>
      <c r="AM17">
        <v>16.348883464490179</v>
      </c>
      <c r="AN17">
        <v>8.7751268786046452</v>
      </c>
      <c r="AO17">
        <v>4.8641635795454619</v>
      </c>
      <c r="AP17">
        <v>2.646331272278982</v>
      </c>
      <c r="AQ17">
        <v>1.3101307761817504</v>
      </c>
      <c r="AR17">
        <v>0.47139502607396944</v>
      </c>
      <c r="AS17">
        <v>-6.981139987374041E-2</v>
      </c>
      <c r="AT17">
        <v>-0.4250496324386146</v>
      </c>
      <c r="AV17" cm="1">
        <f t="array" ref="AV17">SUM((B2:K11*(LN((B23:K23-A23:J23)*M2:M11))-((B23:K23-A23:J23)*M2:M11))*AB2:AK11)</f>
        <v>1655.2453231440045</v>
      </c>
    </row>
    <row r="18" spans="1:48">
      <c r="N18">
        <v>0</v>
      </c>
      <c r="O18">
        <v>39.21004240644956</v>
      </c>
      <c r="P18">
        <v>57.578184681624222</v>
      </c>
      <c r="Q18">
        <v>69.330951304368014</v>
      </c>
      <c r="R18">
        <v>77.668552816248166</v>
      </c>
      <c r="S18">
        <v>83.954189464665617</v>
      </c>
      <c r="T18">
        <v>88.892336219329138</v>
      </c>
      <c r="U18">
        <v>92.890615179204659</v>
      </c>
      <c r="V18">
        <v>96.203722297715728</v>
      </c>
      <c r="W18">
        <v>99.000048662888432</v>
      </c>
      <c r="X18">
        <v>101.39588951357051</v>
      </c>
      <c r="AK18">
        <v>103.0896224440386</v>
      </c>
      <c r="AL18">
        <v>34.364013739212879</v>
      </c>
      <c r="AM18">
        <v>16.739695035690268</v>
      </c>
      <c r="AN18">
        <v>9.0130009840601826</v>
      </c>
      <c r="AO18">
        <v>5.0190682519911336</v>
      </c>
      <c r="AP18">
        <v>2.7516389251001492</v>
      </c>
      <c r="AQ18">
        <v>1.3837838314804003</v>
      </c>
      <c r="AR18">
        <v>0.52385960432831169</v>
      </c>
      <c r="AS18">
        <v>-3.2053160919118806E-2</v>
      </c>
      <c r="AT18">
        <v>0</v>
      </c>
    </row>
    <row r="19" spans="1:48">
      <c r="N19">
        <v>0</v>
      </c>
      <c r="O19">
        <v>39.53436568002634</v>
      </c>
      <c r="P19">
        <v>58.054438829706477</v>
      </c>
      <c r="Q19">
        <v>69.904417684591209</v>
      </c>
      <c r="R19">
        <v>78.310983116175436</v>
      </c>
      <c r="S19">
        <v>84.648610992584864</v>
      </c>
      <c r="T19">
        <v>89.627603301667165</v>
      </c>
      <c r="U19">
        <v>93.658953761631821</v>
      </c>
      <c r="V19">
        <v>96.999465026643108</v>
      </c>
      <c r="W19">
        <v>99.818921020479323</v>
      </c>
      <c r="X19">
        <v>102.23457891036803</v>
      </c>
      <c r="AK19">
        <v>104.26798234066773</v>
      </c>
      <c r="AL19">
        <v>34.800810899335389</v>
      </c>
      <c r="AM19">
        <v>16.975769487001212</v>
      </c>
      <c r="AN19">
        <v>9.1567997776593941</v>
      </c>
      <c r="AO19">
        <v>5.1127888018156016</v>
      </c>
      <c r="AP19">
        <v>2.8154129407919801</v>
      </c>
      <c r="AQ19">
        <v>1.4284376068577607</v>
      </c>
      <c r="AR19">
        <v>0.55570984550903813</v>
      </c>
      <c r="AS19">
        <v>0</v>
      </c>
      <c r="AT19">
        <v>0</v>
      </c>
    </row>
    <row r="20" spans="1:48">
      <c r="N20">
        <v>0</v>
      </c>
      <c r="O20">
        <v>40.100196813074</v>
      </c>
      <c r="P20">
        <v>58.88533641302233</v>
      </c>
      <c r="Q20">
        <v>70.90491674871285</v>
      </c>
      <c r="R20">
        <v>79.431800196316132</v>
      </c>
      <c r="S20">
        <v>85.860134654213866</v>
      </c>
      <c r="T20">
        <v>90.910388227040343</v>
      </c>
      <c r="U20">
        <v>94.999436934067731</v>
      </c>
      <c r="V20">
        <v>98.387758888374947</v>
      </c>
      <c r="W20">
        <v>101.24756802692789</v>
      </c>
      <c r="X20">
        <v>103.69779974688521</v>
      </c>
      <c r="Z20" t="s">
        <v>37</v>
      </c>
      <c r="AK20">
        <v>106.33016718281583</v>
      </c>
      <c r="AL20">
        <v>35.565847897172105</v>
      </c>
      <c r="AM20">
        <v>17.389542698497529</v>
      </c>
      <c r="AN20">
        <v>9.4090303942320972</v>
      </c>
      <c r="AO20">
        <v>5.2773176332255654</v>
      </c>
      <c r="AP20">
        <v>2.9274770272490827</v>
      </c>
      <c r="AQ20">
        <v>1.5069911493836421</v>
      </c>
      <c r="AR20">
        <v>0</v>
      </c>
      <c r="AS20">
        <v>0</v>
      </c>
      <c r="AT20">
        <v>0</v>
      </c>
    </row>
    <row r="21" spans="1:48">
      <c r="A21" s="5" t="s">
        <v>42</v>
      </c>
      <c r="N21">
        <v>0</v>
      </c>
      <c r="O21">
        <v>40.580529480271544</v>
      </c>
      <c r="P21">
        <v>59.590683342613204</v>
      </c>
      <c r="Q21">
        <v>71.754237961226821</v>
      </c>
      <c r="R21">
        <v>80.383259078836119</v>
      </c>
      <c r="S21">
        <v>86.888594132271905</v>
      </c>
      <c r="T21">
        <v>91.999341217885046</v>
      </c>
      <c r="U21">
        <v>96.137369825956384</v>
      </c>
      <c r="V21">
        <v>99.566278157662765</v>
      </c>
      <c r="W21">
        <v>102.46034298223142</v>
      </c>
      <c r="X21">
        <v>104.9399243421116</v>
      </c>
      <c r="AK21">
        <v>108.0870211328062</v>
      </c>
      <c r="AL21">
        <v>36.218223277572974</v>
      </c>
      <c r="AM21">
        <v>17.742673210760842</v>
      </c>
      <c r="AN21">
        <v>9.6244816560776396</v>
      </c>
      <c r="AO21">
        <v>5.4179909238877135</v>
      </c>
      <c r="AP21">
        <v>3.0233976402171088</v>
      </c>
      <c r="AQ21">
        <v>0</v>
      </c>
      <c r="AR21">
        <v>0</v>
      </c>
      <c r="AS21">
        <v>0</v>
      </c>
      <c r="AT21">
        <v>0</v>
      </c>
    </row>
    <row r="22" spans="1:48">
      <c r="N22">
        <v>0</v>
      </c>
      <c r="O22">
        <v>41.099422245596571</v>
      </c>
      <c r="P22">
        <v>60.352654042928712</v>
      </c>
      <c r="Q22">
        <v>72.671740897643474</v>
      </c>
      <c r="R22">
        <v>81.411099082982275</v>
      </c>
      <c r="S22">
        <v>87.9996161781133</v>
      </c>
      <c r="T22">
        <v>93.175713068721478</v>
      </c>
      <c r="U22">
        <v>97.366653581465727</v>
      </c>
      <c r="V22">
        <v>100.83940647974313</v>
      </c>
      <c r="W22">
        <v>103.77047696488555</v>
      </c>
      <c r="X22">
        <v>106.28176409216587</v>
      </c>
      <c r="AK22">
        <v>109.99129818706346</v>
      </c>
      <c r="AL22">
        <v>36.925961799007112</v>
      </c>
      <c r="AM22">
        <v>18.126066597539857</v>
      </c>
      <c r="AN22">
        <v>9.8585869269197168</v>
      </c>
      <c r="AO22">
        <v>5.5709809796224183</v>
      </c>
      <c r="AP22">
        <v>0</v>
      </c>
      <c r="AQ22">
        <v>0</v>
      </c>
      <c r="AR22">
        <v>0</v>
      </c>
      <c r="AS22">
        <v>0</v>
      </c>
      <c r="AT22">
        <v>0</v>
      </c>
    </row>
    <row r="23" spans="1:48">
      <c r="A23" s="7" cm="1">
        <f t="array" ref="A23:K23">_xlfn.ANCHORARRAY(A26)</f>
        <v>0</v>
      </c>
      <c r="B23" s="7">
        <v>0.28764497963931362</v>
      </c>
      <c r="C23" s="8">
        <v>0.42239372221872901</v>
      </c>
      <c r="D23" s="8">
        <v>0.50861205069849291</v>
      </c>
      <c r="E23" s="8">
        <v>0.56977671847072131</v>
      </c>
      <c r="F23" s="8">
        <v>0.61588816632411014</v>
      </c>
      <c r="G23" s="8">
        <v>0.6521144245866487</v>
      </c>
      <c r="H23" s="8">
        <v>0.68144581010477601</v>
      </c>
      <c r="I23" s="8">
        <v>0.7057507730978847</v>
      </c>
      <c r="J23" s="8">
        <v>0.72626463105389327</v>
      </c>
      <c r="K23" s="8">
        <v>0.74384052616693008</v>
      </c>
      <c r="N23">
        <v>0</v>
      </c>
      <c r="O23">
        <v>39.884011821555134</v>
      </c>
      <c r="P23">
        <v>58.567878471048225</v>
      </c>
      <c r="Q23">
        <v>70.52265980126144</v>
      </c>
      <c r="R23">
        <v>79.003573793043955</v>
      </c>
      <c r="S23">
        <v>85.397252325517201</v>
      </c>
      <c r="T23">
        <v>90.420279372975273</v>
      </c>
      <c r="U23">
        <v>94.487283525853215</v>
      </c>
      <c r="V23">
        <v>97.857338628344976</v>
      </c>
      <c r="W23">
        <v>100.70173019133725</v>
      </c>
      <c r="X23">
        <v>103.13875241693553</v>
      </c>
      <c r="AK23">
        <v>105.54132724110734</v>
      </c>
      <c r="AL23">
        <v>35.27310865564818</v>
      </c>
      <c r="AM23">
        <v>17.23116955793467</v>
      </c>
      <c r="AN23">
        <v>9.3124598588537406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</row>
    <row r="24" spans="1:48">
      <c r="A24" cm="1">
        <f t="array" ref="A24:K24">_xlfn.ANCHORARRAY(A23)/K23</f>
        <v>0</v>
      </c>
      <c r="B24">
        <v>0.38670248463278989</v>
      </c>
      <c r="C24">
        <v>0.56785521541204231</v>
      </c>
      <c r="D24">
        <v>0.68376491036245579</v>
      </c>
      <c r="E24">
        <v>0.76599311065615971</v>
      </c>
      <c r="F24">
        <v>0.82798415071282994</v>
      </c>
      <c r="G24">
        <v>0.8766857970848223</v>
      </c>
      <c r="H24">
        <v>0.91611815454089462</v>
      </c>
      <c r="I24">
        <v>0.94879311931910337</v>
      </c>
      <c r="J24">
        <v>0.97637142035859914</v>
      </c>
      <c r="K24">
        <v>1</v>
      </c>
      <c r="N24">
        <v>0</v>
      </c>
      <c r="O24">
        <v>40.719770228795753</v>
      </c>
      <c r="P24">
        <v>59.795152122591254</v>
      </c>
      <c r="Q24">
        <v>72.000442580325313</v>
      </c>
      <c r="R24">
        <v>80.659071772911332</v>
      </c>
      <c r="S24">
        <v>87.186728065962328</v>
      </c>
      <c r="T24">
        <v>92.315011252233418</v>
      </c>
      <c r="U24">
        <v>96.467238349289048</v>
      </c>
      <c r="V24">
        <v>99.907912021882865</v>
      </c>
      <c r="W24">
        <v>102.81190702128195</v>
      </c>
      <c r="X24">
        <v>105.29999637179206</v>
      </c>
      <c r="AK24">
        <v>108.59737090444463</v>
      </c>
      <c r="AL24">
        <v>36.407835800775295</v>
      </c>
      <c r="AM24">
        <v>17.845359596300185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</row>
    <row r="25" spans="1:48">
      <c r="N25">
        <v>0</v>
      </c>
      <c r="O25">
        <v>42.901792327916944</v>
      </c>
      <c r="P25">
        <v>62.999353487645628</v>
      </c>
      <c r="Q25">
        <v>75.858680384075882</v>
      </c>
      <c r="R25">
        <v>84.98129353679137</v>
      </c>
      <c r="S25">
        <v>91.858742822456847</v>
      </c>
      <c r="T25">
        <v>97.261831764755556</v>
      </c>
      <c r="U25">
        <v>101.63656137681649</v>
      </c>
      <c r="V25">
        <v>105.26160804432851</v>
      </c>
      <c r="W25">
        <v>108.32121741062659</v>
      </c>
      <c r="X25">
        <v>110.94263428034657</v>
      </c>
      <c r="AK25">
        <v>116.65617112238614</v>
      </c>
      <c r="AL25">
        <v>39.407887434213485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</row>
    <row r="26" spans="1:48">
      <c r="A26" s="11" cm="1">
        <f t="array" ref="A26:K26">(A1:K1)^B34/((A1:K1)^B34 +( B35 ^ B34))</f>
        <v>0</v>
      </c>
      <c r="B26" s="7">
        <v>0.28764497963931362</v>
      </c>
      <c r="C26" s="8">
        <v>0.42239372221872901</v>
      </c>
      <c r="D26" s="8">
        <v>0.50861205069849291</v>
      </c>
      <c r="E26" s="8">
        <v>0.56977671847072131</v>
      </c>
      <c r="F26" s="8">
        <v>0.61588816632411014</v>
      </c>
      <c r="G26" s="8">
        <v>0.6521144245866487</v>
      </c>
      <c r="H26" s="8">
        <v>0.68144581010477601</v>
      </c>
      <c r="I26" s="8">
        <v>0.7057507730978847</v>
      </c>
      <c r="J26" s="8">
        <v>0.72626463105389327</v>
      </c>
      <c r="K26" s="8">
        <v>0.74384052616693008</v>
      </c>
      <c r="N26">
        <v>0</v>
      </c>
      <c r="O26">
        <v>42.001054794959153</v>
      </c>
      <c r="P26">
        <v>61.676660910965737</v>
      </c>
      <c r="Q26">
        <v>74.266001922059189</v>
      </c>
      <c r="R26">
        <v>83.197082748980478</v>
      </c>
      <c r="S26">
        <v>89.930137677989165</v>
      </c>
      <c r="T26">
        <v>95.219786954013827</v>
      </c>
      <c r="U26">
        <v>99.502667649180893</v>
      </c>
      <c r="V26">
        <v>103.05160524490415</v>
      </c>
      <c r="W26">
        <v>106.04697708538164</v>
      </c>
      <c r="X26">
        <v>108.61335642785713</v>
      </c>
      <c r="AK26">
        <v>113.31572063459581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</row>
    <row r="29" spans="1:48">
      <c r="N29" cm="1">
        <f t="array" ref="N29:W38">O17:X26-N17:W26</f>
        <v>38.670687919173041</v>
      </c>
      <c r="O29">
        <v>18.115478943256939</v>
      </c>
      <c r="P29">
        <v>11.591101216973968</v>
      </c>
      <c r="Q29">
        <v>8.2229134750261892</v>
      </c>
      <c r="R29">
        <v>6.1991744534376352</v>
      </c>
      <c r="S29">
        <v>4.8702199826557546</v>
      </c>
      <c r="T29">
        <v>3.9432805572714642</v>
      </c>
      <c r="U29">
        <v>3.2675336102584254</v>
      </c>
      <c r="V29">
        <v>2.7578614444436766</v>
      </c>
      <c r="W29">
        <v>2.362884816097349</v>
      </c>
      <c r="Y29" cm="1">
        <f t="array" ref="Y29:AH38">AB2:AK11*_xlfn.ANCHORARRAY(N29)</f>
        <v>38.670687919173041</v>
      </c>
      <c r="Z29">
        <v>18.115478943256939</v>
      </c>
      <c r="AA29">
        <v>11.591101216973968</v>
      </c>
      <c r="AB29">
        <v>8.2229134750261892</v>
      </c>
      <c r="AC29">
        <v>6.1991744534376352</v>
      </c>
      <c r="AD29">
        <v>4.8702199826557546</v>
      </c>
      <c r="AE29">
        <v>3.9432805572714642</v>
      </c>
      <c r="AF29">
        <v>3.2675336102584254</v>
      </c>
      <c r="AG29">
        <v>2.7578614444436766</v>
      </c>
      <c r="AH29">
        <v>2.362884816097349</v>
      </c>
    </row>
    <row r="30" spans="1:48">
      <c r="N30">
        <v>39.21004240644956</v>
      </c>
      <c r="O30">
        <v>18.368142275174662</v>
      </c>
      <c r="P30">
        <v>11.752766622743792</v>
      </c>
      <c r="Q30">
        <v>8.3376015118801519</v>
      </c>
      <c r="R30">
        <v>6.2856366484174515</v>
      </c>
      <c r="S30">
        <v>4.9381467546635207</v>
      </c>
      <c r="T30">
        <v>3.9982789598755204</v>
      </c>
      <c r="U30">
        <v>3.3131071185110699</v>
      </c>
      <c r="V30">
        <v>2.7963263651727033</v>
      </c>
      <c r="W30">
        <v>2.3958408506820774</v>
      </c>
      <c r="Y30">
        <v>39.21004240644956</v>
      </c>
      <c r="Z30">
        <v>18.368142275174662</v>
      </c>
      <c r="AA30">
        <v>11.752766622743792</v>
      </c>
      <c r="AB30">
        <v>8.3376015118801519</v>
      </c>
      <c r="AC30">
        <v>6.2856366484174515</v>
      </c>
      <c r="AD30">
        <v>4.9381467546635207</v>
      </c>
      <c r="AE30">
        <v>3.9982789598755204</v>
      </c>
      <c r="AF30">
        <v>3.3131071185110699</v>
      </c>
      <c r="AG30">
        <v>2.7963263651727033</v>
      </c>
      <c r="AH30">
        <v>0</v>
      </c>
    </row>
    <row r="31" spans="1:48">
      <c r="N31">
        <v>39.53436568002634</v>
      </c>
      <c r="O31">
        <v>18.520073149680137</v>
      </c>
      <c r="P31">
        <v>11.849978854884732</v>
      </c>
      <c r="Q31">
        <v>8.4065654315842266</v>
      </c>
      <c r="R31">
        <v>6.337627876409428</v>
      </c>
      <c r="S31">
        <v>4.9789923090823009</v>
      </c>
      <c r="T31">
        <v>4.0313504599646564</v>
      </c>
      <c r="U31">
        <v>3.3405112650112869</v>
      </c>
      <c r="V31">
        <v>2.8194559938362147</v>
      </c>
      <c r="W31">
        <v>2.4156578898887062</v>
      </c>
      <c r="Y31">
        <v>39.53436568002634</v>
      </c>
      <c r="Z31">
        <v>18.520073149680137</v>
      </c>
      <c r="AA31">
        <v>11.849978854884732</v>
      </c>
      <c r="AB31">
        <v>8.4065654315842266</v>
      </c>
      <c r="AC31">
        <v>6.337627876409428</v>
      </c>
      <c r="AD31">
        <v>4.9789923090823009</v>
      </c>
      <c r="AE31">
        <v>4.0313504599646564</v>
      </c>
      <c r="AF31">
        <v>3.3405112650112869</v>
      </c>
      <c r="AG31">
        <v>0</v>
      </c>
      <c r="AH31">
        <v>0</v>
      </c>
    </row>
    <row r="32" spans="1:48">
      <c r="N32">
        <v>40.100196813074</v>
      </c>
      <c r="O32">
        <v>18.78513959994833</v>
      </c>
      <c r="P32">
        <v>12.01958033569052</v>
      </c>
      <c r="Q32">
        <v>8.5268834476032822</v>
      </c>
      <c r="R32">
        <v>6.4283344578977335</v>
      </c>
      <c r="S32">
        <v>5.0502535728264775</v>
      </c>
      <c r="T32">
        <v>4.0890487070273878</v>
      </c>
      <c r="U32">
        <v>3.3883219543072158</v>
      </c>
      <c r="V32">
        <v>2.8598091385529472</v>
      </c>
      <c r="W32">
        <v>2.4502317199573156</v>
      </c>
      <c r="Y32">
        <v>40.100196813074</v>
      </c>
      <c r="Z32">
        <v>18.78513959994833</v>
      </c>
      <c r="AA32">
        <v>12.01958033569052</v>
      </c>
      <c r="AB32">
        <v>8.5268834476032822</v>
      </c>
      <c r="AC32">
        <v>6.4283344578977335</v>
      </c>
      <c r="AD32">
        <v>5.0502535728264775</v>
      </c>
      <c r="AE32">
        <v>4.0890487070273878</v>
      </c>
      <c r="AF32">
        <v>0</v>
      </c>
      <c r="AG32">
        <v>0</v>
      </c>
      <c r="AH32">
        <v>0</v>
      </c>
    </row>
    <row r="33" spans="1:34">
      <c r="N33">
        <v>40.580529480271544</v>
      </c>
      <c r="O33">
        <v>19.01015386234166</v>
      </c>
      <c r="P33">
        <v>12.163554618613617</v>
      </c>
      <c r="Q33">
        <v>8.6290211176092981</v>
      </c>
      <c r="R33">
        <v>6.5053350534357861</v>
      </c>
      <c r="S33">
        <v>5.1107470856131414</v>
      </c>
      <c r="T33">
        <v>4.1380286080713375</v>
      </c>
      <c r="U33">
        <v>3.4289083317063813</v>
      </c>
      <c r="V33">
        <v>2.8940648245686589</v>
      </c>
      <c r="W33">
        <v>2.4795813598801715</v>
      </c>
      <c r="Y33">
        <v>40.580529480271544</v>
      </c>
      <c r="Z33">
        <v>19.01015386234166</v>
      </c>
      <c r="AA33">
        <v>12.163554618613617</v>
      </c>
      <c r="AB33">
        <v>8.6290211176092981</v>
      </c>
      <c r="AC33">
        <v>6.5053350534357861</v>
      </c>
      <c r="AD33">
        <v>5.1107470856131414</v>
      </c>
      <c r="AE33">
        <v>0</v>
      </c>
      <c r="AF33">
        <v>0</v>
      </c>
      <c r="AG33">
        <v>0</v>
      </c>
      <c r="AH33">
        <v>0</v>
      </c>
    </row>
    <row r="34" spans="1:34">
      <c r="A34" t="s">
        <v>22</v>
      </c>
      <c r="B34">
        <v>0.85680910435127833</v>
      </c>
      <c r="N34">
        <v>41.099422245596571</v>
      </c>
      <c r="O34">
        <v>19.253231797332141</v>
      </c>
      <c r="P34">
        <v>12.319086854714762</v>
      </c>
      <c r="Q34">
        <v>8.7393581853388014</v>
      </c>
      <c r="R34">
        <v>6.5885170951310243</v>
      </c>
      <c r="S34">
        <v>5.1760968906081786</v>
      </c>
      <c r="T34">
        <v>4.1909405127442483</v>
      </c>
      <c r="U34">
        <v>3.4727528982774061</v>
      </c>
      <c r="V34">
        <v>2.9310704851424134</v>
      </c>
      <c r="W34">
        <v>2.5112871272803261</v>
      </c>
      <c r="Y34">
        <v>41.099422245596571</v>
      </c>
      <c r="Z34">
        <v>19.253231797332141</v>
      </c>
      <c r="AA34">
        <v>12.319086854714762</v>
      </c>
      <c r="AB34">
        <v>8.7393581853388014</v>
      </c>
      <c r="AC34">
        <v>6.5885170951310243</v>
      </c>
      <c r="AD34">
        <v>0</v>
      </c>
      <c r="AE34">
        <v>0</v>
      </c>
      <c r="AF34">
        <v>0</v>
      </c>
      <c r="AG34">
        <v>0</v>
      </c>
      <c r="AH34">
        <v>0</v>
      </c>
    </row>
    <row r="35" spans="1:34">
      <c r="A35" t="s">
        <v>23</v>
      </c>
      <c r="B35">
        <v>2.8817653845639661</v>
      </c>
      <c r="N35">
        <v>39.884011821555134</v>
      </c>
      <c r="O35">
        <v>18.683866649493091</v>
      </c>
      <c r="P35">
        <v>11.954781330213216</v>
      </c>
      <c r="Q35">
        <v>8.4809139917825149</v>
      </c>
      <c r="R35">
        <v>6.3936785324732455</v>
      </c>
      <c r="S35">
        <v>5.023027047458072</v>
      </c>
      <c r="T35">
        <v>4.0670041528779421</v>
      </c>
      <c r="U35">
        <v>3.3700551024917615</v>
      </c>
      <c r="V35">
        <v>2.8443915629922714</v>
      </c>
      <c r="W35">
        <v>2.4370222255982839</v>
      </c>
      <c r="Y35">
        <v>39.884011821555134</v>
      </c>
      <c r="Z35">
        <v>18.683866649493091</v>
      </c>
      <c r="AA35">
        <v>11.954781330213216</v>
      </c>
      <c r="AB35">
        <v>8.4809139917825149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</row>
    <row r="36" spans="1:34">
      <c r="A36" t="s">
        <v>24</v>
      </c>
      <c r="B36" s="26" cm="1">
        <f t="array" ref="B36">SUM((B2:K11*(LN((B24:K24-A24:J24)*M2:M11))-((B24:K24-A24:J24)*M2:M11))*AB2:AK11)</f>
        <v>1688.1345397556549</v>
      </c>
      <c r="N36">
        <v>40.719770228795753</v>
      </c>
      <c r="O36">
        <v>19.075381893795502</v>
      </c>
      <c r="P36">
        <v>12.205290457734058</v>
      </c>
      <c r="Q36">
        <v>8.6586291925860195</v>
      </c>
      <c r="R36">
        <v>6.5276562930509954</v>
      </c>
      <c r="S36">
        <v>5.1282831862710907</v>
      </c>
      <c r="T36">
        <v>4.1522270970556292</v>
      </c>
      <c r="U36">
        <v>3.4406736725938174</v>
      </c>
      <c r="V36">
        <v>2.9039949993990888</v>
      </c>
      <c r="W36">
        <v>2.4880893505101085</v>
      </c>
      <c r="Y36">
        <v>40.719770228795753</v>
      </c>
      <c r="Z36">
        <v>19.075381893795502</v>
      </c>
      <c r="AA36">
        <v>12.205290457734058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</row>
    <row r="37" spans="1:34">
      <c r="A37" s="5" t="s">
        <v>25</v>
      </c>
      <c r="N37">
        <v>42.901792327916944</v>
      </c>
      <c r="O37">
        <v>20.097561159728684</v>
      </c>
      <c r="P37">
        <v>12.859326896430254</v>
      </c>
      <c r="Q37">
        <v>9.1226131527154877</v>
      </c>
      <c r="R37">
        <v>6.8774492856654774</v>
      </c>
      <c r="S37">
        <v>5.4030889422987087</v>
      </c>
      <c r="T37">
        <v>4.374729612060932</v>
      </c>
      <c r="U37">
        <v>3.6250466675120236</v>
      </c>
      <c r="V37">
        <v>3.0596093662980763</v>
      </c>
      <c r="W37">
        <v>2.6214168697199796</v>
      </c>
      <c r="Y37">
        <v>42.901792327916944</v>
      </c>
      <c r="Z37">
        <v>20.097561159728684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</row>
    <row r="38" spans="1:34">
      <c r="N38">
        <v>42.001054794959153</v>
      </c>
      <c r="O38">
        <v>19.675606116006584</v>
      </c>
      <c r="P38">
        <v>12.589341011093452</v>
      </c>
      <c r="Q38">
        <v>8.9310808269212885</v>
      </c>
      <c r="R38">
        <v>6.7330549290086879</v>
      </c>
      <c r="S38">
        <v>5.2896492760246616</v>
      </c>
      <c r="T38">
        <v>4.2828806951670657</v>
      </c>
      <c r="U38">
        <v>3.5489375957232596</v>
      </c>
      <c r="V38">
        <v>2.9953718404774889</v>
      </c>
      <c r="W38">
        <v>2.5663793424754857</v>
      </c>
      <c r="Y38">
        <v>42.001054794959153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</row>
    <row r="39" spans="1:34">
      <c r="G39" s="9"/>
    </row>
    <row r="40" spans="1:34">
      <c r="G40" s="9"/>
    </row>
    <row r="41" spans="1:34">
      <c r="G41" s="9"/>
    </row>
    <row r="42" spans="1:34">
      <c r="G42" s="9"/>
    </row>
    <row r="43" spans="1:34">
      <c r="G43" s="9"/>
    </row>
    <row r="44" spans="1:34">
      <c r="G44" s="9"/>
    </row>
    <row r="45" spans="1:34">
      <c r="G45" s="9"/>
    </row>
    <row r="46" spans="1:34">
      <c r="G46" s="9"/>
    </row>
    <row r="47" spans="1:34">
      <c r="G47" s="9"/>
    </row>
    <row r="48" spans="1:34">
      <c r="G48" s="9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A4CB5-BBD2-49D9-8C0D-AAD3BEF18DF0}">
  <dimension ref="A1:DF229"/>
  <sheetViews>
    <sheetView tabSelected="1" zoomScaleNormal="100" workbookViewId="0"/>
  </sheetViews>
  <sheetFormatPr defaultRowHeight="15"/>
  <cols>
    <col min="1" max="1" width="21.5703125" customWidth="1"/>
    <col min="2" max="4" width="9.28515625" bestFit="1" customWidth="1"/>
    <col min="5" max="5" width="9.28515625" customWidth="1"/>
    <col min="6" max="8" width="9.28515625" bestFit="1" customWidth="1"/>
    <col min="9" max="10" width="10.7109375" customWidth="1"/>
    <col min="11" max="12" width="10" customWidth="1"/>
    <col min="14" max="14" width="9.7109375" bestFit="1" customWidth="1"/>
    <col min="15" max="15" width="11.28515625" customWidth="1"/>
    <col min="16" max="16" width="10.85546875" customWidth="1"/>
    <col min="21" max="21" width="10.5703125" bestFit="1" customWidth="1"/>
    <col min="27" max="27" width="20.140625" customWidth="1"/>
    <col min="29" max="29" width="12.28515625" bestFit="1" customWidth="1"/>
    <col min="30" max="30" width="11" customWidth="1"/>
    <col min="31" max="31" width="13.85546875" customWidth="1"/>
    <col min="37" max="37" width="14.7109375" customWidth="1"/>
    <col min="38" max="38" width="16.28515625" customWidth="1"/>
    <col min="39" max="39" width="15.28515625" customWidth="1"/>
    <col min="40" max="40" width="11.7109375" bestFit="1" customWidth="1"/>
    <col min="44" max="44" width="11.7109375" bestFit="1" customWidth="1"/>
    <col min="49" max="49" width="9.140625" customWidth="1"/>
    <col min="97" max="97" width="16" customWidth="1"/>
    <col min="109" max="109" width="14.5703125" customWidth="1"/>
  </cols>
  <sheetData>
    <row r="1" spans="1:110" ht="18" customHeight="1">
      <c r="A1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M1" t="s">
        <v>36</v>
      </c>
      <c r="O1" t="s">
        <v>226</v>
      </c>
      <c r="P1" t="s">
        <v>13</v>
      </c>
      <c r="Q1" s="169" cm="1">
        <f t="array" ref="Q1:Z1">B24:K24-A24:J24</f>
        <v>0.35456469428141951</v>
      </c>
      <c r="R1" s="107">
        <v>0.16003164176956025</v>
      </c>
      <c r="S1" s="107">
        <v>0.11140989124788503</v>
      </c>
      <c r="T1" s="107">
        <v>8.5413539453213505E-2</v>
      </c>
      <c r="U1" s="76">
        <v>6.89089088462852E-2</v>
      </c>
      <c r="V1" s="107">
        <v>5.7439128011032681E-2</v>
      </c>
      <c r="W1" s="107">
        <v>4.8997013304050263E-2</v>
      </c>
      <c r="X1" s="107">
        <v>4.252778507804611E-2</v>
      </c>
      <c r="Y1" s="107">
        <v>3.7418898547242008E-2</v>
      </c>
      <c r="Z1" s="107">
        <v>3.3288499461265442E-2</v>
      </c>
      <c r="AO1" s="5" t="s">
        <v>14</v>
      </c>
      <c r="BB1" s="5" t="s">
        <v>15</v>
      </c>
      <c r="BN1" t="s">
        <v>16</v>
      </c>
      <c r="CS1" s="73" t="s">
        <v>208</v>
      </c>
      <c r="CT1" s="194" t="s">
        <v>210</v>
      </c>
      <c r="CU1" s="194"/>
      <c r="CV1" s="194"/>
      <c r="CW1" s="194"/>
      <c r="CX1" s="194"/>
      <c r="CY1" s="194"/>
      <c r="CZ1" s="194"/>
      <c r="DA1" s="194"/>
      <c r="DB1" s="194"/>
      <c r="DC1" s="194"/>
      <c r="DE1" t="s">
        <v>209</v>
      </c>
      <c r="DF1" s="74"/>
    </row>
    <row r="2" spans="1:110">
      <c r="A2">
        <v>2000</v>
      </c>
      <c r="B2">
        <v>42</v>
      </c>
      <c r="C2">
        <v>18</v>
      </c>
      <c r="D2">
        <v>11</v>
      </c>
      <c r="E2">
        <v>9</v>
      </c>
      <c r="F2">
        <v>8</v>
      </c>
      <c r="G2">
        <v>5</v>
      </c>
      <c r="H2">
        <v>3</v>
      </c>
      <c r="I2">
        <v>2</v>
      </c>
      <c r="J2">
        <v>1</v>
      </c>
      <c r="K2">
        <v>1</v>
      </c>
      <c r="L2">
        <f>N2/SUM(B2:K2)</f>
        <v>1.0000113641859401</v>
      </c>
      <c r="M2" cm="1">
        <f t="array" ref="M2:M11">N2:N11/0.8</f>
        <v>125.0014205232425</v>
      </c>
      <c r="N2">
        <v>100.001136418594</v>
      </c>
      <c r="O2" s="107">
        <f>SUM(Q2:Z2)</f>
        <v>100.00113641859402</v>
      </c>
      <c r="Q2" s="107" cm="1">
        <f t="array" ref="Q2:Z11">_xlfn.ANCHORARRAY(Q1)*M2:M11*B33</f>
        <v>35.456872362053311</v>
      </c>
      <c r="R2" s="107">
        <v>16.003346039889362</v>
      </c>
      <c r="S2" s="107">
        <v>11.141115733060474</v>
      </c>
      <c r="T2" s="107">
        <v>8.5414510108557646</v>
      </c>
      <c r="U2" s="76">
        <v>6.8909691939938256</v>
      </c>
      <c r="V2" s="107">
        <v>5.7439780759963632</v>
      </c>
      <c r="W2" s="107">
        <v>4.8997570115219959</v>
      </c>
      <c r="X2" s="107">
        <v>4.2528268371703355</v>
      </c>
      <c r="Y2" s="107">
        <v>3.7419323782562772</v>
      </c>
      <c r="Z2" s="107">
        <v>3.3288877757962987</v>
      </c>
      <c r="AC2">
        <v>1</v>
      </c>
      <c r="AD2">
        <v>1</v>
      </c>
      <c r="AE2">
        <v>1</v>
      </c>
      <c r="AF2">
        <v>1</v>
      </c>
      <c r="AG2">
        <v>1</v>
      </c>
      <c r="AH2">
        <v>1</v>
      </c>
      <c r="AI2">
        <v>1</v>
      </c>
      <c r="AJ2">
        <v>1</v>
      </c>
      <c r="AK2">
        <v>1</v>
      </c>
      <c r="AL2">
        <v>1</v>
      </c>
      <c r="AQ2" s="4" cm="1">
        <f t="array" ref="AQ2:AZ11">LN(Q2:Z11)</f>
        <v>3.5683170948963006</v>
      </c>
      <c r="AR2">
        <v>2.7727978278687604</v>
      </c>
      <c r="AS2">
        <v>2.4106423850548619</v>
      </c>
      <c r="AT2">
        <v>2.1449309009621698</v>
      </c>
      <c r="AU2">
        <v>1.930211741895455</v>
      </c>
      <c r="AV2">
        <v>1.748152014885638</v>
      </c>
      <c r="AW2">
        <v>1.5891856144016747</v>
      </c>
      <c r="AX2">
        <v>1.4475838999877058</v>
      </c>
      <c r="AY2">
        <v>1.3196021566721206</v>
      </c>
      <c r="AZ2">
        <v>1.202638246939135</v>
      </c>
      <c r="BC2" cm="1">
        <f t="array" ref="BC2:BL11">_xlfn.ANCHORARRAY(AQ2)*B2:K11</f>
        <v>149.86931798564461</v>
      </c>
      <c r="BD2">
        <v>49.910360901637688</v>
      </c>
      <c r="BE2">
        <v>26.51706623560348</v>
      </c>
      <c r="BF2">
        <v>19.304378108659527</v>
      </c>
      <c r="BG2">
        <v>15.44169393516364</v>
      </c>
      <c r="BH2">
        <v>8.7407600744281897</v>
      </c>
      <c r="BI2">
        <v>4.7675568432050239</v>
      </c>
      <c r="BJ2">
        <v>2.8951677999754115</v>
      </c>
      <c r="BK2">
        <v>1.3196021566721206</v>
      </c>
      <c r="BL2">
        <v>1.202638246939135</v>
      </c>
      <c r="BO2" cm="1">
        <f t="array" ref="BO2:BX11">_xlfn.ANCHORARRAY(BC2)-_xlfn.ANCHORARRAY(Q2)</f>
        <v>114.41244562359131</v>
      </c>
      <c r="BP2">
        <v>33.907014861748323</v>
      </c>
      <c r="BQ2">
        <v>15.375950502543006</v>
      </c>
      <c r="BR2">
        <v>10.762927097803763</v>
      </c>
      <c r="BS2">
        <v>8.5507247411698142</v>
      </c>
      <c r="BT2">
        <v>2.9967819984318265</v>
      </c>
      <c r="BU2">
        <v>-0.13220016831697201</v>
      </c>
      <c r="BV2">
        <v>-1.357659037194924</v>
      </c>
      <c r="BW2">
        <v>-2.4223302215841569</v>
      </c>
      <c r="BX2">
        <v>-2.1262495288571639</v>
      </c>
      <c r="CA2" cm="1">
        <f t="array" ref="CA2:CJ11">_xlfn.ANCHORARRAY(BO2)*AC2:AL11</f>
        <v>114.41244562359131</v>
      </c>
      <c r="CB2">
        <v>33.907014861748323</v>
      </c>
      <c r="CC2">
        <v>15.375950502543006</v>
      </c>
      <c r="CD2">
        <v>10.762927097803763</v>
      </c>
      <c r="CE2">
        <v>8.5507247411698142</v>
      </c>
      <c r="CF2">
        <v>2.9967819984318265</v>
      </c>
      <c r="CG2">
        <v>-0.13220016831697201</v>
      </c>
      <c r="CH2">
        <v>-1.357659037194924</v>
      </c>
      <c r="CI2">
        <v>-2.4223302215841569</v>
      </c>
      <c r="CJ2">
        <v>-2.1262495288571639</v>
      </c>
      <c r="CM2">
        <f>SUM(_xlfn.ANCHORARRAY(CA2))</f>
        <v>1684.6282619455628</v>
      </c>
      <c r="CS2" s="74"/>
      <c r="CT2" cm="1">
        <f t="array" ref="CT2:DC11">_xlfn.ANCHORARRAY(Q2)-_xlfn.ANCHORARRAY(Q2)*AC2:AL11</f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E2">
        <f>SUM(_xlfn.ANCHORARRAY(CT2))</f>
        <v>255.81819192451158</v>
      </c>
      <c r="DF2" s="74"/>
    </row>
    <row r="3" spans="1:110">
      <c r="A3">
        <v>2001</v>
      </c>
      <c r="B3">
        <v>40</v>
      </c>
      <c r="C3">
        <v>19</v>
      </c>
      <c r="D3">
        <v>9</v>
      </c>
      <c r="E3">
        <v>10</v>
      </c>
      <c r="F3">
        <v>9</v>
      </c>
      <c r="G3">
        <v>5</v>
      </c>
      <c r="H3">
        <v>3</v>
      </c>
      <c r="I3">
        <v>3</v>
      </c>
      <c r="J3">
        <v>1</v>
      </c>
      <c r="K3">
        <v>0</v>
      </c>
      <c r="L3">
        <f t="shared" ref="L3:L11" si="0">N3/SUM(B3:K3)</f>
        <v>1.02420090417748</v>
      </c>
      <c r="M3">
        <v>126.74486189196313</v>
      </c>
      <c r="N3">
        <v>101.39588951357051</v>
      </c>
      <c r="O3" s="107">
        <f t="shared" ref="O2:O11" si="1">SUM(Q3:Z3)</f>
        <v>101.39588951357048</v>
      </c>
      <c r="Q3" s="107">
        <v>35.951402566771712</v>
      </c>
      <c r="R3" s="107">
        <v>16.226550667541627</v>
      </c>
      <c r="S3" s="107">
        <v>11.296505023689456</v>
      </c>
      <c r="T3" s="107">
        <v>8.6605818093610321</v>
      </c>
      <c r="U3" s="76">
        <v>6.9870801078786346</v>
      </c>
      <c r="V3" s="107">
        <v>5.8240914775625026</v>
      </c>
      <c r="W3" s="107">
        <v>4.9680957474724252</v>
      </c>
      <c r="X3" s="107">
        <v>4.3121425970304363</v>
      </c>
      <c r="Y3" s="107">
        <v>3.7941225028156547</v>
      </c>
      <c r="Z3" s="107">
        <v>3.3753170134470221</v>
      </c>
      <c r="AC3">
        <v>1</v>
      </c>
      <c r="AD3">
        <v>1</v>
      </c>
      <c r="AE3">
        <v>1</v>
      </c>
      <c r="AF3">
        <v>1</v>
      </c>
      <c r="AG3">
        <v>1</v>
      </c>
      <c r="AH3">
        <v>1</v>
      </c>
      <c r="AI3">
        <v>1</v>
      </c>
      <c r="AJ3">
        <v>1</v>
      </c>
      <c r="AK3">
        <v>1</v>
      </c>
      <c r="AL3">
        <v>0</v>
      </c>
      <c r="AQ3">
        <v>3.5821680977807495</v>
      </c>
      <c r="AR3">
        <v>2.7866488307532098</v>
      </c>
      <c r="AS3">
        <v>2.4244933879393109</v>
      </c>
      <c r="AT3">
        <v>2.1587819038466192</v>
      </c>
      <c r="AU3">
        <v>1.9440627447799042</v>
      </c>
      <c r="AV3">
        <v>1.7620030177700874</v>
      </c>
      <c r="AW3">
        <v>1.6030366172861241</v>
      </c>
      <c r="AX3">
        <v>1.4614349028721552</v>
      </c>
      <c r="AY3">
        <v>1.3334531595565697</v>
      </c>
      <c r="AZ3">
        <v>1.2164892498235842</v>
      </c>
      <c r="BC3">
        <v>143.28672391122998</v>
      </c>
      <c r="BD3">
        <v>52.946327784310988</v>
      </c>
      <c r="BE3">
        <v>21.820440491453798</v>
      </c>
      <c r="BF3">
        <v>21.587819038466193</v>
      </c>
      <c r="BG3">
        <v>17.496564703019139</v>
      </c>
      <c r="BH3">
        <v>8.8100150888504363</v>
      </c>
      <c r="BI3">
        <v>4.8091098518583726</v>
      </c>
      <c r="BJ3">
        <v>4.3843047086164653</v>
      </c>
      <c r="BK3">
        <v>1.3334531595565697</v>
      </c>
      <c r="BL3">
        <v>0</v>
      </c>
      <c r="BO3">
        <v>107.33532134445827</v>
      </c>
      <c r="BP3">
        <v>36.719777116769365</v>
      </c>
      <c r="BQ3">
        <v>10.523935467764343</v>
      </c>
      <c r="BR3">
        <v>12.927237229105161</v>
      </c>
      <c r="BS3">
        <v>10.509484595140504</v>
      </c>
      <c r="BT3">
        <v>2.9859236112879337</v>
      </c>
      <c r="BU3">
        <v>-0.15898589561405263</v>
      </c>
      <c r="BV3">
        <v>7.2162111586028921E-2</v>
      </c>
      <c r="BW3">
        <v>-2.4606693432590849</v>
      </c>
      <c r="BX3">
        <v>-3.3753170134470221</v>
      </c>
      <c r="CA3">
        <v>107.33532134445827</v>
      </c>
      <c r="CB3">
        <v>36.719777116769365</v>
      </c>
      <c r="CC3">
        <v>10.523935467764343</v>
      </c>
      <c r="CD3">
        <v>12.927237229105161</v>
      </c>
      <c r="CE3">
        <v>10.509484595140504</v>
      </c>
      <c r="CF3">
        <v>2.9859236112879337</v>
      </c>
      <c r="CG3">
        <v>-0.15898589561405263</v>
      </c>
      <c r="CH3">
        <v>7.2162111586028921E-2</v>
      </c>
      <c r="CI3">
        <v>-2.4606693432590849</v>
      </c>
      <c r="CJ3">
        <v>0</v>
      </c>
      <c r="CS3" s="74"/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3.3753170134470221</v>
      </c>
      <c r="DF3" s="74"/>
    </row>
    <row r="4" spans="1:110">
      <c r="A4">
        <v>2002</v>
      </c>
      <c r="B4">
        <v>36</v>
      </c>
      <c r="C4">
        <v>19</v>
      </c>
      <c r="D4">
        <v>10</v>
      </c>
      <c r="E4">
        <v>11</v>
      </c>
      <c r="F4">
        <v>9</v>
      </c>
      <c r="G4">
        <v>6</v>
      </c>
      <c r="H4">
        <v>3</v>
      </c>
      <c r="I4">
        <v>3</v>
      </c>
      <c r="J4">
        <v>0</v>
      </c>
      <c r="K4">
        <v>0</v>
      </c>
      <c r="L4">
        <f t="shared" si="0"/>
        <v>1.053964731034722</v>
      </c>
      <c r="M4">
        <v>127.79322363796003</v>
      </c>
      <c r="N4">
        <v>102.23457891036803</v>
      </c>
      <c r="O4" s="107">
        <f t="shared" si="1"/>
        <v>102.23457891036804</v>
      </c>
      <c r="Q4" s="107">
        <v>36.2487722163443</v>
      </c>
      <c r="R4" s="107">
        <v>16.360767508645857</v>
      </c>
      <c r="S4" s="107">
        <v>11.389943318177423</v>
      </c>
      <c r="T4" s="107">
        <v>8.7322172392433881</v>
      </c>
      <c r="U4" s="76">
        <v>7.0448732790729016</v>
      </c>
      <c r="V4" s="107">
        <v>5.8722650651866513</v>
      </c>
      <c r="W4" s="107">
        <v>5.0091890230052787</v>
      </c>
      <c r="X4" s="107">
        <v>4.3478101994446767</v>
      </c>
      <c r="Y4" s="107">
        <v>3.825505336267069</v>
      </c>
      <c r="Z4" s="107">
        <v>3.4032357249804854</v>
      </c>
      <c r="AC4">
        <v>1</v>
      </c>
      <c r="AD4">
        <v>1</v>
      </c>
      <c r="AE4">
        <v>1</v>
      </c>
      <c r="AF4">
        <v>1</v>
      </c>
      <c r="AG4">
        <v>1</v>
      </c>
      <c r="AH4">
        <v>1</v>
      </c>
      <c r="AI4">
        <v>1</v>
      </c>
      <c r="AJ4">
        <v>1</v>
      </c>
      <c r="AK4">
        <v>0</v>
      </c>
      <c r="AL4">
        <v>0</v>
      </c>
      <c r="AQ4">
        <v>3.5904055108331354</v>
      </c>
      <c r="AR4">
        <v>2.7948862438055957</v>
      </c>
      <c r="AS4">
        <v>2.4327308009916968</v>
      </c>
      <c r="AT4">
        <v>2.1670193168990051</v>
      </c>
      <c r="AU4">
        <v>1.9523001578322903</v>
      </c>
      <c r="AV4">
        <v>1.7702404308224733</v>
      </c>
      <c r="AW4">
        <v>1.61127403033851</v>
      </c>
      <c r="AX4">
        <v>1.4696723159245411</v>
      </c>
      <c r="AY4">
        <v>1.3416905726089559</v>
      </c>
      <c r="AZ4">
        <v>1.2247266628759701</v>
      </c>
      <c r="BC4">
        <v>129.25459838999288</v>
      </c>
      <c r="BD4">
        <v>53.102838632306316</v>
      </c>
      <c r="BE4">
        <v>24.327308009916969</v>
      </c>
      <c r="BF4">
        <v>23.837212485889054</v>
      </c>
      <c r="BG4">
        <v>17.570701420490611</v>
      </c>
      <c r="BH4">
        <v>10.62144258493484</v>
      </c>
      <c r="BI4">
        <v>4.8338220910155298</v>
      </c>
      <c r="BJ4">
        <v>4.4090169477736234</v>
      </c>
      <c r="BK4">
        <v>0</v>
      </c>
      <c r="BL4">
        <v>0</v>
      </c>
      <c r="BO4">
        <v>93.005826173648586</v>
      </c>
      <c r="BP4">
        <v>36.742071123660459</v>
      </c>
      <c r="BQ4">
        <v>12.937364691739546</v>
      </c>
      <c r="BR4">
        <v>15.104995246645666</v>
      </c>
      <c r="BS4">
        <v>10.525828141417708</v>
      </c>
      <c r="BT4">
        <v>4.7491775197481889</v>
      </c>
      <c r="BU4">
        <v>-0.17536693198974884</v>
      </c>
      <c r="BV4">
        <v>6.1206748328946681E-2</v>
      </c>
      <c r="BW4">
        <v>-3.825505336267069</v>
      </c>
      <c r="BX4">
        <v>-3.4032357249804854</v>
      </c>
      <c r="CA4">
        <v>93.005826173648586</v>
      </c>
      <c r="CB4">
        <v>36.742071123660459</v>
      </c>
      <c r="CC4">
        <v>12.937364691739546</v>
      </c>
      <c r="CD4">
        <v>15.104995246645666</v>
      </c>
      <c r="CE4">
        <v>10.525828141417708</v>
      </c>
      <c r="CF4">
        <v>4.7491775197481889</v>
      </c>
      <c r="CG4">
        <v>-0.17536693198974884</v>
      </c>
      <c r="CH4">
        <v>6.1206748328946681E-2</v>
      </c>
      <c r="CI4">
        <v>0</v>
      </c>
      <c r="CJ4">
        <v>0</v>
      </c>
      <c r="CS4" s="74"/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3.825505336267069</v>
      </c>
      <c r="DC4">
        <v>3.4032357249804854</v>
      </c>
      <c r="DF4" s="74"/>
    </row>
    <row r="5" spans="1:110">
      <c r="A5">
        <v>2003</v>
      </c>
      <c r="B5">
        <v>38</v>
      </c>
      <c r="C5">
        <v>19</v>
      </c>
      <c r="D5">
        <v>9</v>
      </c>
      <c r="E5">
        <v>11</v>
      </c>
      <c r="F5">
        <v>9</v>
      </c>
      <c r="G5">
        <v>6</v>
      </c>
      <c r="H5">
        <v>3</v>
      </c>
      <c r="I5">
        <v>0</v>
      </c>
      <c r="J5">
        <v>0</v>
      </c>
      <c r="K5">
        <v>0</v>
      </c>
      <c r="L5">
        <f t="shared" si="0"/>
        <v>1.091555786809318</v>
      </c>
      <c r="M5">
        <v>129.6222496836065</v>
      </c>
      <c r="N5">
        <v>103.69779974688521</v>
      </c>
      <c r="O5" s="107">
        <f t="shared" si="1"/>
        <v>103.69779974688521</v>
      </c>
      <c r="Q5" s="107">
        <v>36.767578664910211</v>
      </c>
      <c r="R5" s="107">
        <v>16.59492914138513</v>
      </c>
      <c r="S5" s="107">
        <v>11.552960592445441</v>
      </c>
      <c r="T5" s="107">
        <v>8.8571961098920138</v>
      </c>
      <c r="U5" s="76">
        <v>7.1457022303184488</v>
      </c>
      <c r="V5" s="107">
        <v>5.9563111941237716</v>
      </c>
      <c r="W5" s="107">
        <v>5.0808824737988747</v>
      </c>
      <c r="X5" s="107">
        <v>4.4100377407017985</v>
      </c>
      <c r="Y5" s="107">
        <v>3.8802574483009153</v>
      </c>
      <c r="Z5" s="107">
        <v>3.4519441510086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0</v>
      </c>
      <c r="AK5">
        <v>0</v>
      </c>
      <c r="AL5">
        <v>0</v>
      </c>
      <c r="AQ5">
        <v>3.6046164423129969</v>
      </c>
      <c r="AR5">
        <v>2.8090971752854572</v>
      </c>
      <c r="AS5">
        <v>2.4469417324715583</v>
      </c>
      <c r="AT5">
        <v>2.1812302483788666</v>
      </c>
      <c r="AU5">
        <v>1.9665110893121516</v>
      </c>
      <c r="AV5">
        <v>1.7844513623023348</v>
      </c>
      <c r="AW5">
        <v>1.6254849618183715</v>
      </c>
      <c r="AX5">
        <v>1.4838832474044026</v>
      </c>
      <c r="AY5">
        <v>1.3559015040888172</v>
      </c>
      <c r="AZ5">
        <v>1.2389375943558316</v>
      </c>
      <c r="BC5">
        <v>136.97542480789389</v>
      </c>
      <c r="BD5">
        <v>53.372846330423684</v>
      </c>
      <c r="BE5">
        <v>22.022475592244025</v>
      </c>
      <c r="BF5">
        <v>23.993532732167534</v>
      </c>
      <c r="BG5">
        <v>17.698599803809365</v>
      </c>
      <c r="BH5">
        <v>10.706708173814009</v>
      </c>
      <c r="BI5">
        <v>4.8764548854551144</v>
      </c>
      <c r="BJ5">
        <v>0</v>
      </c>
      <c r="BK5">
        <v>0</v>
      </c>
      <c r="BL5">
        <v>0</v>
      </c>
      <c r="BO5">
        <v>100.20784614298367</v>
      </c>
      <c r="BP5">
        <v>36.777917189038554</v>
      </c>
      <c r="BQ5">
        <v>10.469514999798584</v>
      </c>
      <c r="BR5">
        <v>15.13633662227552</v>
      </c>
      <c r="BS5">
        <v>10.552897573490917</v>
      </c>
      <c r="BT5">
        <v>4.7503969796902377</v>
      </c>
      <c r="BU5">
        <v>-0.20442758834376029</v>
      </c>
      <c r="BV5">
        <v>-4.4100377407017985</v>
      </c>
      <c r="BW5">
        <v>-3.8802574483009153</v>
      </c>
      <c r="BX5">
        <v>-3.4519441510086</v>
      </c>
      <c r="CA5">
        <v>100.20784614298367</v>
      </c>
      <c r="CB5">
        <v>36.777917189038554</v>
      </c>
      <c r="CC5">
        <v>10.469514999798584</v>
      </c>
      <c r="CD5">
        <v>15.13633662227552</v>
      </c>
      <c r="CE5">
        <v>10.552897573490917</v>
      </c>
      <c r="CF5">
        <v>4.7503969796902377</v>
      </c>
      <c r="CG5">
        <v>-0.20442758834376029</v>
      </c>
      <c r="CH5">
        <v>0</v>
      </c>
      <c r="CI5">
        <v>0</v>
      </c>
      <c r="CJ5">
        <v>0</v>
      </c>
      <c r="CS5" s="74"/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4.4100377407017985</v>
      </c>
      <c r="DB5">
        <v>3.8802574483009153</v>
      </c>
      <c r="DC5">
        <v>3.4519441510086</v>
      </c>
      <c r="DF5" s="74"/>
    </row>
    <row r="6" spans="1:110">
      <c r="A6">
        <v>2004</v>
      </c>
      <c r="B6">
        <v>39</v>
      </c>
      <c r="C6">
        <v>19</v>
      </c>
      <c r="D6">
        <v>9</v>
      </c>
      <c r="E6">
        <v>10</v>
      </c>
      <c r="F6">
        <v>10</v>
      </c>
      <c r="G6">
        <v>5</v>
      </c>
      <c r="H6">
        <v>0</v>
      </c>
      <c r="I6">
        <v>0</v>
      </c>
      <c r="J6">
        <v>0</v>
      </c>
      <c r="K6">
        <v>0</v>
      </c>
      <c r="L6">
        <f t="shared" si="0"/>
        <v>1.1406513515446912</v>
      </c>
      <c r="M6">
        <v>131.17490542763949</v>
      </c>
      <c r="N6">
        <v>104.9399243421116</v>
      </c>
      <c r="O6" s="107">
        <f t="shared" si="1"/>
        <v>104.93992434211158</v>
      </c>
      <c r="Q6" s="107">
        <v>37.207992192276087</v>
      </c>
      <c r="R6" s="107">
        <v>16.793708379641558</v>
      </c>
      <c r="S6" s="107">
        <v>11.691345558515936</v>
      </c>
      <c r="T6" s="107">
        <v>8.9632903680121885</v>
      </c>
      <c r="U6" s="76">
        <v>7.2312956808266335</v>
      </c>
      <c r="V6" s="107">
        <v>6.027657747754632</v>
      </c>
      <c r="W6" s="107">
        <v>5.1417428691164702</v>
      </c>
      <c r="X6" s="107">
        <v>4.4628625485277409</v>
      </c>
      <c r="Y6" s="107">
        <v>3.9267363825127255</v>
      </c>
      <c r="Z6" s="107">
        <v>3.493292614927618</v>
      </c>
      <c r="AC6">
        <v>1</v>
      </c>
      <c r="AD6">
        <v>1</v>
      </c>
      <c r="AE6">
        <v>1</v>
      </c>
      <c r="AF6">
        <v>1</v>
      </c>
      <c r="AG6">
        <v>1</v>
      </c>
      <c r="AH6">
        <v>1</v>
      </c>
      <c r="AI6">
        <v>0</v>
      </c>
      <c r="AJ6">
        <v>0</v>
      </c>
      <c r="AK6">
        <v>0</v>
      </c>
      <c r="AL6">
        <v>0</v>
      </c>
      <c r="AQ6">
        <v>3.6165235820818493</v>
      </c>
      <c r="AR6">
        <v>2.8210043150543096</v>
      </c>
      <c r="AS6">
        <v>2.4588488722404107</v>
      </c>
      <c r="AT6">
        <v>2.193137388147719</v>
      </c>
      <c r="AU6">
        <v>1.9784182290810042</v>
      </c>
      <c r="AV6">
        <v>1.796358502071187</v>
      </c>
      <c r="AW6">
        <v>1.6373921015872239</v>
      </c>
      <c r="AX6">
        <v>1.4957903871732547</v>
      </c>
      <c r="AY6">
        <v>1.3678086438576695</v>
      </c>
      <c r="AZ6">
        <v>1.250844734124684</v>
      </c>
      <c r="BC6">
        <v>141.04441970119211</v>
      </c>
      <c r="BD6">
        <v>53.599081986031884</v>
      </c>
      <c r="BE6">
        <v>22.129639850163695</v>
      </c>
      <c r="BF6">
        <v>21.931373881477189</v>
      </c>
      <c r="BG6">
        <v>19.78418229081004</v>
      </c>
      <c r="BH6">
        <v>8.981792510355934</v>
      </c>
      <c r="BI6">
        <v>0</v>
      </c>
      <c r="BJ6">
        <v>0</v>
      </c>
      <c r="BK6">
        <v>0</v>
      </c>
      <c r="BL6">
        <v>0</v>
      </c>
      <c r="BO6">
        <v>103.83642750891602</v>
      </c>
      <c r="BP6">
        <v>36.805373606390326</v>
      </c>
      <c r="BQ6">
        <v>10.438294291647759</v>
      </c>
      <c r="BR6">
        <v>12.968083513465</v>
      </c>
      <c r="BS6">
        <v>12.552886609983407</v>
      </c>
      <c r="BT6">
        <v>2.9541347626013019</v>
      </c>
      <c r="BU6">
        <v>-5.1417428691164702</v>
      </c>
      <c r="BV6">
        <v>-4.4628625485277409</v>
      </c>
      <c r="BW6">
        <v>-3.9267363825127255</v>
      </c>
      <c r="BX6">
        <v>-3.493292614927618</v>
      </c>
      <c r="CA6">
        <v>103.83642750891602</v>
      </c>
      <c r="CB6">
        <v>36.805373606390326</v>
      </c>
      <c r="CC6">
        <v>10.438294291647759</v>
      </c>
      <c r="CD6">
        <v>12.968083513465</v>
      </c>
      <c r="CE6">
        <v>12.552886609983407</v>
      </c>
      <c r="CF6">
        <v>2.9541347626013019</v>
      </c>
      <c r="CG6">
        <v>0</v>
      </c>
      <c r="CH6">
        <v>0</v>
      </c>
      <c r="CI6">
        <v>0</v>
      </c>
      <c r="CJ6">
        <v>0</v>
      </c>
      <c r="CS6" s="74"/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5.1417428691164702</v>
      </c>
      <c r="DA6">
        <v>4.4628625485277409</v>
      </c>
      <c r="DB6">
        <v>3.9267363825127255</v>
      </c>
      <c r="DC6">
        <v>3.493292614927618</v>
      </c>
      <c r="DF6" s="74"/>
    </row>
    <row r="7" spans="1:110">
      <c r="A7">
        <v>2005</v>
      </c>
      <c r="B7">
        <v>41</v>
      </c>
      <c r="C7">
        <v>19</v>
      </c>
      <c r="D7">
        <v>10</v>
      </c>
      <c r="E7">
        <v>9</v>
      </c>
      <c r="F7">
        <v>9</v>
      </c>
      <c r="G7">
        <v>0</v>
      </c>
      <c r="H7">
        <v>0</v>
      </c>
      <c r="I7">
        <v>0</v>
      </c>
      <c r="J7">
        <v>0</v>
      </c>
      <c r="K7">
        <v>0</v>
      </c>
      <c r="L7">
        <f t="shared" si="0"/>
        <v>1.2077473192291577</v>
      </c>
      <c r="M7">
        <v>132.85220511520734</v>
      </c>
      <c r="N7">
        <v>106.28176409216587</v>
      </c>
      <c r="O7" s="107">
        <f t="shared" si="1"/>
        <v>106.28176409216586</v>
      </c>
      <c r="Q7" s="107">
        <v>37.683761193028744</v>
      </c>
      <c r="R7" s="107">
        <v>17.008445197834401</v>
      </c>
      <c r="S7" s="107">
        <v>11.840839779141573</v>
      </c>
      <c r="T7" s="107">
        <v>9.0779016504433407</v>
      </c>
      <c r="U7" s="76">
        <v>7.3237603938494464</v>
      </c>
      <c r="V7" s="107">
        <v>6.1047318529282926</v>
      </c>
      <c r="W7" s="107">
        <v>5.2074890092017831</v>
      </c>
      <c r="X7" s="107">
        <v>4.519928021027229</v>
      </c>
      <c r="Y7" s="107">
        <v>3.9769465479866635</v>
      </c>
      <c r="Z7" s="107">
        <v>3.5379604467244046</v>
      </c>
      <c r="AC7">
        <v>1</v>
      </c>
      <c r="AD7">
        <v>1</v>
      </c>
      <c r="AE7">
        <v>1</v>
      </c>
      <c r="AF7">
        <v>1</v>
      </c>
      <c r="AG7">
        <v>1</v>
      </c>
      <c r="AH7">
        <v>0</v>
      </c>
      <c r="AI7">
        <v>0</v>
      </c>
      <c r="AJ7">
        <v>0</v>
      </c>
      <c r="AK7">
        <v>0</v>
      </c>
      <c r="AL7">
        <v>0</v>
      </c>
      <c r="AQ7">
        <v>3.6292292640744392</v>
      </c>
      <c r="AR7">
        <v>2.8337099970468991</v>
      </c>
      <c r="AS7">
        <v>2.4715545542330006</v>
      </c>
      <c r="AT7">
        <v>2.2058430701403089</v>
      </c>
      <c r="AU7">
        <v>1.9911239110735941</v>
      </c>
      <c r="AV7">
        <v>1.8090641840637771</v>
      </c>
      <c r="AW7">
        <v>1.6500977835798138</v>
      </c>
      <c r="AX7">
        <v>1.5084960691658449</v>
      </c>
      <c r="AY7">
        <v>1.3805143258502595</v>
      </c>
      <c r="AZ7">
        <v>1.2635504161172739</v>
      </c>
      <c r="BC7">
        <v>148.79839982705201</v>
      </c>
      <c r="BD7">
        <v>53.840489943891086</v>
      </c>
      <c r="BE7">
        <v>24.715545542330005</v>
      </c>
      <c r="BF7">
        <v>19.852587631262779</v>
      </c>
      <c r="BG7">
        <v>17.920115199662348</v>
      </c>
      <c r="BH7">
        <v>0</v>
      </c>
      <c r="BI7">
        <v>0</v>
      </c>
      <c r="BJ7">
        <v>0</v>
      </c>
      <c r="BK7">
        <v>0</v>
      </c>
      <c r="BL7">
        <v>0</v>
      </c>
      <c r="BO7">
        <v>111.11463863402327</v>
      </c>
      <c r="BP7">
        <v>36.832044746056681</v>
      </c>
      <c r="BQ7">
        <v>12.874705763188432</v>
      </c>
      <c r="BR7">
        <v>10.774685980819438</v>
      </c>
      <c r="BS7">
        <v>10.596354805812901</v>
      </c>
      <c r="BT7">
        <v>-6.1047318529282926</v>
      </c>
      <c r="BU7">
        <v>-5.2074890092017831</v>
      </c>
      <c r="BV7">
        <v>-4.519928021027229</v>
      </c>
      <c r="BW7">
        <v>-3.9769465479866635</v>
      </c>
      <c r="BX7">
        <v>-3.5379604467244046</v>
      </c>
      <c r="CA7">
        <v>111.11463863402327</v>
      </c>
      <c r="CB7">
        <v>36.832044746056681</v>
      </c>
      <c r="CC7">
        <v>12.874705763188432</v>
      </c>
      <c r="CD7">
        <v>10.774685980819438</v>
      </c>
      <c r="CE7">
        <v>10.596354805812901</v>
      </c>
      <c r="CF7">
        <v>0</v>
      </c>
      <c r="CG7">
        <v>0</v>
      </c>
      <c r="CH7">
        <v>0</v>
      </c>
      <c r="CI7">
        <v>0</v>
      </c>
      <c r="CJ7">
        <v>0</v>
      </c>
      <c r="CS7" s="74"/>
      <c r="CT7">
        <v>0</v>
      </c>
      <c r="CU7">
        <v>0</v>
      </c>
      <c r="CV7">
        <v>0</v>
      </c>
      <c r="CW7">
        <v>0</v>
      </c>
      <c r="CX7">
        <v>0</v>
      </c>
      <c r="CY7">
        <v>6.1047318529282926</v>
      </c>
      <c r="CZ7">
        <v>5.2074890092017831</v>
      </c>
      <c r="DA7">
        <v>4.519928021027229</v>
      </c>
      <c r="DB7">
        <v>3.9769465479866635</v>
      </c>
      <c r="DC7">
        <v>3.5379604467244046</v>
      </c>
      <c r="DF7" s="74"/>
    </row>
    <row r="8" spans="1:110">
      <c r="A8">
        <v>2006</v>
      </c>
      <c r="B8">
        <v>42</v>
      </c>
      <c r="C8">
        <v>19</v>
      </c>
      <c r="D8">
        <v>9</v>
      </c>
      <c r="E8">
        <v>9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f t="shared" si="0"/>
        <v>1.305553828062475</v>
      </c>
      <c r="M8">
        <v>128.9234405211694</v>
      </c>
      <c r="N8">
        <v>103.13875241693553</v>
      </c>
      <c r="O8" s="107">
        <f t="shared" si="1"/>
        <v>103.13875241693555</v>
      </c>
      <c r="Q8" s="107">
        <v>36.569360219277762</v>
      </c>
      <c r="R8" s="107">
        <v>16.50546387934639</v>
      </c>
      <c r="S8" s="107">
        <v>11.490677190213326</v>
      </c>
      <c r="T8" s="107">
        <v>8.809445898719142</v>
      </c>
      <c r="U8" s="107">
        <v>7.1071788888181873</v>
      </c>
      <c r="V8" s="107">
        <v>5.9242000029745654</v>
      </c>
      <c r="W8" s="107">
        <v>5.0534908243357357</v>
      </c>
      <c r="X8" s="107">
        <v>4.3862626960052422</v>
      </c>
      <c r="Y8" s="107">
        <v>3.8593385129784217</v>
      </c>
      <c r="Z8" s="107">
        <v>3.4333343042667481</v>
      </c>
      <c r="AC8">
        <v>1</v>
      </c>
      <c r="AD8">
        <v>1</v>
      </c>
      <c r="AE8">
        <v>1</v>
      </c>
      <c r="AF8">
        <v>1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Q8">
        <v>3.599210737320746</v>
      </c>
      <c r="AR8">
        <v>2.8036914702932059</v>
      </c>
      <c r="AS8">
        <v>2.4415360274793074</v>
      </c>
      <c r="AT8">
        <v>2.1758245433866157</v>
      </c>
      <c r="AU8">
        <v>1.9611053843199007</v>
      </c>
      <c r="AV8">
        <v>1.7790456573100837</v>
      </c>
      <c r="AW8">
        <v>1.6200792568261204</v>
      </c>
      <c r="AX8">
        <v>1.4784775424121515</v>
      </c>
      <c r="AY8">
        <v>1.3504957990965663</v>
      </c>
      <c r="AZ8">
        <v>1.2335318893635807</v>
      </c>
      <c r="BC8">
        <v>151.16685096747133</v>
      </c>
      <c r="BD8">
        <v>53.270137935570915</v>
      </c>
      <c r="BE8">
        <v>21.973824247313768</v>
      </c>
      <c r="BF8">
        <v>19.58242089047954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O8">
        <v>114.59749074819356</v>
      </c>
      <c r="BP8">
        <v>36.764674056224521</v>
      </c>
      <c r="BQ8">
        <v>10.483147057100442</v>
      </c>
      <c r="BR8">
        <v>10.772974991760398</v>
      </c>
      <c r="BS8">
        <v>-7.1071788888181873</v>
      </c>
      <c r="BT8">
        <v>-5.9242000029745654</v>
      </c>
      <c r="BU8">
        <v>-5.0534908243357357</v>
      </c>
      <c r="BV8">
        <v>-4.3862626960052422</v>
      </c>
      <c r="BW8">
        <v>-3.8593385129784217</v>
      </c>
      <c r="BX8">
        <v>-3.4333343042667481</v>
      </c>
      <c r="CA8">
        <v>114.59749074819356</v>
      </c>
      <c r="CB8">
        <v>36.764674056224521</v>
      </c>
      <c r="CC8">
        <v>10.483147057100442</v>
      </c>
      <c r="CD8">
        <v>10.772974991760398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S8" s="74"/>
      <c r="CT8">
        <v>0</v>
      </c>
      <c r="CU8">
        <v>0</v>
      </c>
      <c r="CV8">
        <v>0</v>
      </c>
      <c r="CW8">
        <v>0</v>
      </c>
      <c r="CX8">
        <v>7.1071788888181873</v>
      </c>
      <c r="CY8">
        <v>5.9242000029745654</v>
      </c>
      <c r="CZ8">
        <v>5.0534908243357357</v>
      </c>
      <c r="DA8">
        <v>4.3862626960052422</v>
      </c>
      <c r="DB8">
        <v>3.8593385129784217</v>
      </c>
      <c r="DC8">
        <v>3.4333343042667481</v>
      </c>
      <c r="DF8" s="74"/>
    </row>
    <row r="9" spans="1:110">
      <c r="A9">
        <v>2007</v>
      </c>
      <c r="B9">
        <v>43</v>
      </c>
      <c r="C9">
        <v>19</v>
      </c>
      <c r="D9">
        <v>10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f t="shared" si="0"/>
        <v>1.4624999496082232</v>
      </c>
      <c r="M9">
        <v>131.62499546474007</v>
      </c>
      <c r="N9">
        <v>105.29999637179206</v>
      </c>
      <c r="O9" s="107">
        <f t="shared" si="1"/>
        <v>105.29999637179206</v>
      </c>
      <c r="Q9" s="107">
        <v>37.335661021399034</v>
      </c>
      <c r="R9" s="107">
        <v>16.851331297706619</v>
      </c>
      <c r="S9" s="107">
        <v>11.731461144184042</v>
      </c>
      <c r="T9" s="107">
        <v>8.9940453945252994</v>
      </c>
      <c r="U9" s="107">
        <v>7.2561078514979815</v>
      </c>
      <c r="V9" s="107">
        <v>6.0483399711606403</v>
      </c>
      <c r="W9" s="107">
        <v>5.1593853231451403</v>
      </c>
      <c r="X9" s="107">
        <v>4.4781756144186078</v>
      </c>
      <c r="Y9" s="107">
        <v>3.9402098812610387</v>
      </c>
      <c r="Z9" s="107">
        <v>3.505278872493653</v>
      </c>
      <c r="AC9">
        <v>1</v>
      </c>
      <c r="AD9">
        <v>1</v>
      </c>
      <c r="AE9">
        <v>1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Q9">
        <v>3.619948929470854</v>
      </c>
      <c r="AR9">
        <v>2.8244296624433138</v>
      </c>
      <c r="AS9">
        <v>2.4622742196294154</v>
      </c>
      <c r="AT9">
        <v>2.1965627355367237</v>
      </c>
      <c r="AU9">
        <v>1.9818435764700089</v>
      </c>
      <c r="AV9">
        <v>1.7997838494601917</v>
      </c>
      <c r="AW9">
        <v>1.6408174489762286</v>
      </c>
      <c r="AX9">
        <v>1.4992157345622596</v>
      </c>
      <c r="AY9">
        <v>1.3712339912466742</v>
      </c>
      <c r="AZ9">
        <v>1.2542700815136887</v>
      </c>
      <c r="BC9">
        <v>155.65780396724674</v>
      </c>
      <c r="BD9">
        <v>53.664163586422966</v>
      </c>
      <c r="BE9">
        <v>24.622742196294155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O9">
        <v>118.3221429458477</v>
      </c>
      <c r="BP9">
        <v>36.812832288716351</v>
      </c>
      <c r="BQ9">
        <v>12.891281052110113</v>
      </c>
      <c r="BR9">
        <v>-8.9940453945252994</v>
      </c>
      <c r="BS9">
        <v>-7.2561078514979815</v>
      </c>
      <c r="BT9">
        <v>-6.0483399711606403</v>
      </c>
      <c r="BU9">
        <v>-5.1593853231451403</v>
      </c>
      <c r="BV9">
        <v>-4.4781756144186078</v>
      </c>
      <c r="BW9">
        <v>-3.9402098812610387</v>
      </c>
      <c r="BX9">
        <v>-3.505278872493653</v>
      </c>
      <c r="CA9">
        <v>118.3221429458477</v>
      </c>
      <c r="CB9">
        <v>36.812832288716351</v>
      </c>
      <c r="CC9">
        <v>12.891281052110113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S9" s="74"/>
      <c r="CT9">
        <v>0</v>
      </c>
      <c r="CU9">
        <v>0</v>
      </c>
      <c r="CV9">
        <v>0</v>
      </c>
      <c r="CW9">
        <v>8.9940453945252994</v>
      </c>
      <c r="CX9">
        <v>7.2561078514979815</v>
      </c>
      <c r="CY9">
        <v>6.0483399711606403</v>
      </c>
      <c r="CZ9">
        <v>5.1593853231451403</v>
      </c>
      <c r="DA9">
        <v>4.4781756144186078</v>
      </c>
      <c r="DB9">
        <v>3.9402098812610387</v>
      </c>
      <c r="DC9">
        <v>3.505278872493653</v>
      </c>
      <c r="DF9" s="74"/>
    </row>
    <row r="10" spans="1:110">
      <c r="A10">
        <v>2008</v>
      </c>
      <c r="B10">
        <v>43</v>
      </c>
      <c r="C10">
        <v>20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f t="shared" si="0"/>
        <v>1.7609941949261361</v>
      </c>
      <c r="M10">
        <v>138.67829285043319</v>
      </c>
      <c r="N10">
        <v>110.94263428034657</v>
      </c>
      <c r="O10" s="107">
        <f t="shared" si="1"/>
        <v>110.94263428034652</v>
      </c>
      <c r="Q10" s="107">
        <v>39.336341206386408</v>
      </c>
      <c r="R10" s="107">
        <v>17.754331906123756</v>
      </c>
      <c r="S10" s="107">
        <v>12.360106819927292</v>
      </c>
      <c r="T10" s="107">
        <v>9.4760030701478168</v>
      </c>
      <c r="U10" s="107">
        <v>7.6449358727911561</v>
      </c>
      <c r="V10" s="107">
        <v>6.3724481723100084</v>
      </c>
      <c r="W10" s="107">
        <v>5.4358577278205233</v>
      </c>
      <c r="X10" s="107">
        <v>4.7181445066668486</v>
      </c>
      <c r="Y10" s="107">
        <v>4.1513511767000608</v>
      </c>
      <c r="Z10" s="107">
        <v>3.6931138214726853</v>
      </c>
      <c r="AC10">
        <v>1</v>
      </c>
      <c r="AD10">
        <v>1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Q10">
        <v>3.6721488042225774</v>
      </c>
      <c r="AR10">
        <v>2.8766295371950377</v>
      </c>
      <c r="AS10">
        <v>2.5144740943811388</v>
      </c>
      <c r="AT10">
        <v>2.248762610288447</v>
      </c>
      <c r="AU10">
        <v>2.034043451221732</v>
      </c>
      <c r="AV10">
        <v>1.8519837242119153</v>
      </c>
      <c r="AW10">
        <v>1.693017323727952</v>
      </c>
      <c r="AX10">
        <v>1.5514156093139828</v>
      </c>
      <c r="AY10">
        <v>1.4234338659983976</v>
      </c>
      <c r="AZ10">
        <v>1.3064699562654121</v>
      </c>
      <c r="BC10">
        <v>157.90239858157082</v>
      </c>
      <c r="BD10">
        <v>57.532590743900755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O10">
        <v>118.56605737518441</v>
      </c>
      <c r="BP10">
        <v>39.778258837777003</v>
      </c>
      <c r="BQ10">
        <v>-12.360106819927292</v>
      </c>
      <c r="BR10">
        <v>-9.4760030701478168</v>
      </c>
      <c r="BS10">
        <v>-7.6449358727911561</v>
      </c>
      <c r="BT10">
        <v>-6.3724481723100084</v>
      </c>
      <c r="BU10">
        <v>-5.4358577278205233</v>
      </c>
      <c r="BV10">
        <v>-4.7181445066668486</v>
      </c>
      <c r="BW10">
        <v>-4.1513511767000608</v>
      </c>
      <c r="BX10">
        <v>-3.6931138214726853</v>
      </c>
      <c r="CA10">
        <v>118.56605737518441</v>
      </c>
      <c r="CB10">
        <v>39.778258837777003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S10" s="74"/>
      <c r="CT10">
        <v>0</v>
      </c>
      <c r="CU10">
        <v>0</v>
      </c>
      <c r="CV10">
        <v>12.360106819927292</v>
      </c>
      <c r="CW10">
        <v>9.4760030701478168</v>
      </c>
      <c r="CX10">
        <v>7.6449358727911561</v>
      </c>
      <c r="CY10">
        <v>6.3724481723100084</v>
      </c>
      <c r="CZ10">
        <v>5.4358577278205233</v>
      </c>
      <c r="DA10">
        <v>4.7181445066668486</v>
      </c>
      <c r="DB10">
        <v>4.1513511767000608</v>
      </c>
      <c r="DC10">
        <v>3.6931138214726853</v>
      </c>
      <c r="DF10" s="74"/>
    </row>
    <row r="11" spans="1:110">
      <c r="A11">
        <v>2009</v>
      </c>
      <c r="B11">
        <v>42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f t="shared" si="0"/>
        <v>2.5860322959013602</v>
      </c>
      <c r="M11">
        <v>135.76669553482139</v>
      </c>
      <c r="N11">
        <v>108.61335642785713</v>
      </c>
      <c r="O11" s="107">
        <f t="shared" si="1"/>
        <v>108.61335642785713</v>
      </c>
      <c r="Q11" s="107">
        <v>38.510461516722017</v>
      </c>
      <c r="R11" s="107">
        <v>17.381573747252396</v>
      </c>
      <c r="S11" s="107">
        <v>12.100602227695337</v>
      </c>
      <c r="T11" s="107">
        <v>9.2770512043967148</v>
      </c>
      <c r="U11" s="107">
        <v>7.4844278775762909</v>
      </c>
      <c r="V11" s="107">
        <v>6.2386564835676044</v>
      </c>
      <c r="W11" s="107">
        <v>5.3217300698932686</v>
      </c>
      <c r="X11" s="107">
        <v>4.6190854787691249</v>
      </c>
      <c r="Y11" s="107">
        <v>4.0641921650494215</v>
      </c>
      <c r="Z11" s="107">
        <v>3.6155756569349529</v>
      </c>
      <c r="AC11">
        <v>1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Q11">
        <v>3.6509299320895168</v>
      </c>
      <c r="AR11">
        <v>2.855410665061977</v>
      </c>
      <c r="AS11">
        <v>2.4932552222480782</v>
      </c>
      <c r="AT11">
        <v>2.2275437381553864</v>
      </c>
      <c r="AU11">
        <v>2.0128245790886714</v>
      </c>
      <c r="AV11">
        <v>1.8307648520788544</v>
      </c>
      <c r="AW11">
        <v>1.6717984515948912</v>
      </c>
      <c r="AX11">
        <v>1.530196737180922</v>
      </c>
      <c r="AY11">
        <v>1.402214993865337</v>
      </c>
      <c r="AZ11">
        <v>1.2852510841323512</v>
      </c>
      <c r="BC11">
        <v>153.33905714775972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O11">
        <v>114.8285956310377</v>
      </c>
      <c r="BP11">
        <v>-17.381573747252396</v>
      </c>
      <c r="BQ11">
        <v>-12.100602227695337</v>
      </c>
      <c r="BR11">
        <v>-9.2770512043967148</v>
      </c>
      <c r="BS11">
        <v>-7.4844278775762909</v>
      </c>
      <c r="BT11">
        <v>-6.2386564835676044</v>
      </c>
      <c r="BU11">
        <v>-5.3217300698932686</v>
      </c>
      <c r="BV11">
        <v>-4.6190854787691249</v>
      </c>
      <c r="BW11">
        <v>-4.0641921650494215</v>
      </c>
      <c r="BX11">
        <v>-3.6155756569349529</v>
      </c>
      <c r="CA11">
        <v>114.8285956310377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S11" s="74"/>
      <c r="CT11">
        <v>0</v>
      </c>
      <c r="CU11">
        <v>17.381573747252396</v>
      </c>
      <c r="CV11">
        <v>12.100602227695337</v>
      </c>
      <c r="CW11">
        <v>9.2770512043967148</v>
      </c>
      <c r="CX11">
        <v>7.4844278775762909</v>
      </c>
      <c r="CY11">
        <v>6.2386564835676044</v>
      </c>
      <c r="CZ11">
        <v>5.3217300698932686</v>
      </c>
      <c r="DA11">
        <v>4.6190854787691249</v>
      </c>
      <c r="DB11">
        <v>4.0641921650494215</v>
      </c>
      <c r="DC11">
        <v>3.6155756569349529</v>
      </c>
      <c r="DF11" s="74"/>
    </row>
    <row r="12" spans="1:110"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</row>
    <row r="13" spans="1:110">
      <c r="N13" t="s">
        <v>18</v>
      </c>
      <c r="AC13" t="s">
        <v>19</v>
      </c>
    </row>
    <row r="14" spans="1:110">
      <c r="A14" s="6"/>
      <c r="Q14" t="s">
        <v>20</v>
      </c>
    </row>
    <row r="17" spans="1:49">
      <c r="AA17" s="5" t="s">
        <v>21</v>
      </c>
      <c r="AL17" cm="1">
        <f t="array" ref="AL17:AU26">(B2:K11*(LN((B23:K23-A23:J23)*M2:M11))-((B23:K23-A23:J23)*M2:M11))*AC2:AL11</f>
        <v>109.88722127541266</v>
      </c>
      <c r="AM17">
        <v>32.215806341038949</v>
      </c>
      <c r="AN17">
        <v>14.760785184514511</v>
      </c>
      <c r="AO17">
        <v>10.08320677057208</v>
      </c>
      <c r="AP17">
        <v>7.7309657337268067</v>
      </c>
      <c r="AQ17">
        <v>2.9260873517479973</v>
      </c>
      <c r="AR17">
        <v>0.27203104241793419</v>
      </c>
      <c r="AS17">
        <v>-0.78505620400103737</v>
      </c>
      <c r="AT17">
        <v>-1.6395494309158496</v>
      </c>
      <c r="AU17">
        <v>-1.4704051164128749</v>
      </c>
      <c r="AW17" cm="1">
        <f t="array" ref="AW17">SUM((B2:K11*(LN((B23:K23-A23:J23)*M2:M11))-((B23:K23-A23:J23)*M2:M11))*AC2:AL11)</f>
        <v>1623.9713872997515</v>
      </c>
    </row>
    <row r="18" spans="1:49">
      <c r="AL18">
        <v>103.6964463087975</v>
      </c>
      <c r="AM18">
        <v>34.729978140238501</v>
      </c>
      <c r="AN18">
        <v>10.690895078045092</v>
      </c>
      <c r="AO18">
        <v>11.916942600091673</v>
      </c>
      <c r="AP18">
        <v>9.352076842227401</v>
      </c>
      <c r="AQ18">
        <v>2.9398493203270624</v>
      </c>
      <c r="AR18">
        <v>0.26624709454683071</v>
      </c>
      <c r="AS18">
        <v>0.29580835613677214</v>
      </c>
      <c r="AT18">
        <v>-1.6618495452991386</v>
      </c>
      <c r="AU18">
        <v>0</v>
      </c>
    </row>
    <row r="19" spans="1:49">
      <c r="AL19">
        <v>90.927080177595599</v>
      </c>
      <c r="AM19">
        <v>34.79351950783829</v>
      </c>
      <c r="AN19">
        <v>12.76585421032128</v>
      </c>
      <c r="AO19">
        <v>13.749530095395002</v>
      </c>
      <c r="AP19">
        <v>9.3861813174546285</v>
      </c>
      <c r="AQ19">
        <v>4.3507224409638514</v>
      </c>
      <c r="AR19">
        <v>0.26249479495751515</v>
      </c>
      <c r="AS19">
        <v>0.29581431822671789</v>
      </c>
      <c r="AT19">
        <v>0</v>
      </c>
      <c r="AU19">
        <v>0</v>
      </c>
    </row>
    <row r="20" spans="1:49">
      <c r="AL20">
        <v>97.554168255009728</v>
      </c>
      <c r="AM20">
        <v>34.901327848965593</v>
      </c>
      <c r="AN20">
        <v>10.715288231851376</v>
      </c>
      <c r="AO20">
        <v>13.819279829589959</v>
      </c>
      <c r="AP20">
        <v>9.444237383453105</v>
      </c>
      <c r="AQ20">
        <v>4.3777708577485459</v>
      </c>
      <c r="AR20">
        <v>0.25546688502343207</v>
      </c>
      <c r="AS20">
        <v>0</v>
      </c>
      <c r="AT20">
        <v>0</v>
      </c>
      <c r="AU20">
        <v>0</v>
      </c>
    </row>
    <row r="21" spans="1:49">
      <c r="A21" s="5" t="s">
        <v>33</v>
      </c>
      <c r="P21" t="s">
        <v>38</v>
      </c>
      <c r="X21" t="s">
        <v>73</v>
      </c>
      <c r="AC21" t="s">
        <v>102</v>
      </c>
      <c r="AL21">
        <v>100.95091154702671</v>
      </c>
      <c r="AM21">
        <v>34.989872866483353</v>
      </c>
      <c r="AN21">
        <v>10.726595827639215</v>
      </c>
      <c r="AO21">
        <v>12.050816920319175</v>
      </c>
      <c r="AP21">
        <v>11.103345460082236</v>
      </c>
      <c r="AQ21">
        <v>2.9706202167935354</v>
      </c>
      <c r="AR21">
        <v>0</v>
      </c>
      <c r="AS21">
        <v>0</v>
      </c>
      <c r="AT21">
        <v>0</v>
      </c>
      <c r="AU21">
        <v>0</v>
      </c>
    </row>
    <row r="22" spans="1:49" ht="15.75" thickBot="1">
      <c r="T22" t="s">
        <v>83</v>
      </c>
      <c r="AL22">
        <v>107.64096456270308</v>
      </c>
      <c r="AM22">
        <v>35.082536670889574</v>
      </c>
      <c r="AN22">
        <v>12.841764248336828</v>
      </c>
      <c r="AO22">
        <v>10.259827029041277</v>
      </c>
      <c r="AP22">
        <v>9.5424152397881699</v>
      </c>
      <c r="AQ22">
        <v>0</v>
      </c>
      <c r="AR22">
        <v>0</v>
      </c>
      <c r="AS22">
        <v>0</v>
      </c>
      <c r="AT22">
        <v>0</v>
      </c>
      <c r="AU22">
        <v>0</v>
      </c>
    </row>
    <row r="23" spans="1:49">
      <c r="A23" s="7" cm="1">
        <f t="array" ref="A23:K23">_xlfn.ANCHORARRAY(A26)</f>
        <v>0</v>
      </c>
      <c r="B23" s="7">
        <v>0.19648023376352333</v>
      </c>
      <c r="C23" s="8">
        <v>0.28516095942959074</v>
      </c>
      <c r="D23" s="8">
        <v>0.34689818772389774</v>
      </c>
      <c r="E23" s="8">
        <v>0.39422966902760953</v>
      </c>
      <c r="F23" s="8">
        <v>0.43241519267639478</v>
      </c>
      <c r="G23" s="8">
        <v>0.46424479523074036</v>
      </c>
      <c r="H23" s="8">
        <v>0.49139624257719644</v>
      </c>
      <c r="I23" s="8">
        <v>0.51496279979044024</v>
      </c>
      <c r="J23" s="8">
        <v>0.53569829334722485</v>
      </c>
      <c r="K23" s="8">
        <v>0.55414494712092266</v>
      </c>
      <c r="L23" s="24"/>
      <c r="U23" s="18" t="s">
        <v>74</v>
      </c>
      <c r="V23" s="18" t="s">
        <v>77</v>
      </c>
      <c r="W23" s="18" t="s">
        <v>81</v>
      </c>
      <c r="Y23" s="18">
        <f>O42</f>
        <v>-1292.1874999999998</v>
      </c>
      <c r="Z23" s="18">
        <f>Q42</f>
        <v>-99.526518315735885</v>
      </c>
      <c r="AA23" s="18">
        <f>S42</f>
        <v>-44.000115913522194</v>
      </c>
      <c r="AC23" s="27" cm="1">
        <f t="array" ref="AC23:AE25">MINVERSE(Y23:AA25)</f>
        <v>-7.3059371443467318E-4</v>
      </c>
      <c r="AD23" s="28">
        <v>5.0265083055059541E-5</v>
      </c>
      <c r="AE23" s="29">
        <v>1.3849687292446129E-3</v>
      </c>
      <c r="AG23" cm="1">
        <f t="array" ref="AG23:AI25">MMULT(Y23:AA25,_xlfn.ANCHORARRAY(AC23))</f>
        <v>1</v>
      </c>
      <c r="AH23">
        <v>-8.6736173798840355E-19</v>
      </c>
      <c r="AI23">
        <v>2.2204460492503131E-16</v>
      </c>
      <c r="AL23">
        <v>110.41415485122148</v>
      </c>
      <c r="AM23">
        <v>34.860590357739838</v>
      </c>
      <c r="AN23">
        <v>10.709779427716649</v>
      </c>
      <c r="AO23">
        <v>10.175614536187432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</row>
    <row r="24" spans="1:49">
      <c r="A24" cm="1">
        <f t="array" ref="A24:K24">_xlfn.ANCHORARRAY(A23)/K23</f>
        <v>0</v>
      </c>
      <c r="B24">
        <v>0.35456469428141951</v>
      </c>
      <c r="C24">
        <v>0.51459633605097976</v>
      </c>
      <c r="D24">
        <v>0.62600622729886479</v>
      </c>
      <c r="E24">
        <v>0.7114197667520783</v>
      </c>
      <c r="F24">
        <v>0.7803286755983635</v>
      </c>
      <c r="G24">
        <v>0.83776780360939618</v>
      </c>
      <c r="H24">
        <v>0.88676481691344644</v>
      </c>
      <c r="I24">
        <v>0.92929260199149255</v>
      </c>
      <c r="J24">
        <v>0.96671150053873456</v>
      </c>
      <c r="K24">
        <v>1</v>
      </c>
      <c r="U24" s="18" t="s">
        <v>75</v>
      </c>
      <c r="V24" s="18" t="s">
        <v>78</v>
      </c>
      <c r="W24" s="18" t="s">
        <v>82</v>
      </c>
      <c r="Y24" s="18">
        <f>O43</f>
        <v>-99.526518315735885</v>
      </c>
      <c r="Z24" s="18">
        <f>Q43</f>
        <v>-1734.6853535131052</v>
      </c>
      <c r="AA24" s="18">
        <f>S43</f>
        <v>10.455582398301171</v>
      </c>
      <c r="AC24" s="30">
        <v>3.3794235305015431E-5</v>
      </c>
      <c r="AD24" s="24">
        <v>-5.8034260652376662E-4</v>
      </c>
      <c r="AE24" s="9">
        <v>-3.2024968574585912E-4</v>
      </c>
      <c r="AG24">
        <v>1.7347234759768071E-18</v>
      </c>
      <c r="AH24">
        <v>1</v>
      </c>
      <c r="AI24">
        <v>-5.5511151231257827E-17</v>
      </c>
      <c r="AL24">
        <v>114.00712026641976</v>
      </c>
      <c r="AM24">
        <v>35.015040155769292</v>
      </c>
      <c r="AN24">
        <v>12.824725424656851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</row>
    <row r="25" spans="1:49" ht="15.75" thickBot="1">
      <c r="U25" s="18" t="s">
        <v>76</v>
      </c>
      <c r="V25" s="18" t="s">
        <v>80</v>
      </c>
      <c r="W25" s="18" t="s">
        <v>79</v>
      </c>
      <c r="Y25" s="18">
        <v>44.000013900316929</v>
      </c>
      <c r="Z25" s="18">
        <f>Q44</f>
        <v>10.455582398301171</v>
      </c>
      <c r="AA25" s="18">
        <f>S44</f>
        <v>-23.590250197400302</v>
      </c>
      <c r="AC25" s="31">
        <v>-1.3477091134156038E-3</v>
      </c>
      <c r="AD25" s="32">
        <v>-1.6346395465766906E-4</v>
      </c>
      <c r="AE25" s="33">
        <v>-3.9949120749170106E-2</v>
      </c>
      <c r="AG25">
        <v>6.9388939039072284E-18</v>
      </c>
      <c r="AH25">
        <v>-8.6736173798840355E-19</v>
      </c>
      <c r="AI25">
        <v>0.99999999999999989</v>
      </c>
      <c r="AL25">
        <v>114.86588136159925</v>
      </c>
      <c r="AM25">
        <v>37.890790345005883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</row>
    <row r="26" spans="1:49">
      <c r="A26" s="11" cm="1">
        <f t="array" ref="A26:K26">(A1:K1)^B34/((A1:K1)^B34 +( B35 ^ B34))</f>
        <v>0</v>
      </c>
      <c r="B26" s="7">
        <v>0.19648023376352333</v>
      </c>
      <c r="C26" s="8">
        <v>0.28516095942959074</v>
      </c>
      <c r="D26" s="8">
        <v>0.34689818772389774</v>
      </c>
      <c r="E26" s="8">
        <v>0.39422966902760953</v>
      </c>
      <c r="F26" s="8">
        <v>0.43241519267639478</v>
      </c>
      <c r="G26" s="8">
        <v>0.46424479523074036</v>
      </c>
      <c r="H26" s="8">
        <v>0.49139624257719644</v>
      </c>
      <c r="I26" s="8">
        <v>0.51496279979044024</v>
      </c>
      <c r="J26" s="8">
        <v>0.53569829334722485</v>
      </c>
      <c r="K26" s="8">
        <v>0.55414494712092266</v>
      </c>
      <c r="L26" s="24"/>
      <c r="AL26">
        <v>111.24179668672409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</row>
    <row r="27" spans="1:49">
      <c r="A27" t="s">
        <v>88</v>
      </c>
      <c r="P27" t="s">
        <v>32</v>
      </c>
      <c r="AC27" t="s">
        <v>103</v>
      </c>
    </row>
    <row r="28" spans="1:49">
      <c r="A28" cm="1">
        <f t="array" ref="A28:J28">B23:K23-A23:J23</f>
        <v>0.19648023376352333</v>
      </c>
      <c r="B28">
        <v>8.8680725666067411E-2</v>
      </c>
      <c r="C28">
        <v>6.1737228294307001E-2</v>
      </c>
      <c r="D28">
        <v>4.7331481303711787E-2</v>
      </c>
      <c r="E28">
        <v>3.8185523648785247E-2</v>
      </c>
      <c r="F28">
        <v>3.1829602554345582E-2</v>
      </c>
      <c r="G28">
        <v>2.7151447346456081E-2</v>
      </c>
      <c r="H28">
        <v>2.3566557213243799E-2</v>
      </c>
      <c r="I28">
        <v>2.0735493556784612E-2</v>
      </c>
      <c r="J28">
        <v>1.8446653773697808E-2</v>
      </c>
      <c r="AC28" cm="1">
        <f t="array" ref="AC28:AE30">-1*_xlfn.ANCHORARRAY(AC23)</f>
        <v>7.3059371443467318E-4</v>
      </c>
      <c r="AD28">
        <v>-5.0265083055059541E-5</v>
      </c>
      <c r="AE28">
        <v>-1.3849687292446129E-3</v>
      </c>
    </row>
    <row r="29" spans="1:49">
      <c r="A29" cm="1">
        <f t="array" ref="A29:J29">B24:K24-A24:J24</f>
        <v>0.35456469428141951</v>
      </c>
      <c r="B29">
        <v>0.16003164176956025</v>
      </c>
      <c r="C29">
        <v>0.11140989124788503</v>
      </c>
      <c r="D29">
        <v>8.5413539453213505E-2</v>
      </c>
      <c r="E29">
        <v>6.89089088462852E-2</v>
      </c>
      <c r="F29">
        <v>5.7439128011032681E-2</v>
      </c>
      <c r="G29">
        <v>4.8997013304050263E-2</v>
      </c>
      <c r="H29">
        <v>4.252778507804611E-2</v>
      </c>
      <c r="I29">
        <v>3.7418898547242008E-2</v>
      </c>
      <c r="J29">
        <v>3.3288499461265442E-2</v>
      </c>
      <c r="U29" s="18">
        <f>O42</f>
        <v>-1292.1874999999998</v>
      </c>
      <c r="V29" s="18">
        <f>Q42</f>
        <v>-99.526518315735885</v>
      </c>
      <c r="W29" s="18">
        <f>S42</f>
        <v>-44.000115913522194</v>
      </c>
      <c r="AC29">
        <v>-3.3794235305015431E-5</v>
      </c>
      <c r="AD29">
        <v>5.8034260652376662E-4</v>
      </c>
      <c r="AE29">
        <v>3.2024968574585912E-4</v>
      </c>
    </row>
    <row r="30" spans="1:49">
      <c r="U30" s="18">
        <f>O43</f>
        <v>-99.526518315735885</v>
      </c>
      <c r="V30" s="18">
        <f>Q43</f>
        <v>-1734.6853535131052</v>
      </c>
      <c r="W30" s="18">
        <f>S43</f>
        <v>10.455582398301171</v>
      </c>
      <c r="AC30">
        <v>1.3477091134156038E-3</v>
      </c>
      <c r="AD30">
        <v>1.6346395465766906E-4</v>
      </c>
      <c r="AE30">
        <v>3.9949120749170106E-2</v>
      </c>
    </row>
    <row r="31" spans="1:49" ht="15.75" thickBot="1">
      <c r="U31" s="18">
        <f>O44</f>
        <v>-44.000115913522194</v>
      </c>
      <c r="V31" s="18">
        <f>Q44</f>
        <v>10.455582398301171</v>
      </c>
      <c r="W31" s="18">
        <f>S44</f>
        <v>-23.590250197400302</v>
      </c>
      <c r="AK31" t="s">
        <v>163</v>
      </c>
      <c r="AO31" t="s">
        <v>164</v>
      </c>
    </row>
    <row r="32" spans="1:49">
      <c r="D32" t="s">
        <v>100</v>
      </c>
      <c r="AB32" t="s">
        <v>106</v>
      </c>
      <c r="AC32" s="27" cm="1">
        <f t="array" ref="AC32:AE34">_xlfn.ANCHORARRAY(AC23)*-AC194</f>
        <v>3.7001801084557277E-4</v>
      </c>
      <c r="AD32" s="28">
        <v>-2.5457358418984437E-5</v>
      </c>
      <c r="AE32" s="29">
        <v>-7.0143414069056404E-4</v>
      </c>
      <c r="AG32" cm="1">
        <f t="array" ref="AG32:AI34">SQRT(_xlfn.ANCHORARRAY(AC32))</f>
        <v>1.9235852225611756E-2</v>
      </c>
      <c r="AH32" t="e">
        <v>#NUM!</v>
      </c>
      <c r="AI32" t="e">
        <v>#NUM!</v>
      </c>
      <c r="AK32" cm="1">
        <f t="array" ref="AK32:AM34">_xlfn.ANCHORARRAY(AC23)*-AC194</f>
        <v>3.7001801084557277E-4</v>
      </c>
      <c r="AL32">
        <v>-2.5457358418984437E-5</v>
      </c>
      <c r="AM32">
        <v>-7.0143414069056404E-4</v>
      </c>
    </row>
    <row r="33" spans="1:45">
      <c r="A33" t="s">
        <v>35</v>
      </c>
      <c r="B33">
        <v>0.8</v>
      </c>
      <c r="D33">
        <f>B33/SQRT(AC28)</f>
        <v>29.597295003935493</v>
      </c>
      <c r="AB33" t="s">
        <v>104</v>
      </c>
      <c r="AC33" s="30">
        <v>-1.7115498639739719E-5</v>
      </c>
      <c r="AD33" s="24">
        <v>2.9392152249902776E-4</v>
      </c>
      <c r="AE33" s="9">
        <v>1.6219432134766636E-4</v>
      </c>
      <c r="AG33" t="e">
        <v>#NUM!</v>
      </c>
      <c r="AH33">
        <v>1.7144139596346846E-2</v>
      </c>
      <c r="AI33">
        <v>1.2735553437038626E-2</v>
      </c>
      <c r="AK33">
        <v>-1.7115498639739719E-5</v>
      </c>
      <c r="AL33">
        <v>2.9392152249902776E-4</v>
      </c>
      <c r="AM33">
        <v>1.6219432134766636E-4</v>
      </c>
    </row>
    <row r="34" spans="1:45" ht="15.75" thickBot="1">
      <c r="A34" t="s">
        <v>204</v>
      </c>
      <c r="B34">
        <v>0.70610738319787103</v>
      </c>
      <c r="C34" t="s">
        <v>244</v>
      </c>
      <c r="D34">
        <f>B34/SQRT(AD29)</f>
        <v>29.310857536003439</v>
      </c>
      <c r="U34" cm="1">
        <f t="array" ref="U34:W36">MINVERSE(U29:W31)</f>
        <v>-8.319951424762517E-4</v>
      </c>
      <c r="V34">
        <v>5.7241533990386241E-5</v>
      </c>
      <c r="W34">
        <v>1.5771929493051482E-3</v>
      </c>
      <c r="AC34" s="31">
        <v>6.8256355822930075E-4</v>
      </c>
      <c r="AD34" s="32">
        <v>8.2788294167277432E-5</v>
      </c>
      <c r="AE34" s="33">
        <v>2.0232714712137397E-2</v>
      </c>
      <c r="AG34">
        <v>2.6125917366272532E-2</v>
      </c>
      <c r="AH34">
        <v>9.0988072936664301E-3</v>
      </c>
      <c r="AI34">
        <v>0.14224174743069418</v>
      </c>
      <c r="AK34">
        <v>6.8256355822930075E-4</v>
      </c>
      <c r="AL34">
        <v>8.2788294167277432E-5</v>
      </c>
      <c r="AM34">
        <v>2.0232714712137397E-2</v>
      </c>
    </row>
    <row r="35" spans="1:45">
      <c r="A35" t="s">
        <v>205</v>
      </c>
      <c r="B35">
        <v>7.3496599596206824</v>
      </c>
      <c r="C35" t="s">
        <v>87</v>
      </c>
      <c r="D35">
        <f>B35/SQRT(AE30)</f>
        <v>36.771693692454626</v>
      </c>
      <c r="U35">
        <v>5.7241533990386241E-5</v>
      </c>
      <c r="V35">
        <v>-5.8195578823139855E-4</v>
      </c>
      <c r="W35">
        <v>-3.6469815939530029E-4</v>
      </c>
    </row>
    <row r="36" spans="1:45">
      <c r="A36" t="s">
        <v>243</v>
      </c>
      <c r="B36" s="26" cm="1">
        <f t="array" ref="B36">SUM((B2:K11*(LN((B24:K24-A24:J24)*M2:M11))-((B24:K24-A24:J24)*M2:M11))*AC2:AL11)</f>
        <v>1671.4860687333858</v>
      </c>
      <c r="U36">
        <v>1.577192949305148E-3</v>
      </c>
      <c r="V36">
        <v>-3.6469815939530023E-4</v>
      </c>
      <c r="W36">
        <v>-4.5493786427146625E-2</v>
      </c>
    </row>
    <row r="37" spans="1:45">
      <c r="A37" s="5" t="s">
        <v>25</v>
      </c>
      <c r="AJ37" t="s">
        <v>84</v>
      </c>
    </row>
    <row r="39" spans="1:45">
      <c r="C39">
        <f>B33</f>
        <v>0.8</v>
      </c>
      <c r="D39">
        <f>B34</f>
        <v>0.70610738319787103</v>
      </c>
      <c r="E39">
        <f>B35</f>
        <v>7.3496599596206824</v>
      </c>
      <c r="G39" s="9"/>
    </row>
    <row r="40" spans="1:45">
      <c r="B40">
        <f>B33</f>
        <v>0.8</v>
      </c>
      <c r="C40">
        <f>_xlfn.COVARIANCE.P(C39,B40)</f>
        <v>0</v>
      </c>
      <c r="D40">
        <f>_xlfn.COVARIANCE.P(D39,B40)</f>
        <v>0</v>
      </c>
      <c r="E40">
        <f>_xlfn.COVARIANCE.P(E39,B40)</f>
        <v>0</v>
      </c>
      <c r="G40" s="9"/>
      <c r="M40" t="s">
        <v>73</v>
      </c>
      <c r="V40" t="e" cm="1">
        <f t="array" ref="V40">-SUM((_xlfn.ANCHORARRAY(M2))*(B2:K11)^B34/((B2:K11)^B34+B35^B34)*((B35^B34)/(((B2:K11)^B34+B35^B34))*LN((B2:K11)/B35)))</f>
        <v>#NUM!</v>
      </c>
      <c r="X40" cm="1">
        <f t="array" ref="X40:AG49">_xlfn.ANCHORARRAY(M2)*((B1:K1)^B34/((B1:K1)^B34+B35^B34))*(B35^B34)/(((B1:K1)^B34+B35^B34))*LN((B1:K1)/B35)</f>
        <v>-39.363885688788642</v>
      </c>
      <c r="Y40">
        <v>-33.163452976438037</v>
      </c>
      <c r="Z40">
        <v>-25.376172532850877</v>
      </c>
      <c r="AA40">
        <v>-18.160704024049902</v>
      </c>
      <c r="AB40">
        <v>-11.818194278463491</v>
      </c>
      <c r="AC40">
        <v>-6.3081038442318738</v>
      </c>
      <c r="AD40">
        <v>-1.5228131210645561</v>
      </c>
      <c r="AE40">
        <v>2.6472664212636796</v>
      </c>
      <c r="AF40">
        <v>6.2981319304074992</v>
      </c>
      <c r="AG40">
        <v>9.5101089948331907</v>
      </c>
      <c r="AJ40" cm="1">
        <f t="array" ref="AJ40:AS49">_xlfn.ANCHORARRAY(M2)*((B1:K1)^B34/((B1:K1)^B34+B35^B34))*(B35^B34)/(((B1:K1)^B34+B35^B34))*(-B34/B35)</f>
        <v>-1.8959805832037344</v>
      </c>
      <c r="AK40">
        <v>-2.4480302782411338</v>
      </c>
      <c r="AL40">
        <v>-2.7208297927315508</v>
      </c>
      <c r="AM40">
        <v>-2.8679776256073812</v>
      </c>
      <c r="AN40">
        <v>-2.9474752084456153</v>
      </c>
      <c r="AO40">
        <v>-2.9869771260098958</v>
      </c>
      <c r="AP40">
        <v>-3.0014412726716375</v>
      </c>
      <c r="AQ40">
        <v>-2.9996415469853681</v>
      </c>
      <c r="AR40">
        <v>-2.987025962156312</v>
      </c>
      <c r="AS40">
        <v>-2.9671228285310685</v>
      </c>
    </row>
    <row r="41" spans="1:45">
      <c r="B41">
        <f>B34</f>
        <v>0.70610738319787103</v>
      </c>
      <c r="C41">
        <f>_xlfn.COVARIANCE.P(B41,C39)</f>
        <v>0</v>
      </c>
      <c r="D41">
        <f>_xlfn.COVARIANCE.P(D39,B41)</f>
        <v>0</v>
      </c>
      <c r="E41">
        <f>_xlfn.COVARIANCE.P(E39,B41)</f>
        <v>0</v>
      </c>
      <c r="G41" s="9"/>
      <c r="H41" t="s">
        <v>83</v>
      </c>
      <c r="X41">
        <v>-39.912908463539132</v>
      </c>
      <c r="Y41">
        <v>-33.625996006802978</v>
      </c>
      <c r="Z41">
        <v>-25.730103462502495</v>
      </c>
      <c r="AA41">
        <v>-18.413998127013574</v>
      </c>
      <c r="AB41">
        <v>-11.983027035742593</v>
      </c>
      <c r="AC41">
        <v>-6.3960853179958015</v>
      </c>
      <c r="AD41">
        <v>-1.5440523628346194</v>
      </c>
      <c r="AE41">
        <v>2.6841888320133873</v>
      </c>
      <c r="AF41">
        <v>6.3859743221752874</v>
      </c>
      <c r="AG41">
        <v>9.6427500270169109</v>
      </c>
      <c r="AJ41">
        <v>-1.9224245305541874</v>
      </c>
      <c r="AK41">
        <v>-2.4821738682987573</v>
      </c>
      <c r="AL41">
        <v>-2.758778219221742</v>
      </c>
      <c r="AM41">
        <v>-2.9079783777277886</v>
      </c>
      <c r="AN41">
        <v>-2.9885847429626815</v>
      </c>
      <c r="AO41">
        <v>-3.0286376084836899</v>
      </c>
      <c r="AP41">
        <v>-3.0433034919860829</v>
      </c>
      <c r="AQ41">
        <v>-3.0414786648553607</v>
      </c>
      <c r="AR41">
        <v>-3.0286871257660288</v>
      </c>
      <c r="AS41">
        <v>-3.0085063957232068</v>
      </c>
    </row>
    <row r="42" spans="1:45">
      <c r="B42">
        <f>B35</f>
        <v>7.3496599596206824</v>
      </c>
      <c r="C42">
        <f>_xlfn.COVARIANCE.P(C39,B42)</f>
        <v>0</v>
      </c>
      <c r="D42">
        <f>_xlfn.COVARIANCE.P(B42,D39)</f>
        <v>0</v>
      </c>
      <c r="E42">
        <f>_xlfn.COVARIANCE.P(E39,B42)</f>
        <v>0</v>
      </c>
      <c r="G42" s="9"/>
      <c r="I42" t="s">
        <v>74</v>
      </c>
      <c r="J42" t="s">
        <v>77</v>
      </c>
      <c r="K42" t="s">
        <v>81</v>
      </c>
      <c r="N42" t="s">
        <v>71</v>
      </c>
      <c r="O42" cm="1">
        <f t="array" ref="O42">SUM(-B2:K11/B33^2)</f>
        <v>-1292.1874999999998</v>
      </c>
      <c r="P42" t="s">
        <v>72</v>
      </c>
      <c r="Q42">
        <f>V76</f>
        <v>-99.526518315735885</v>
      </c>
      <c r="R42" t="s">
        <v>85</v>
      </c>
      <c r="S42">
        <f>AJ73</f>
        <v>-44.000115913522194</v>
      </c>
      <c r="X42">
        <v>-40.243045447240434</v>
      </c>
      <c r="Y42">
        <v>-33.904131209748137</v>
      </c>
      <c r="Z42">
        <v>-25.942928312267391</v>
      </c>
      <c r="AA42">
        <v>-18.566308295165992</v>
      </c>
      <c r="AB42">
        <v>-12.08214385166707</v>
      </c>
      <c r="AC42">
        <v>-6.4489901148564028</v>
      </c>
      <c r="AD42">
        <v>-1.5568238898760212</v>
      </c>
      <c r="AE42">
        <v>2.7063909224848226</v>
      </c>
      <c r="AF42">
        <v>6.4387954866024</v>
      </c>
      <c r="AG42">
        <v>9.7225093963801594</v>
      </c>
      <c r="AJ42">
        <v>-1.9383257379665793</v>
      </c>
      <c r="AK42">
        <v>-2.5027050053530995</v>
      </c>
      <c r="AL42">
        <v>-2.7815972708783434</v>
      </c>
      <c r="AM42">
        <v>-2.9320315286318039</v>
      </c>
      <c r="AN42">
        <v>-3.0133046240878247</v>
      </c>
      <c r="AO42">
        <v>-3.0536887842380831</v>
      </c>
      <c r="AP42">
        <v>-3.0684759756262996</v>
      </c>
      <c r="AQ42">
        <v>-3.066636054558606</v>
      </c>
      <c r="AR42">
        <v>-3.0537387110993492</v>
      </c>
      <c r="AS42">
        <v>-3.0333910574821323</v>
      </c>
    </row>
    <row r="43" spans="1:45">
      <c r="G43" s="9"/>
      <c r="I43" t="s">
        <v>75</v>
      </c>
      <c r="J43" t="s">
        <v>78</v>
      </c>
      <c r="K43" t="s">
        <v>82</v>
      </c>
      <c r="N43" t="s">
        <v>96</v>
      </c>
      <c r="O43">
        <f>V76</f>
        <v>-99.526518315735885</v>
      </c>
      <c r="P43" t="s">
        <v>90</v>
      </c>
      <c r="Q43">
        <f>AW93</f>
        <v>-1734.6853535131052</v>
      </c>
      <c r="R43" t="s">
        <v>91</v>
      </c>
      <c r="S43">
        <f>P145</f>
        <v>10.455582398301171</v>
      </c>
      <c r="X43">
        <v>-40.819019479225595</v>
      </c>
      <c r="Y43">
        <v>-34.389380249347639</v>
      </c>
      <c r="Z43">
        <v>-26.31423353669701</v>
      </c>
      <c r="AA43">
        <v>-18.832036480719594</v>
      </c>
      <c r="AB43">
        <v>-12.255068167705547</v>
      </c>
      <c r="AC43">
        <v>-6.5412905557749719</v>
      </c>
      <c r="AD43">
        <v>-1.579105755549391</v>
      </c>
      <c r="AE43">
        <v>2.7451258361681137</v>
      </c>
      <c r="AF43">
        <v>6.5309500180582347</v>
      </c>
      <c r="AG43">
        <v>9.8616617114152714</v>
      </c>
      <c r="AJ43">
        <v>-1.9660678056503207</v>
      </c>
      <c r="AK43">
        <v>-2.5385246874070462</v>
      </c>
      <c r="AL43">
        <v>-2.8214085669087883</v>
      </c>
      <c r="AM43">
        <v>-2.9739958979454459</v>
      </c>
      <c r="AN43">
        <v>-3.0564322053791257</v>
      </c>
      <c r="AO43">
        <v>-3.0973943592495807</v>
      </c>
      <c r="AP43">
        <v>-3.1123931906404607</v>
      </c>
      <c r="AQ43">
        <v>-3.110526935910785</v>
      </c>
      <c r="AR43">
        <v>-3.0974450006833973</v>
      </c>
      <c r="AS43">
        <v>-3.0768061235773732</v>
      </c>
    </row>
    <row r="44" spans="1:45">
      <c r="C44">
        <f>_xlfn.COVARIANCE.P(C39:E39,B40:B42)</f>
        <v>9.671516916204725</v>
      </c>
      <c r="G44" s="9"/>
      <c r="I44" t="s">
        <v>76</v>
      </c>
      <c r="J44" t="s">
        <v>80</v>
      </c>
      <c r="K44" t="s">
        <v>79</v>
      </c>
      <c r="N44" t="s">
        <v>95</v>
      </c>
      <c r="O44">
        <f>AJ73</f>
        <v>-44.000115913522194</v>
      </c>
      <c r="P44" t="s">
        <v>97</v>
      </c>
      <c r="Q44">
        <f>P145</f>
        <v>10.455582398301171</v>
      </c>
      <c r="R44" t="s">
        <v>94</v>
      </c>
      <c r="S44">
        <f>P181</f>
        <v>-23.590250197400302</v>
      </c>
      <c r="X44">
        <v>-41.307962428564252</v>
      </c>
      <c r="Y44">
        <v>-34.801306974182417</v>
      </c>
      <c r="Z44">
        <v>-26.629433635062103</v>
      </c>
      <c r="AA44">
        <v>-19.05761248858089</v>
      </c>
      <c r="AB44">
        <v>-12.401863197343967</v>
      </c>
      <c r="AC44">
        <v>-6.6196441746915031</v>
      </c>
      <c r="AD44">
        <v>-1.5980207769116483</v>
      </c>
      <c r="AE44">
        <v>2.7780078098109371</v>
      </c>
      <c r="AF44">
        <v>6.6091797747881307</v>
      </c>
      <c r="AG44">
        <v>9.9797877718664161</v>
      </c>
      <c r="AJ44">
        <v>-1.9896179791664605</v>
      </c>
      <c r="AK44">
        <v>-2.5689319280381318</v>
      </c>
      <c r="AL44">
        <v>-2.8552042788977987</v>
      </c>
      <c r="AM44">
        <v>-3.0096193485871883</v>
      </c>
      <c r="AN44">
        <v>-3.0930431038283719</v>
      </c>
      <c r="AO44">
        <v>-3.1344959151565557</v>
      </c>
      <c r="AP44">
        <v>-3.1496744072289133</v>
      </c>
      <c r="AQ44">
        <v>-3.147785797917884</v>
      </c>
      <c r="AR44">
        <v>-3.1345471631892643</v>
      </c>
      <c r="AS44">
        <v>-3.1136610671747027</v>
      </c>
    </row>
    <row r="45" spans="1:45">
      <c r="G45" s="9"/>
      <c r="X45">
        <v>-41.836156691404533</v>
      </c>
      <c r="Y45">
        <v>-35.246302311701072</v>
      </c>
      <c r="Z45">
        <v>-26.969937335602886</v>
      </c>
      <c r="AA45">
        <v>-19.301297264786189</v>
      </c>
      <c r="AB45">
        <v>-12.560442623784946</v>
      </c>
      <c r="AC45">
        <v>-6.7042878576415577</v>
      </c>
      <c r="AD45">
        <v>-1.6184542564792739</v>
      </c>
      <c r="AE45">
        <v>2.8135294792664358</v>
      </c>
      <c r="AF45">
        <v>6.6936896521552409</v>
      </c>
      <c r="AG45">
        <v>10.107396744460486</v>
      </c>
      <c r="AJ45">
        <v>-2.0150587111719904</v>
      </c>
      <c r="AK45">
        <v>-2.6017801981110873</v>
      </c>
      <c r="AL45">
        <v>-2.8917130396956439</v>
      </c>
      <c r="AM45">
        <v>-3.0481025750597097</v>
      </c>
      <c r="AN45">
        <v>-3.1325930483453677</v>
      </c>
      <c r="AO45">
        <v>-3.1745759060819165</v>
      </c>
      <c r="AP45">
        <v>-3.189948481618087</v>
      </c>
      <c r="AQ45">
        <v>-3.1880357231468426</v>
      </c>
      <c r="AR45">
        <v>-3.174627809410004</v>
      </c>
      <c r="AS45">
        <v>-3.1534746482719296</v>
      </c>
    </row>
    <row r="46" spans="1:45">
      <c r="G46" s="9"/>
      <c r="I46">
        <v>1</v>
      </c>
      <c r="J46">
        <v>1</v>
      </c>
      <c r="K46">
        <v>1</v>
      </c>
      <c r="X46">
        <v>-40.59895922812359</v>
      </c>
      <c r="Y46">
        <v>-34.203982957853043</v>
      </c>
      <c r="Z46">
        <v>-26.172370333868493</v>
      </c>
      <c r="AA46">
        <v>-18.730510703530886</v>
      </c>
      <c r="AB46">
        <v>-12.188999618958805</v>
      </c>
      <c r="AC46">
        <v>-6.5060256704200548</v>
      </c>
      <c r="AD46">
        <v>-1.5705926062009681</v>
      </c>
      <c r="AE46">
        <v>2.730326532105428</v>
      </c>
      <c r="AF46">
        <v>6.4957408797877774</v>
      </c>
      <c r="AG46">
        <v>9.8084963051859155</v>
      </c>
      <c r="AJ46">
        <v>-1.955468497276067</v>
      </c>
      <c r="AK46">
        <v>-2.52483919502466</v>
      </c>
      <c r="AL46">
        <v>-2.8061980134556044</v>
      </c>
      <c r="AM46">
        <v>-2.9579627278098601</v>
      </c>
      <c r="AN46">
        <v>-3.0399546111798266</v>
      </c>
      <c r="AO46">
        <v>-3.0806959331444337</v>
      </c>
      <c r="AP46">
        <v>-3.0956139040285149</v>
      </c>
      <c r="AQ46">
        <v>-3.0937577105028975</v>
      </c>
      <c r="AR46">
        <v>-3.0807463015641803</v>
      </c>
      <c r="AS46">
        <v>-3.0602186911308098</v>
      </c>
    </row>
    <row r="47" spans="1:45">
      <c r="G47" s="9"/>
      <c r="I47">
        <v>1</v>
      </c>
      <c r="J47">
        <v>1</v>
      </c>
      <c r="K47">
        <v>1</v>
      </c>
      <c r="X47">
        <v>-41.449699160002403</v>
      </c>
      <c r="Y47">
        <v>-34.920717935418445</v>
      </c>
      <c r="Z47">
        <v>-26.720805096194081</v>
      </c>
      <c r="AA47">
        <v>-19.123003361050515</v>
      </c>
      <c r="AB47">
        <v>-12.444416725767804</v>
      </c>
      <c r="AC47">
        <v>-6.6423576341178032</v>
      </c>
      <c r="AD47">
        <v>-1.6035039387132355</v>
      </c>
      <c r="AE47">
        <v>2.7875397674220914</v>
      </c>
      <c r="AF47">
        <v>6.6318573285499651</v>
      </c>
      <c r="AG47">
        <v>10.014030625206786</v>
      </c>
      <c r="AJ47">
        <v>-1.9964447973535184</v>
      </c>
      <c r="AK47">
        <v>-2.5777465001777502</v>
      </c>
      <c r="AL47">
        <v>-2.865001114623575</v>
      </c>
      <c r="AM47">
        <v>-3.0199460164803202</v>
      </c>
      <c r="AN47">
        <v>-3.1036560170286318</v>
      </c>
      <c r="AO47">
        <v>-3.1452510620967811</v>
      </c>
      <c r="AP47">
        <v>-3.1604816349237437</v>
      </c>
      <c r="AQ47">
        <v>-3.1585865453775495</v>
      </c>
      <c r="AR47">
        <v>-3.1453024859727958</v>
      </c>
      <c r="AS47">
        <v>-3.1243447251554315</v>
      </c>
    </row>
    <row r="48" spans="1:45">
      <c r="G48" s="9"/>
      <c r="I48">
        <v>1</v>
      </c>
      <c r="J48">
        <v>1</v>
      </c>
      <c r="K48">
        <v>1</v>
      </c>
      <c r="X48">
        <v>-43.670835454752194</v>
      </c>
      <c r="Y48">
        <v>-36.791990239366172</v>
      </c>
      <c r="Z48">
        <v>-28.152674355244422</v>
      </c>
      <c r="AA48">
        <v>-20.147734485536898</v>
      </c>
      <c r="AB48">
        <v>-13.111267058019836</v>
      </c>
      <c r="AC48">
        <v>-6.9982970479817341</v>
      </c>
      <c r="AD48">
        <v>-1.689429792681485</v>
      </c>
      <c r="AE48">
        <v>2.936913728535282</v>
      </c>
      <c r="AF48">
        <v>6.9872340698185482</v>
      </c>
      <c r="AG48">
        <v>10.550645542302398</v>
      </c>
      <c r="AJ48">
        <v>-2.1034269007156898</v>
      </c>
      <c r="AK48">
        <v>-2.7158784149139135</v>
      </c>
      <c r="AL48">
        <v>-3.0185259432507916</v>
      </c>
      <c r="AM48">
        <v>-3.1817737701510205</v>
      </c>
      <c r="AN48">
        <v>-3.2699694804685073</v>
      </c>
      <c r="AO48">
        <v>-3.3137934503818287</v>
      </c>
      <c r="AP48">
        <v>-3.3298401733565939</v>
      </c>
      <c r="AQ48">
        <v>-3.3278435329606189</v>
      </c>
      <c r="AR48">
        <v>-3.3138476298734378</v>
      </c>
      <c r="AS48">
        <v>-3.2917668200556829</v>
      </c>
    </row>
    <row r="49" spans="2:45">
      <c r="X49">
        <v>-42.753951603162562</v>
      </c>
      <c r="Y49">
        <v>-36.019530052446449</v>
      </c>
      <c r="Z49">
        <v>-27.561599505711712</v>
      </c>
      <c r="AA49">
        <v>-19.724726035995218</v>
      </c>
      <c r="AB49">
        <v>-12.83599160440885</v>
      </c>
      <c r="AC49">
        <v>-6.8513654519839831</v>
      </c>
      <c r="AD49">
        <v>-1.6539596470070559</v>
      </c>
      <c r="AE49">
        <v>2.8752522388210311</v>
      </c>
      <c r="AF49">
        <v>6.840534744761408</v>
      </c>
      <c r="AG49">
        <v>10.329131197068349</v>
      </c>
      <c r="AJ49">
        <v>-2.0592647467705545</v>
      </c>
      <c r="AK49">
        <v>-2.6588576358153433</v>
      </c>
      <c r="AL49">
        <v>-2.9551509776896543</v>
      </c>
      <c r="AM49">
        <v>-3.1149713616583861</v>
      </c>
      <c r="AN49">
        <v>-3.2013153734286042</v>
      </c>
      <c r="AO49">
        <v>-3.2442192443809681</v>
      </c>
      <c r="AP49">
        <v>-3.2599290610196561</v>
      </c>
      <c r="AQ49">
        <v>-3.2579743407591084</v>
      </c>
      <c r="AR49">
        <v>-3.2442722863559621</v>
      </c>
      <c r="AS49">
        <v>-3.2226550705533223</v>
      </c>
    </row>
    <row r="50" spans="2:45">
      <c r="B50">
        <v>0</v>
      </c>
      <c r="C50">
        <v>42</v>
      </c>
      <c r="D50">
        <v>18</v>
      </c>
      <c r="E50">
        <v>11</v>
      </c>
      <c r="F50">
        <v>9</v>
      </c>
      <c r="G50">
        <v>8</v>
      </c>
      <c r="H50">
        <v>5</v>
      </c>
      <c r="I50">
        <v>3</v>
      </c>
      <c r="J50">
        <v>2</v>
      </c>
      <c r="K50">
        <v>1</v>
      </c>
      <c r="M50">
        <v>1</v>
      </c>
    </row>
    <row r="51" spans="2:45">
      <c r="B51">
        <v>0</v>
      </c>
      <c r="C51">
        <v>40</v>
      </c>
      <c r="D51">
        <v>19</v>
      </c>
      <c r="E51">
        <v>9</v>
      </c>
      <c r="F51">
        <v>10</v>
      </c>
      <c r="G51">
        <v>9</v>
      </c>
      <c r="H51">
        <v>5</v>
      </c>
      <c r="I51">
        <v>3</v>
      </c>
      <c r="J51">
        <v>3</v>
      </c>
      <c r="K51">
        <v>1</v>
      </c>
      <c r="M51">
        <v>0</v>
      </c>
      <c r="X51" cm="1">
        <f t="array" ref="X51:AG60">IFERROR(_xlfn.ANCHORARRAY(X40),0)</f>
        <v>-39.363885688788642</v>
      </c>
      <c r="Y51">
        <v>-33.163452976438037</v>
      </c>
      <c r="Z51">
        <v>-25.376172532850877</v>
      </c>
      <c r="AA51">
        <v>-18.160704024049902</v>
      </c>
      <c r="AB51">
        <v>-11.818194278463491</v>
      </c>
      <c r="AC51">
        <v>-6.3081038442318738</v>
      </c>
      <c r="AD51">
        <v>-1.5228131210645561</v>
      </c>
      <c r="AE51">
        <v>2.6472664212636796</v>
      </c>
      <c r="AF51">
        <v>6.2981319304074992</v>
      </c>
      <c r="AG51">
        <v>9.5101089948331907</v>
      </c>
      <c r="AJ51" cm="1">
        <f t="array" ref="AJ51:AS60">_xlfn.ANCHORARRAY(M2)*((A1:J1)^B34/((A1:J1)^B34+B35^B34))*(A1:J1)/(((A1:J1)^B34+B35^B34))*(-B34/B35)</f>
        <v>0</v>
      </c>
      <c r="AK51">
        <v>-0.46361362078719198</v>
      </c>
      <c r="AL51">
        <v>-1.1972065443563595</v>
      </c>
      <c r="AM51">
        <v>-1.9959282752080691</v>
      </c>
      <c r="AN51">
        <v>-2.80516267544838</v>
      </c>
      <c r="AO51">
        <v>-3.6036488603140877</v>
      </c>
      <c r="AP51">
        <v>-4.3823337418086741</v>
      </c>
      <c r="AQ51">
        <v>-5.1374805619395039</v>
      </c>
      <c r="AR51">
        <v>-5.8678857409465097</v>
      </c>
      <c r="AS51">
        <v>-6.5736080874022509</v>
      </c>
    </row>
    <row r="52" spans="2:45">
      <c r="B52">
        <v>0</v>
      </c>
      <c r="C52">
        <v>36</v>
      </c>
      <c r="D52">
        <v>19</v>
      </c>
      <c r="E52">
        <v>10</v>
      </c>
      <c r="F52">
        <v>11</v>
      </c>
      <c r="G52">
        <v>9</v>
      </c>
      <c r="H52">
        <v>6</v>
      </c>
      <c r="I52">
        <v>3</v>
      </c>
      <c r="J52">
        <v>3</v>
      </c>
      <c r="K52">
        <v>0</v>
      </c>
      <c r="M52">
        <v>0</v>
      </c>
      <c r="X52">
        <v>-39.912908463539132</v>
      </c>
      <c r="Y52">
        <v>-33.625996006802978</v>
      </c>
      <c r="Z52">
        <v>-25.730103462502495</v>
      </c>
      <c r="AA52">
        <v>-18.413998127013574</v>
      </c>
      <c r="AB52">
        <v>-11.983027035742593</v>
      </c>
      <c r="AC52">
        <v>-6.3960853179958015</v>
      </c>
      <c r="AD52">
        <v>-1.5440523628346194</v>
      </c>
      <c r="AE52">
        <v>2.6841888320133873</v>
      </c>
      <c r="AF52">
        <v>6.3859743221752874</v>
      </c>
      <c r="AG52">
        <v>9.6427500270169109</v>
      </c>
      <c r="AJ52">
        <v>0</v>
      </c>
      <c r="AK52">
        <v>-0.47007981262884757</v>
      </c>
      <c r="AL52">
        <v>-1.2139044299291544</v>
      </c>
      <c r="AM52">
        <v>-2.0237662302443473</v>
      </c>
      <c r="AN52">
        <v>-2.84428732406354</v>
      </c>
      <c r="AO52">
        <v>-3.653910293145135</v>
      </c>
      <c r="AP52">
        <v>-4.4434557827025101</v>
      </c>
      <c r="AQ52">
        <v>-5.2091349167875585</v>
      </c>
      <c r="AR52">
        <v>-5.9497273288650234</v>
      </c>
      <c r="AS52">
        <v>-6.6652926477325281</v>
      </c>
    </row>
    <row r="53" spans="2:45">
      <c r="B53">
        <v>0</v>
      </c>
      <c r="C53">
        <v>38</v>
      </c>
      <c r="D53">
        <v>19</v>
      </c>
      <c r="E53">
        <v>9</v>
      </c>
      <c r="F53">
        <v>11</v>
      </c>
      <c r="G53">
        <v>9</v>
      </c>
      <c r="H53">
        <v>6</v>
      </c>
      <c r="I53">
        <v>3</v>
      </c>
      <c r="J53">
        <v>0</v>
      </c>
      <c r="K53">
        <v>0</v>
      </c>
      <c r="M53">
        <v>0</v>
      </c>
      <c r="X53">
        <v>-40.243045447240434</v>
      </c>
      <c r="Y53">
        <v>-33.904131209748137</v>
      </c>
      <c r="Z53">
        <v>-25.942928312267391</v>
      </c>
      <c r="AA53">
        <v>-18.566308295165992</v>
      </c>
      <c r="AB53">
        <v>-12.08214385166707</v>
      </c>
      <c r="AC53">
        <v>-6.4489901148564028</v>
      </c>
      <c r="AD53">
        <v>-1.5568238898760212</v>
      </c>
      <c r="AE53">
        <v>2.7063909224848226</v>
      </c>
      <c r="AF53">
        <v>6.4387954866024</v>
      </c>
      <c r="AG53">
        <v>9.7225093963801594</v>
      </c>
      <c r="AJ53">
        <v>0</v>
      </c>
      <c r="AK53">
        <v>-0.47396804672188364</v>
      </c>
      <c r="AL53">
        <v>-1.223945160169712</v>
      </c>
      <c r="AM53">
        <v>-2.0405056788259945</v>
      </c>
      <c r="AN53">
        <v>-2.8678136586278065</v>
      </c>
      <c r="AO53">
        <v>-3.6841333705737327</v>
      </c>
      <c r="AP53">
        <v>-4.4802095334508829</v>
      </c>
      <c r="AQ53">
        <v>-5.252221931874228</v>
      </c>
      <c r="AR53">
        <v>-5.9989401051273967</v>
      </c>
      <c r="AS53">
        <v>-6.7204241752236662</v>
      </c>
    </row>
    <row r="54" spans="2:45">
      <c r="B54">
        <v>0</v>
      </c>
      <c r="C54">
        <v>39</v>
      </c>
      <c r="D54">
        <v>19</v>
      </c>
      <c r="E54">
        <v>9</v>
      </c>
      <c r="F54">
        <v>10</v>
      </c>
      <c r="G54">
        <v>10</v>
      </c>
      <c r="H54">
        <v>5</v>
      </c>
      <c r="I54">
        <v>0</v>
      </c>
      <c r="J54">
        <v>0</v>
      </c>
      <c r="K54">
        <v>0</v>
      </c>
      <c r="M54">
        <v>0</v>
      </c>
      <c r="X54">
        <v>-40.819019479225595</v>
      </c>
      <c r="Y54">
        <v>-34.389380249347639</v>
      </c>
      <c r="Z54">
        <v>-26.31423353669701</v>
      </c>
      <c r="AA54">
        <v>-18.832036480719594</v>
      </c>
      <c r="AB54">
        <v>-12.255068167705547</v>
      </c>
      <c r="AC54">
        <v>-6.5412905557749719</v>
      </c>
      <c r="AD54">
        <v>-1.579105755549391</v>
      </c>
      <c r="AE54">
        <v>2.7451258361681137</v>
      </c>
      <c r="AF54">
        <v>6.5309500180582347</v>
      </c>
      <c r="AG54">
        <v>9.8616617114152714</v>
      </c>
      <c r="AJ54">
        <v>0</v>
      </c>
      <c r="AK54">
        <v>-0.48075166073192266</v>
      </c>
      <c r="AL54">
        <v>-1.2414627367098843</v>
      </c>
      <c r="AM54">
        <v>-2.0697101853453348</v>
      </c>
      <c r="AN54">
        <v>-2.9088589169472225</v>
      </c>
      <c r="AO54">
        <v>-3.7368621123535357</v>
      </c>
      <c r="AP54">
        <v>-4.544332025186832</v>
      </c>
      <c r="AQ54">
        <v>-5.3273937636618731</v>
      </c>
      <c r="AR54">
        <v>-6.0847992562325883</v>
      </c>
      <c r="AS54">
        <v>-6.8166094854017656</v>
      </c>
    </row>
    <row r="55" spans="2:45">
      <c r="B55">
        <v>0</v>
      </c>
      <c r="C55">
        <v>41</v>
      </c>
      <c r="D55">
        <v>19</v>
      </c>
      <c r="E55">
        <v>10</v>
      </c>
      <c r="F55">
        <v>9</v>
      </c>
      <c r="G55">
        <v>9</v>
      </c>
      <c r="H55">
        <v>0</v>
      </c>
      <c r="I55">
        <v>0</v>
      </c>
      <c r="J55">
        <v>0</v>
      </c>
      <c r="K55">
        <v>0</v>
      </c>
      <c r="M55">
        <v>0</v>
      </c>
      <c r="X55">
        <v>-41.307962428564252</v>
      </c>
      <c r="Y55">
        <v>-34.801306974182417</v>
      </c>
      <c r="Z55">
        <v>-26.629433635062103</v>
      </c>
      <c r="AA55">
        <v>-19.05761248858089</v>
      </c>
      <c r="AB55">
        <v>-12.401863197343967</v>
      </c>
      <c r="AC55">
        <v>-6.6196441746915031</v>
      </c>
      <c r="AD55">
        <v>-1.5980207769116483</v>
      </c>
      <c r="AE55">
        <v>2.7780078098109371</v>
      </c>
      <c r="AF55">
        <v>6.6091797747881307</v>
      </c>
      <c r="AG55">
        <v>9.9797877718664161</v>
      </c>
      <c r="AJ55">
        <v>0</v>
      </c>
      <c r="AK55">
        <v>-0.48651025410081417</v>
      </c>
      <c r="AL55">
        <v>-1.2563333646604136</v>
      </c>
      <c r="AM55">
        <v>-2.0945018196180305</v>
      </c>
      <c r="AN55">
        <v>-2.9437021365102516</v>
      </c>
      <c r="AO55">
        <v>-3.7816234124973551</v>
      </c>
      <c r="AP55">
        <v>-4.5987654518471599</v>
      </c>
      <c r="AQ55">
        <v>-5.3912069481118055</v>
      </c>
      <c r="AR55">
        <v>-6.1576848799548873</v>
      </c>
      <c r="AS55">
        <v>-6.8982609603466338</v>
      </c>
    </row>
    <row r="56" spans="2:45">
      <c r="B56">
        <v>0</v>
      </c>
      <c r="C56">
        <v>42</v>
      </c>
      <c r="D56">
        <v>19</v>
      </c>
      <c r="E56">
        <v>9</v>
      </c>
      <c r="F56">
        <v>9</v>
      </c>
      <c r="G56">
        <v>0</v>
      </c>
      <c r="H56">
        <v>0</v>
      </c>
      <c r="I56">
        <v>0</v>
      </c>
      <c r="J56">
        <v>0</v>
      </c>
      <c r="K56">
        <v>0</v>
      </c>
      <c r="M56">
        <v>0</v>
      </c>
      <c r="X56">
        <v>-41.836156691404533</v>
      </c>
      <c r="Y56">
        <v>-35.246302311701072</v>
      </c>
      <c r="Z56">
        <v>-26.969937335602886</v>
      </c>
      <c r="AA56">
        <v>-19.301297264786189</v>
      </c>
      <c r="AB56">
        <v>-12.560442623784946</v>
      </c>
      <c r="AC56">
        <v>-6.7042878576415577</v>
      </c>
      <c r="AD56">
        <v>-1.6184542564792739</v>
      </c>
      <c r="AE56">
        <v>2.8135294792664358</v>
      </c>
      <c r="AF56">
        <v>6.6936896521552409</v>
      </c>
      <c r="AG56">
        <v>10.107396744460486</v>
      </c>
      <c r="AJ56">
        <v>0</v>
      </c>
      <c r="AK56">
        <v>-0.49273113525595241</v>
      </c>
      <c r="AL56">
        <v>-1.272397775403888</v>
      </c>
      <c r="AM56">
        <v>-2.1212836742433696</v>
      </c>
      <c r="AN56">
        <v>-2.9813424965910533</v>
      </c>
      <c r="AO56">
        <v>-3.8299780558462695</v>
      </c>
      <c r="AP56">
        <v>-4.6575686797239744</v>
      </c>
      <c r="AQ56">
        <v>-5.4601429210420065</v>
      </c>
      <c r="AR56">
        <v>-6.2364216085358501</v>
      </c>
      <c r="AS56">
        <v>-6.9864672442835696</v>
      </c>
    </row>
    <row r="57" spans="2:45">
      <c r="B57">
        <v>0</v>
      </c>
      <c r="C57">
        <v>43</v>
      </c>
      <c r="D57">
        <v>19</v>
      </c>
      <c r="E57">
        <v>10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M57">
        <v>0</v>
      </c>
      <c r="X57">
        <v>-40.59895922812359</v>
      </c>
      <c r="Y57">
        <v>-34.203982957853043</v>
      </c>
      <c r="Z57">
        <v>-26.172370333868493</v>
      </c>
      <c r="AA57">
        <v>-18.730510703530886</v>
      </c>
      <c r="AB57">
        <v>-12.188999618958805</v>
      </c>
      <c r="AC57">
        <v>-6.5060256704200548</v>
      </c>
      <c r="AD57">
        <v>-1.5705926062009681</v>
      </c>
      <c r="AE57">
        <v>2.730326532105428</v>
      </c>
      <c r="AF57">
        <v>6.4957408797877774</v>
      </c>
      <c r="AG57">
        <v>9.8084963051859155</v>
      </c>
      <c r="AJ57">
        <v>0</v>
      </c>
      <c r="AK57">
        <v>-0.47815987061721354</v>
      </c>
      <c r="AL57">
        <v>-1.234769861548755</v>
      </c>
      <c r="AM57">
        <v>-2.0585521284173072</v>
      </c>
      <c r="AN57">
        <v>-2.8931769081226473</v>
      </c>
      <c r="AO57">
        <v>-3.716716238560644</v>
      </c>
      <c r="AP57">
        <v>-4.5198329838254274</v>
      </c>
      <c r="AQ57">
        <v>-5.2986731421401494</v>
      </c>
      <c r="AR57">
        <v>-6.0519953704627865</v>
      </c>
      <c r="AS57">
        <v>-6.7798603225321044</v>
      </c>
    </row>
    <row r="58" spans="2:45">
      <c r="B58">
        <v>0</v>
      </c>
      <c r="C58">
        <v>43</v>
      </c>
      <c r="D58">
        <v>20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M58">
        <v>0</v>
      </c>
      <c r="X58">
        <v>-41.449699160002403</v>
      </c>
      <c r="Y58">
        <v>-34.920717935418445</v>
      </c>
      <c r="Z58">
        <v>-26.720805096194081</v>
      </c>
      <c r="AA58">
        <v>-19.123003361050515</v>
      </c>
      <c r="AB58">
        <v>-12.444416725767804</v>
      </c>
      <c r="AC58">
        <v>-6.6423576341178032</v>
      </c>
      <c r="AD58">
        <v>-1.6035039387132355</v>
      </c>
      <c r="AE58">
        <v>2.7875397674220914</v>
      </c>
      <c r="AF58">
        <v>6.6318573285499651</v>
      </c>
      <c r="AG58">
        <v>10.014030625206786</v>
      </c>
      <c r="AJ58">
        <v>0</v>
      </c>
      <c r="AK58">
        <v>-0.48817957810454926</v>
      </c>
      <c r="AL58">
        <v>-1.2606441215759019</v>
      </c>
      <c r="AM58">
        <v>-2.1016885173985687</v>
      </c>
      <c r="AN58">
        <v>-2.9538026279077152</v>
      </c>
      <c r="AO58">
        <v>-3.7945989966342939</v>
      </c>
      <c r="AP58">
        <v>-4.6145448305788683</v>
      </c>
      <c r="AQ58">
        <v>-5.409705368426132</v>
      </c>
      <c r="AR58">
        <v>-6.1788132551348598</v>
      </c>
      <c r="AS58">
        <v>-6.9219304154260941</v>
      </c>
    </row>
    <row r="59" spans="2:45">
      <c r="B59">
        <v>0</v>
      </c>
      <c r="C59">
        <v>42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M59">
        <v>0</v>
      </c>
      <c r="X59">
        <v>-43.670835454752194</v>
      </c>
      <c r="Y59">
        <v>-36.791990239366172</v>
      </c>
      <c r="Z59">
        <v>-28.152674355244422</v>
      </c>
      <c r="AA59">
        <v>-20.147734485536898</v>
      </c>
      <c r="AB59">
        <v>-13.111267058019836</v>
      </c>
      <c r="AC59">
        <v>-6.9982970479817341</v>
      </c>
      <c r="AD59">
        <v>-1.689429792681485</v>
      </c>
      <c r="AE59">
        <v>2.936913728535282</v>
      </c>
      <c r="AF59">
        <v>6.9872340698185482</v>
      </c>
      <c r="AG59">
        <v>10.550645542302398</v>
      </c>
      <c r="AJ59">
        <v>0</v>
      </c>
      <c r="AK59">
        <v>-0.5143393187361528</v>
      </c>
      <c r="AL59">
        <v>-1.3281973842036117</v>
      </c>
      <c r="AM59">
        <v>-2.2143102430287862</v>
      </c>
      <c r="AN59">
        <v>-3.1120860016674965</v>
      </c>
      <c r="AO59">
        <v>-3.9979375425405244</v>
      </c>
      <c r="AP59">
        <v>-4.8618212454783816</v>
      </c>
      <c r="AQ59">
        <v>-5.699591499838851</v>
      </c>
      <c r="AR59">
        <v>-6.5099130377046768</v>
      </c>
      <c r="AS59">
        <v>-7.2928511021140077</v>
      </c>
    </row>
    <row r="60" spans="2:45">
      <c r="X60">
        <v>-42.753951603162562</v>
      </c>
      <c r="Y60">
        <v>-36.019530052446449</v>
      </c>
      <c r="Z60">
        <v>-27.561599505711712</v>
      </c>
      <c r="AA60">
        <v>-19.724726035995218</v>
      </c>
      <c r="AB60">
        <v>-12.83599160440885</v>
      </c>
      <c r="AC60">
        <v>-6.8513654519839831</v>
      </c>
      <c r="AD60">
        <v>-1.6539596470070559</v>
      </c>
      <c r="AE60">
        <v>2.8752522388210311</v>
      </c>
      <c r="AF60">
        <v>6.840534744761408</v>
      </c>
      <c r="AG60">
        <v>10.329131197068349</v>
      </c>
      <c r="AJ60">
        <v>0</v>
      </c>
      <c r="AK60">
        <v>-0.5035405920647702</v>
      </c>
      <c r="AL60">
        <v>-1.3003114342184856</v>
      </c>
      <c r="AM60">
        <v>-2.1678200560859189</v>
      </c>
      <c r="AN60">
        <v>-3.0467467112698223</v>
      </c>
      <c r="AO60">
        <v>-3.9139995016432447</v>
      </c>
      <c r="AP60">
        <v>-4.7597456762140098</v>
      </c>
      <c r="AQ60">
        <v>-5.579926662827102</v>
      </c>
      <c r="AR60">
        <v>-6.3732352279634679</v>
      </c>
      <c r="AS60">
        <v>-7.1397352448617628</v>
      </c>
    </row>
    <row r="62" spans="2:45">
      <c r="AJ62" cm="1">
        <f t="array" ref="AJ62:AS71">_xlfn.ANCHORARRAY(AJ40)-_xlfn.ANCHORARRAY(AJ51)</f>
        <v>-1.8959805832037344</v>
      </c>
      <c r="AK62">
        <v>-1.9844166574539419</v>
      </c>
      <c r="AL62">
        <v>-1.5236232483751913</v>
      </c>
      <c r="AM62">
        <v>-0.87204935039931208</v>
      </c>
      <c r="AN62">
        <v>-0.14231253299723523</v>
      </c>
      <c r="AO62">
        <v>0.61667173430419187</v>
      </c>
      <c r="AP62">
        <v>1.3808924691370366</v>
      </c>
      <c r="AQ62">
        <v>2.1378390149541358</v>
      </c>
      <c r="AR62">
        <v>2.8808597787901977</v>
      </c>
      <c r="AS62">
        <v>3.6064852588711824</v>
      </c>
    </row>
    <row r="63" spans="2:45">
      <c r="F63" t="e" cm="1">
        <f t="array" ref="F63:O72">_xlfn.ANCHORARRAY(M2)*((A1:J1)^B34/((A1:J1)^B34+B35^B34))*(B35^B34)/(((A1:J1)^B34+B35^B34))*LN((A1:J1)/B35)</f>
        <v>#NUM!</v>
      </c>
      <c r="G63">
        <v>-39.363885688788642</v>
      </c>
      <c r="H63">
        <v>-33.163452976438037</v>
      </c>
      <c r="I63">
        <v>-25.376172532850877</v>
      </c>
      <c r="J63">
        <v>-18.160704024049902</v>
      </c>
      <c r="K63">
        <v>-11.818194278463491</v>
      </c>
      <c r="L63">
        <v>-6.3081038442318738</v>
      </c>
      <c r="M63">
        <v>-1.5228131210645561</v>
      </c>
      <c r="N63">
        <v>2.6472664212636796</v>
      </c>
      <c r="O63">
        <v>6.2981319304074992</v>
      </c>
      <c r="R63" cm="1">
        <f t="array" ref="R63:AA72">IFERROR(_xlfn.ANCHORARRAY(F63),0)</f>
        <v>0</v>
      </c>
      <c r="S63">
        <v>-39.363885688788642</v>
      </c>
      <c r="T63">
        <v>-33.163452976438037</v>
      </c>
      <c r="U63">
        <v>-25.376172532850877</v>
      </c>
      <c r="V63">
        <v>-18.160704024049902</v>
      </c>
      <c r="W63">
        <v>-11.818194278463491</v>
      </c>
      <c r="X63">
        <v>-6.3081038442318738</v>
      </c>
      <c r="Y63">
        <v>-1.5228131210645561</v>
      </c>
      <c r="Z63">
        <v>2.6472664212636796</v>
      </c>
      <c r="AA63">
        <v>6.2981319304074992</v>
      </c>
      <c r="AJ63">
        <v>-1.9224245305541874</v>
      </c>
      <c r="AK63">
        <v>-2.0120940556699098</v>
      </c>
      <c r="AL63">
        <v>-1.5448737892925877</v>
      </c>
      <c r="AM63">
        <v>-0.88421214748344124</v>
      </c>
      <c r="AN63">
        <v>-0.14429741889914149</v>
      </c>
      <c r="AO63">
        <v>0.62527268466144514</v>
      </c>
      <c r="AP63">
        <v>1.4001522907164272</v>
      </c>
      <c r="AQ63">
        <v>2.1676562519321978</v>
      </c>
      <c r="AR63">
        <v>2.9210402030989946</v>
      </c>
      <c r="AS63">
        <v>3.6567862520093213</v>
      </c>
    </row>
    <row r="64" spans="2:45">
      <c r="F64" t="e">
        <v>#NUM!</v>
      </c>
      <c r="G64">
        <v>-39.912908463539132</v>
      </c>
      <c r="H64">
        <v>-33.625996006802978</v>
      </c>
      <c r="I64">
        <v>-25.730103462502495</v>
      </c>
      <c r="J64">
        <v>-18.413998127013574</v>
      </c>
      <c r="K64">
        <v>-11.983027035742593</v>
      </c>
      <c r="L64">
        <v>-6.3960853179958015</v>
      </c>
      <c r="M64">
        <v>-1.5440523628346194</v>
      </c>
      <c r="N64">
        <v>2.6841888320133873</v>
      </c>
      <c r="O64">
        <v>6.3859743221752874</v>
      </c>
      <c r="R64">
        <v>0</v>
      </c>
      <c r="S64">
        <v>-39.912908463539132</v>
      </c>
      <c r="T64">
        <v>-33.625996006802978</v>
      </c>
      <c r="U64">
        <v>-25.730103462502495</v>
      </c>
      <c r="V64">
        <v>-18.413998127013574</v>
      </c>
      <c r="W64">
        <v>-11.983027035742593</v>
      </c>
      <c r="X64">
        <v>-6.3960853179958015</v>
      </c>
      <c r="Y64">
        <v>-1.5440523628346194</v>
      </c>
      <c r="Z64">
        <v>2.6841888320133873</v>
      </c>
      <c r="AA64">
        <v>6.3859743221752874</v>
      </c>
      <c r="AJ64">
        <v>-1.9383257379665793</v>
      </c>
      <c r="AK64">
        <v>-2.0287369586312156</v>
      </c>
      <c r="AL64">
        <v>-1.5576521107086314</v>
      </c>
      <c r="AM64">
        <v>-0.8915258498058094</v>
      </c>
      <c r="AN64">
        <v>-0.14549096546001827</v>
      </c>
      <c r="AO64">
        <v>0.63044458633564959</v>
      </c>
      <c r="AP64">
        <v>1.4117335578245833</v>
      </c>
      <c r="AQ64">
        <v>2.185585877315622</v>
      </c>
      <c r="AR64">
        <v>2.9452013940280475</v>
      </c>
      <c r="AS64">
        <v>3.6870331177415339</v>
      </c>
    </row>
    <row r="65" spans="6:46">
      <c r="F65" t="e">
        <v>#NUM!</v>
      </c>
      <c r="G65">
        <v>-40.243045447240434</v>
      </c>
      <c r="H65">
        <v>-33.904131209748137</v>
      </c>
      <c r="I65">
        <v>-25.942928312267391</v>
      </c>
      <c r="J65">
        <v>-18.566308295165992</v>
      </c>
      <c r="K65">
        <v>-12.08214385166707</v>
      </c>
      <c r="L65">
        <v>-6.4489901148564028</v>
      </c>
      <c r="M65">
        <v>-1.5568238898760212</v>
      </c>
      <c r="N65">
        <v>2.7063909224848226</v>
      </c>
      <c r="O65">
        <v>6.4387954866024</v>
      </c>
      <c r="R65">
        <v>0</v>
      </c>
      <c r="S65">
        <v>-40.243045447240434</v>
      </c>
      <c r="T65">
        <v>-33.904131209748137</v>
      </c>
      <c r="U65">
        <v>-25.942928312267391</v>
      </c>
      <c r="V65">
        <v>-18.566308295165992</v>
      </c>
      <c r="W65">
        <v>-12.08214385166707</v>
      </c>
      <c r="X65">
        <v>-6.4489901148564028</v>
      </c>
      <c r="Y65">
        <v>-1.5568238898760212</v>
      </c>
      <c r="Z65">
        <v>2.7063909224848226</v>
      </c>
      <c r="AA65">
        <v>6.4387954866024</v>
      </c>
      <c r="AJ65">
        <v>-1.9660678056503207</v>
      </c>
      <c r="AK65">
        <v>-2.0577730266751235</v>
      </c>
      <c r="AL65">
        <v>-1.579945830198904</v>
      </c>
      <c r="AM65">
        <v>-0.90428571260011115</v>
      </c>
      <c r="AN65">
        <v>-0.1475732884319032</v>
      </c>
      <c r="AO65">
        <v>0.63946775310395498</v>
      </c>
      <c r="AP65">
        <v>1.4319388345463713</v>
      </c>
      <c r="AQ65">
        <v>2.2168668277510881</v>
      </c>
      <c r="AR65">
        <v>2.987354255549191</v>
      </c>
      <c r="AS65">
        <v>3.7398033618243924</v>
      </c>
    </row>
    <row r="66" spans="6:46">
      <c r="F66" t="e">
        <v>#NUM!</v>
      </c>
      <c r="G66">
        <v>-40.819019479225595</v>
      </c>
      <c r="H66">
        <v>-34.389380249347639</v>
      </c>
      <c r="I66">
        <v>-26.31423353669701</v>
      </c>
      <c r="J66">
        <v>-18.832036480719594</v>
      </c>
      <c r="K66">
        <v>-12.255068167705547</v>
      </c>
      <c r="L66">
        <v>-6.5412905557749719</v>
      </c>
      <c r="M66">
        <v>-1.579105755549391</v>
      </c>
      <c r="N66">
        <v>2.7451258361681137</v>
      </c>
      <c r="O66">
        <v>6.5309500180582347</v>
      </c>
      <c r="R66">
        <v>0</v>
      </c>
      <c r="S66">
        <v>-40.819019479225595</v>
      </c>
      <c r="T66">
        <v>-34.389380249347639</v>
      </c>
      <c r="U66">
        <v>-26.31423353669701</v>
      </c>
      <c r="V66">
        <v>-18.832036480719594</v>
      </c>
      <c r="W66">
        <v>-12.255068167705547</v>
      </c>
      <c r="X66">
        <v>-6.5412905557749719</v>
      </c>
      <c r="Y66">
        <v>-1.579105755549391</v>
      </c>
      <c r="Z66">
        <v>2.7451258361681137</v>
      </c>
      <c r="AA66">
        <v>6.5309500180582347</v>
      </c>
      <c r="AJ66">
        <v>-1.9896179791664605</v>
      </c>
      <c r="AK66">
        <v>-2.0824216739373176</v>
      </c>
      <c r="AL66">
        <v>-1.5988709142373851</v>
      </c>
      <c r="AM66">
        <v>-0.91511752896915777</v>
      </c>
      <c r="AN66">
        <v>-0.1493409673181203</v>
      </c>
      <c r="AO66">
        <v>0.64712749734079944</v>
      </c>
      <c r="AP66">
        <v>1.4490910446182466</v>
      </c>
      <c r="AQ66">
        <v>2.2434211501939214</v>
      </c>
      <c r="AR66">
        <v>3.023137716765623</v>
      </c>
      <c r="AS66">
        <v>3.7845998931719311</v>
      </c>
    </row>
    <row r="67" spans="6:46">
      <c r="F67" t="e">
        <v>#NUM!</v>
      </c>
      <c r="G67">
        <v>-41.307962428564252</v>
      </c>
      <c r="H67">
        <v>-34.801306974182417</v>
      </c>
      <c r="I67">
        <v>-26.629433635062103</v>
      </c>
      <c r="J67">
        <v>-19.05761248858089</v>
      </c>
      <c r="K67">
        <v>-12.401863197343967</v>
      </c>
      <c r="L67">
        <v>-6.6196441746915031</v>
      </c>
      <c r="M67">
        <v>-1.5980207769116483</v>
      </c>
      <c r="N67">
        <v>2.7780078098109371</v>
      </c>
      <c r="O67">
        <v>6.6091797747881307</v>
      </c>
      <c r="R67">
        <v>0</v>
      </c>
      <c r="S67">
        <v>-41.307962428564252</v>
      </c>
      <c r="T67">
        <v>-34.801306974182417</v>
      </c>
      <c r="U67">
        <v>-26.629433635062103</v>
      </c>
      <c r="V67">
        <v>-19.05761248858089</v>
      </c>
      <c r="W67">
        <v>-12.401863197343967</v>
      </c>
      <c r="X67">
        <v>-6.6196441746915031</v>
      </c>
      <c r="Y67">
        <v>-1.5980207769116483</v>
      </c>
      <c r="Z67">
        <v>2.7780078098109371</v>
      </c>
      <c r="AA67">
        <v>6.6091797747881307</v>
      </c>
      <c r="AJ67">
        <v>-2.0150587111719904</v>
      </c>
      <c r="AK67">
        <v>-2.109049062855135</v>
      </c>
      <c r="AL67">
        <v>-1.6193152642917559</v>
      </c>
      <c r="AM67">
        <v>-0.92681890081634011</v>
      </c>
      <c r="AN67">
        <v>-0.15125055175431434</v>
      </c>
      <c r="AO67">
        <v>0.65540214976435296</v>
      </c>
      <c r="AP67">
        <v>1.4676201981058874</v>
      </c>
      <c r="AQ67">
        <v>2.2721071978951639</v>
      </c>
      <c r="AR67">
        <v>3.0617937991258461</v>
      </c>
      <c r="AS67">
        <v>3.83299259601164</v>
      </c>
    </row>
    <row r="68" spans="6:46">
      <c r="F68" t="e">
        <v>#NUM!</v>
      </c>
      <c r="G68">
        <v>-41.836156691404533</v>
      </c>
      <c r="H68">
        <v>-35.246302311701072</v>
      </c>
      <c r="I68">
        <v>-26.969937335602886</v>
      </c>
      <c r="J68">
        <v>-19.301297264786189</v>
      </c>
      <c r="K68">
        <v>-12.560442623784946</v>
      </c>
      <c r="L68">
        <v>-6.7042878576415577</v>
      </c>
      <c r="M68">
        <v>-1.6184542564792739</v>
      </c>
      <c r="N68">
        <v>2.8135294792664358</v>
      </c>
      <c r="O68">
        <v>6.6936896521552409</v>
      </c>
      <c r="R68">
        <v>0</v>
      </c>
      <c r="S68">
        <v>-41.836156691404533</v>
      </c>
      <c r="T68">
        <v>-35.246302311701072</v>
      </c>
      <c r="U68">
        <v>-26.969937335602886</v>
      </c>
      <c r="V68">
        <v>-19.301297264786189</v>
      </c>
      <c r="W68">
        <v>-12.560442623784946</v>
      </c>
      <c r="X68">
        <v>-6.7042878576415577</v>
      </c>
      <c r="Y68">
        <v>-1.6184542564792739</v>
      </c>
      <c r="Z68">
        <v>2.8135294792664358</v>
      </c>
      <c r="AA68">
        <v>6.6936896521552409</v>
      </c>
      <c r="AJ68">
        <v>-1.955468497276067</v>
      </c>
      <c r="AK68">
        <v>-2.0466793244074464</v>
      </c>
      <c r="AL68">
        <v>-1.5714281519068494</v>
      </c>
      <c r="AM68">
        <v>-0.89941059939255297</v>
      </c>
      <c r="AN68">
        <v>-0.1467777030571793</v>
      </c>
      <c r="AO68">
        <v>0.63602030541621035</v>
      </c>
      <c r="AP68">
        <v>1.4242190797969125</v>
      </c>
      <c r="AQ68">
        <v>2.2049154316372519</v>
      </c>
      <c r="AR68">
        <v>2.9712490688986062</v>
      </c>
      <c r="AS68">
        <v>3.7196416314012946</v>
      </c>
    </row>
    <row r="69" spans="6:46">
      <c r="F69" t="e">
        <v>#NUM!</v>
      </c>
      <c r="G69">
        <v>-40.59895922812359</v>
      </c>
      <c r="H69">
        <v>-34.203982957853043</v>
      </c>
      <c r="I69">
        <v>-26.172370333868493</v>
      </c>
      <c r="J69">
        <v>-18.730510703530886</v>
      </c>
      <c r="K69">
        <v>-12.188999618958805</v>
      </c>
      <c r="L69">
        <v>-6.5060256704200548</v>
      </c>
      <c r="M69">
        <v>-1.5705926062009681</v>
      </c>
      <c r="N69">
        <v>2.730326532105428</v>
      </c>
      <c r="O69">
        <v>6.4957408797877774</v>
      </c>
      <c r="R69">
        <v>0</v>
      </c>
      <c r="S69">
        <v>-40.59895922812359</v>
      </c>
      <c r="T69">
        <v>-34.203982957853043</v>
      </c>
      <c r="U69">
        <v>-26.172370333868493</v>
      </c>
      <c r="V69">
        <v>-18.730510703530886</v>
      </c>
      <c r="W69">
        <v>-12.188999618958805</v>
      </c>
      <c r="X69">
        <v>-6.5060256704200548</v>
      </c>
      <c r="Y69">
        <v>-1.5705926062009681</v>
      </c>
      <c r="Z69">
        <v>2.730326532105428</v>
      </c>
      <c r="AA69">
        <v>6.4957408797877774</v>
      </c>
      <c r="AJ69">
        <v>-1.9964447973535184</v>
      </c>
      <c r="AK69">
        <v>-2.0895669220732009</v>
      </c>
      <c r="AL69">
        <v>-1.6043569930476731</v>
      </c>
      <c r="AM69">
        <v>-0.91825749908175158</v>
      </c>
      <c r="AN69">
        <v>-0.14985338912091661</v>
      </c>
      <c r="AO69">
        <v>0.64934793453751283</v>
      </c>
      <c r="AP69">
        <v>1.4540631956551247</v>
      </c>
      <c r="AQ69">
        <v>2.2511188230485826</v>
      </c>
      <c r="AR69">
        <v>3.033510769162064</v>
      </c>
      <c r="AS69">
        <v>3.7975856902706626</v>
      </c>
    </row>
    <row r="70" spans="6:46">
      <c r="F70" t="e">
        <v>#NUM!</v>
      </c>
      <c r="G70">
        <v>-41.449699160002403</v>
      </c>
      <c r="H70">
        <v>-34.920717935418445</v>
      </c>
      <c r="I70">
        <v>-26.720805096194081</v>
      </c>
      <c r="J70">
        <v>-19.123003361050515</v>
      </c>
      <c r="K70">
        <v>-12.444416725767804</v>
      </c>
      <c r="L70">
        <v>-6.6423576341178032</v>
      </c>
      <c r="M70">
        <v>-1.6035039387132355</v>
      </c>
      <c r="N70">
        <v>2.7875397674220914</v>
      </c>
      <c r="O70">
        <v>6.6318573285499651</v>
      </c>
      <c r="R70">
        <v>0</v>
      </c>
      <c r="S70">
        <v>-41.449699160002403</v>
      </c>
      <c r="T70">
        <v>-34.920717935418445</v>
      </c>
      <c r="U70">
        <v>-26.720805096194081</v>
      </c>
      <c r="V70">
        <v>-19.123003361050515</v>
      </c>
      <c r="W70">
        <v>-12.444416725767804</v>
      </c>
      <c r="X70">
        <v>-6.6423576341178032</v>
      </c>
      <c r="Y70">
        <v>-1.6035039387132355</v>
      </c>
      <c r="Z70">
        <v>2.7875397674220914</v>
      </c>
      <c r="AA70">
        <v>6.6318573285499651</v>
      </c>
      <c r="AJ70">
        <v>-2.1034269007156898</v>
      </c>
      <c r="AK70">
        <v>-2.2015390961777608</v>
      </c>
      <c r="AL70">
        <v>-1.6903285590471799</v>
      </c>
      <c r="AM70">
        <v>-0.96746352712223427</v>
      </c>
      <c r="AN70">
        <v>-0.15788347880101083</v>
      </c>
      <c r="AO70">
        <v>0.68414409215869565</v>
      </c>
      <c r="AP70">
        <v>1.5319810721217877</v>
      </c>
      <c r="AQ70">
        <v>2.3717479668782322</v>
      </c>
      <c r="AR70">
        <v>3.1960654078312389</v>
      </c>
      <c r="AS70">
        <v>4.0010842820583248</v>
      </c>
    </row>
    <row r="71" spans="6:46">
      <c r="F71" t="e">
        <v>#NUM!</v>
      </c>
      <c r="G71">
        <v>-43.670835454752194</v>
      </c>
      <c r="H71">
        <v>-36.791990239366172</v>
      </c>
      <c r="I71">
        <v>-28.152674355244422</v>
      </c>
      <c r="J71">
        <v>-20.147734485536898</v>
      </c>
      <c r="K71">
        <v>-13.111267058019836</v>
      </c>
      <c r="L71">
        <v>-6.9982970479817341</v>
      </c>
      <c r="M71">
        <v>-1.689429792681485</v>
      </c>
      <c r="N71">
        <v>2.936913728535282</v>
      </c>
      <c r="O71">
        <v>6.9872340698185482</v>
      </c>
      <c r="R71">
        <v>0</v>
      </c>
      <c r="S71">
        <v>-43.670835454752194</v>
      </c>
      <c r="T71">
        <v>-36.791990239366172</v>
      </c>
      <c r="U71">
        <v>-28.152674355244422</v>
      </c>
      <c r="V71">
        <v>-20.147734485536898</v>
      </c>
      <c r="W71">
        <v>-13.111267058019836</v>
      </c>
      <c r="X71">
        <v>-6.9982970479817341</v>
      </c>
      <c r="Y71">
        <v>-1.689429792681485</v>
      </c>
      <c r="Z71">
        <v>2.936913728535282</v>
      </c>
      <c r="AA71">
        <v>6.9872340698185482</v>
      </c>
      <c r="AJ71">
        <v>-2.0592647467705545</v>
      </c>
      <c r="AK71">
        <v>-2.1553170437505731</v>
      </c>
      <c r="AL71">
        <v>-1.6548395434711687</v>
      </c>
      <c r="AM71">
        <v>-0.94715130557246718</v>
      </c>
      <c r="AN71">
        <v>-0.15456866215878184</v>
      </c>
      <c r="AO71">
        <v>0.66978025726227663</v>
      </c>
      <c r="AP71">
        <v>1.4998166151943537</v>
      </c>
      <c r="AQ71">
        <v>2.3219523220679936</v>
      </c>
      <c r="AR71">
        <v>3.1289629416075058</v>
      </c>
      <c r="AS71">
        <v>3.9170801743084405</v>
      </c>
    </row>
    <row r="72" spans="6:46">
      <c r="F72" t="e">
        <v>#NUM!</v>
      </c>
      <c r="G72">
        <v>-42.753951603162562</v>
      </c>
      <c r="H72">
        <v>-36.019530052446449</v>
      </c>
      <c r="I72">
        <v>-27.561599505711712</v>
      </c>
      <c r="J72">
        <v>-19.724726035995218</v>
      </c>
      <c r="K72">
        <v>-12.83599160440885</v>
      </c>
      <c r="L72">
        <v>-6.8513654519839831</v>
      </c>
      <c r="M72">
        <v>-1.6539596470070559</v>
      </c>
      <c r="N72">
        <v>2.8752522388210311</v>
      </c>
      <c r="O72">
        <v>6.840534744761408</v>
      </c>
      <c r="R72">
        <v>0</v>
      </c>
      <c r="S72">
        <v>-42.753951603162562</v>
      </c>
      <c r="T72">
        <v>-36.019530052446449</v>
      </c>
      <c r="U72">
        <v>-27.561599505711712</v>
      </c>
      <c r="V72">
        <v>-19.724726035995218</v>
      </c>
      <c r="W72">
        <v>-12.83599160440885</v>
      </c>
      <c r="X72">
        <v>-6.8513654519839831</v>
      </c>
      <c r="Y72">
        <v>-1.6539596470070559</v>
      </c>
      <c r="Z72">
        <v>2.8752522388210311</v>
      </c>
      <c r="AA72">
        <v>6.840534744761408</v>
      </c>
    </row>
    <row r="73" spans="6:46">
      <c r="AJ73">
        <f>-SUM(_xlfn.ANCHORARRAY(AJ62))</f>
        <v>-44.000115913522194</v>
      </c>
    </row>
    <row r="76" spans="6:46">
      <c r="I76" cm="1">
        <f t="array" ref="I76:R85">_xlfn.ANCHORARRAY(X51)-_xlfn.ANCHORARRAY(R63)</f>
        <v>-39.363885688788642</v>
      </c>
      <c r="J76">
        <v>6.2004327123506044</v>
      </c>
      <c r="K76">
        <v>7.7872804435871608</v>
      </c>
      <c r="L76">
        <v>7.2154685088009742</v>
      </c>
      <c r="M76">
        <v>6.3425097455864119</v>
      </c>
      <c r="N76">
        <v>5.5100904342316168</v>
      </c>
      <c r="O76">
        <v>4.7852907231673179</v>
      </c>
      <c r="P76">
        <v>4.170079542328236</v>
      </c>
      <c r="Q76">
        <v>3.6508655091438196</v>
      </c>
      <c r="R76">
        <v>3.2119770644256915</v>
      </c>
      <c r="U76" t="s">
        <v>72</v>
      </c>
      <c r="V76">
        <f>-SUM(_xlfn.ANCHORARRAY(I76))</f>
        <v>-99.526518315735885</v>
      </c>
      <c r="AN76">
        <v>1</v>
      </c>
      <c r="AO76">
        <v>5</v>
      </c>
      <c r="AP76">
        <v>2</v>
      </c>
      <c r="AR76" cm="1">
        <f t="array" ref="AR76:AT78">MINVERSE(AN76:AP78)</f>
        <v>-0.19999999999999976</v>
      </c>
      <c r="AS76">
        <v>1.3569392523196359E-16</v>
      </c>
      <c r="AT76">
        <v>0.19999999999999976</v>
      </c>
    </row>
    <row r="77" spans="6:46">
      <c r="I77">
        <v>-39.912908463539132</v>
      </c>
      <c r="J77">
        <v>6.2869124567361538</v>
      </c>
      <c r="K77">
        <v>7.8958925443004837</v>
      </c>
      <c r="L77">
        <v>7.3161053354889205</v>
      </c>
      <c r="M77">
        <v>6.4309710912709814</v>
      </c>
      <c r="N77">
        <v>5.5869417177467913</v>
      </c>
      <c r="O77">
        <v>4.8520329551611816</v>
      </c>
      <c r="P77">
        <v>4.2282411948480068</v>
      </c>
      <c r="Q77">
        <v>3.7017854901619001</v>
      </c>
      <c r="R77">
        <v>3.2567757048416235</v>
      </c>
      <c r="AN77">
        <v>9</v>
      </c>
      <c r="AO77">
        <v>1</v>
      </c>
      <c r="AP77">
        <v>0</v>
      </c>
      <c r="AR77">
        <v>1.7999999999999978</v>
      </c>
      <c r="AS77">
        <v>0.99999999999999878</v>
      </c>
      <c r="AT77">
        <v>-1.7999999999999978</v>
      </c>
    </row>
    <row r="78" spans="6:46">
      <c r="I78">
        <v>-40.243045447240434</v>
      </c>
      <c r="J78">
        <v>6.3389142374922969</v>
      </c>
      <c r="K78">
        <v>7.9612028974807458</v>
      </c>
      <c r="L78">
        <v>7.3766200171013985</v>
      </c>
      <c r="M78">
        <v>6.4841644434989227</v>
      </c>
      <c r="N78">
        <v>5.6331537368106668</v>
      </c>
      <c r="O78">
        <v>4.8921662249803815</v>
      </c>
      <c r="P78">
        <v>4.263214812360844</v>
      </c>
      <c r="Q78">
        <v>3.7324045641175774</v>
      </c>
      <c r="R78">
        <v>3.2837139097777595</v>
      </c>
      <c r="AN78">
        <v>6</v>
      </c>
      <c r="AO78">
        <v>5</v>
      </c>
      <c r="AP78">
        <v>2</v>
      </c>
      <c r="AR78">
        <v>-3.8999999999999955</v>
      </c>
      <c r="AS78">
        <v>-2.4999999999999969</v>
      </c>
      <c r="AT78">
        <v>4.399999999999995</v>
      </c>
    </row>
    <row r="79" spans="6:46">
      <c r="I79">
        <v>-40.819019479225595</v>
      </c>
      <c r="J79">
        <v>6.4296392298779566</v>
      </c>
      <c r="K79">
        <v>8.0751467126506284</v>
      </c>
      <c r="L79">
        <v>7.4821970559774158</v>
      </c>
      <c r="M79">
        <v>6.5769683130140475</v>
      </c>
      <c r="N79">
        <v>5.713777611930575</v>
      </c>
      <c r="O79">
        <v>4.9621848002255806</v>
      </c>
      <c r="P79">
        <v>4.3242315917175045</v>
      </c>
      <c r="Q79">
        <v>3.785824181890121</v>
      </c>
      <c r="R79">
        <v>3.3307116933570367</v>
      </c>
    </row>
    <row r="80" spans="6:46">
      <c r="I80">
        <v>-41.307962428564252</v>
      </c>
      <c r="J80">
        <v>6.5066554543818356</v>
      </c>
      <c r="K80">
        <v>8.1718733391203138</v>
      </c>
      <c r="L80">
        <v>7.5718211464812128</v>
      </c>
      <c r="M80">
        <v>6.6557492912369227</v>
      </c>
      <c r="N80">
        <v>5.7822190226524643</v>
      </c>
      <c r="O80">
        <v>5.0216233977798552</v>
      </c>
      <c r="P80">
        <v>4.376028586722585</v>
      </c>
      <c r="Q80">
        <v>3.8311719649771936</v>
      </c>
      <c r="R80">
        <v>3.3706079970782854</v>
      </c>
      <c r="AN80" cm="1">
        <f t="array" ref="AN80:AP82">AN76:AP78*_xlfn.ANCHORARRAY(AR76)</f>
        <v>-0.19999999999999976</v>
      </c>
      <c r="AO80">
        <v>6.7846962615981794E-16</v>
      </c>
      <c r="AP80">
        <v>0.39999999999999952</v>
      </c>
      <c r="AR80" cm="1">
        <f t="array" ref="AR80:AT82">MMULT(AN76:AP78,_xlfn.ANCHORARRAY(AR76))</f>
        <v>0.99999999999999911</v>
      </c>
      <c r="AS80">
        <v>0</v>
      </c>
      <c r="AT80">
        <v>0</v>
      </c>
    </row>
    <row r="81" spans="2:49">
      <c r="I81">
        <v>-41.836156691404533</v>
      </c>
      <c r="J81">
        <v>6.5898543797034606</v>
      </c>
      <c r="K81">
        <v>8.2763649760981863</v>
      </c>
      <c r="L81">
        <v>7.6686400708166964</v>
      </c>
      <c r="M81">
        <v>6.7408546410012438</v>
      </c>
      <c r="N81">
        <v>5.8561547661433879</v>
      </c>
      <c r="O81">
        <v>5.0858336011622836</v>
      </c>
      <c r="P81">
        <v>4.4319837357457095</v>
      </c>
      <c r="Q81">
        <v>3.8801601728888051</v>
      </c>
      <c r="R81">
        <v>3.4137070923052448</v>
      </c>
      <c r="AN81">
        <v>16.199999999999982</v>
      </c>
      <c r="AO81">
        <v>0.99999999999999878</v>
      </c>
      <c r="AP81">
        <v>0</v>
      </c>
      <c r="AR81">
        <v>0</v>
      </c>
      <c r="AS81">
        <v>1</v>
      </c>
      <c r="AT81">
        <v>0</v>
      </c>
    </row>
    <row r="82" spans="2:49">
      <c r="I82">
        <v>-40.59895922812359</v>
      </c>
      <c r="J82">
        <v>6.394976270270547</v>
      </c>
      <c r="K82">
        <v>8.0316126239845502</v>
      </c>
      <c r="L82">
        <v>7.441859630337607</v>
      </c>
      <c r="M82">
        <v>6.5415110845720807</v>
      </c>
      <c r="N82">
        <v>5.6829739485387503</v>
      </c>
      <c r="O82">
        <v>4.9354330642190867</v>
      </c>
      <c r="P82">
        <v>4.3009191383063961</v>
      </c>
      <c r="Q82">
        <v>3.7654143476823494</v>
      </c>
      <c r="R82">
        <v>3.3127554253981382</v>
      </c>
      <c r="AN82">
        <v>-23.399999999999974</v>
      </c>
      <c r="AO82">
        <v>-12.499999999999984</v>
      </c>
      <c r="AP82">
        <v>8.7999999999999901</v>
      </c>
      <c r="AR82">
        <v>0</v>
      </c>
      <c r="AS82">
        <v>8.8817841970012523E-16</v>
      </c>
      <c r="AT82">
        <v>0.99999999999999911</v>
      </c>
    </row>
    <row r="83" spans="2:49">
      <c r="I83">
        <v>-41.449699160002403</v>
      </c>
      <c r="J83">
        <v>6.5289812245839585</v>
      </c>
      <c r="K83">
        <v>8.1999128392243641</v>
      </c>
      <c r="L83">
        <v>7.597801735143566</v>
      </c>
      <c r="M83">
        <v>6.678586635282711</v>
      </c>
      <c r="N83">
        <v>5.8020590916500003</v>
      </c>
      <c r="O83">
        <v>5.0388536954045673</v>
      </c>
      <c r="P83">
        <v>4.3910437061353269</v>
      </c>
      <c r="Q83">
        <v>3.8443175611278737</v>
      </c>
      <c r="R83">
        <v>3.3821732966568208</v>
      </c>
    </row>
    <row r="84" spans="2:49">
      <c r="I84">
        <v>-43.670835454752194</v>
      </c>
      <c r="J84">
        <v>6.878845215386022</v>
      </c>
      <c r="K84">
        <v>8.6393158841217499</v>
      </c>
      <c r="L84">
        <v>8.004939869707524</v>
      </c>
      <c r="M84">
        <v>7.0364674275170618</v>
      </c>
      <c r="N84">
        <v>6.1129700100381017</v>
      </c>
      <c r="O84">
        <v>5.3088672553002496</v>
      </c>
      <c r="P84">
        <v>4.626343521216767</v>
      </c>
      <c r="Q84">
        <v>4.0503203412832658</v>
      </c>
      <c r="R84">
        <v>3.5634114724838497</v>
      </c>
    </row>
    <row r="85" spans="2:49">
      <c r="I85">
        <v>-42.753951603162562</v>
      </c>
      <c r="J85">
        <v>6.7344215507161138</v>
      </c>
      <c r="K85">
        <v>8.4579305467347368</v>
      </c>
      <c r="L85">
        <v>7.8368734697164939</v>
      </c>
      <c r="M85">
        <v>6.8887344315863679</v>
      </c>
      <c r="N85">
        <v>5.984626152424867</v>
      </c>
      <c r="O85">
        <v>5.1974058049769276</v>
      </c>
      <c r="P85">
        <v>4.5292118858280865</v>
      </c>
      <c r="Q85">
        <v>3.9652825059403769</v>
      </c>
      <c r="R85">
        <v>3.4885964523069415</v>
      </c>
      <c r="AN85">
        <v>0</v>
      </c>
      <c r="AO85">
        <v>1</v>
      </c>
      <c r="AP85">
        <v>0</v>
      </c>
      <c r="AR85" cm="1">
        <f t="array" ref="AR85:AT87">MINVERSE(AN85:AP87)</f>
        <v>0</v>
      </c>
      <c r="AS85">
        <v>1</v>
      </c>
      <c r="AT85">
        <v>0</v>
      </c>
    </row>
    <row r="86" spans="2:49">
      <c r="P86" t="s">
        <v>99</v>
      </c>
      <c r="AN86">
        <v>1</v>
      </c>
      <c r="AO86">
        <v>0</v>
      </c>
      <c r="AP86">
        <v>0</v>
      </c>
      <c r="AR86">
        <v>1</v>
      </c>
      <c r="AS86">
        <v>0</v>
      </c>
      <c r="AT86">
        <v>0</v>
      </c>
    </row>
    <row r="87" spans="2:49">
      <c r="B87" t="s">
        <v>89</v>
      </c>
      <c r="D87" cm="1">
        <f t="array" ref="D87:M96">-(B2:K11)/((_xlfn.ANCHORARRAY(Q1))^2)</f>
        <v>-334.08602801198549</v>
      </c>
      <c r="E87">
        <v>-702.84698098444517</v>
      </c>
      <c r="F87">
        <v>-886.22742312308765</v>
      </c>
      <c r="G87">
        <v>-1233.6417862205953</v>
      </c>
      <c r="H87">
        <v>-1684.7646477544642</v>
      </c>
      <c r="I87">
        <v>-1515.4943720252288</v>
      </c>
      <c r="J87">
        <v>-1249.6317164979193</v>
      </c>
      <c r="K87">
        <v>-1105.8200670236765</v>
      </c>
      <c r="L87">
        <v>-714.19696588081945</v>
      </c>
      <c r="M87">
        <v>-902.42592235091774</v>
      </c>
      <c r="P87" cm="1">
        <f t="array" ref="P87:Y87">_xlfn.ANCHORARRAY(P92)^2</f>
        <v>0</v>
      </c>
      <c r="Q87">
        <v>9.9166737865978016E-2</v>
      </c>
      <c r="R87">
        <v>7.0386535472063083E-2</v>
      </c>
      <c r="S87">
        <v>4.1211871790618755E-2</v>
      </c>
      <c r="T87">
        <v>2.1107435181182969E-2</v>
      </c>
      <c r="U87">
        <v>8.9386586619118989E-3</v>
      </c>
      <c r="V87">
        <v>2.5466412616767025E-3</v>
      </c>
      <c r="W87">
        <v>1.484100541698597E-4</v>
      </c>
      <c r="X87">
        <v>4.4850305452747883E-4</v>
      </c>
      <c r="Y87">
        <v>2.5385961135360167E-3</v>
      </c>
      <c r="AA87" cm="1">
        <f t="array" ref="AA87:AJ96">_xlfn.ANCHORARRAY(D87)*_xlfn.ANCHORARRAY(P87)</f>
        <v>0</v>
      </c>
      <c r="AB87">
        <v>-69.699042323178503</v>
      </c>
      <c r="AC87">
        <v>-62.378477953968265</v>
      </c>
      <c r="AD87">
        <v>-50.840687129273086</v>
      </c>
      <c r="AE87">
        <v>-35.561060598025911</v>
      </c>
      <c r="AF87">
        <v>-13.546486895582046</v>
      </c>
      <c r="AG87">
        <v>-3.1823636911334847</v>
      </c>
      <c r="AH87">
        <v>-0.16411481604910172</v>
      </c>
      <c r="AI87">
        <v>-0.32031952073180509</v>
      </c>
      <c r="AJ87">
        <v>-2.2908949392341951</v>
      </c>
      <c r="AN87">
        <v>0</v>
      </c>
      <c r="AO87">
        <v>0</v>
      </c>
      <c r="AP87">
        <v>1</v>
      </c>
      <c r="AR87">
        <v>0</v>
      </c>
      <c r="AS87">
        <v>0</v>
      </c>
      <c r="AT87">
        <v>1</v>
      </c>
    </row>
    <row r="88" spans="2:49">
      <c r="D88">
        <v>-318.17716953522427</v>
      </c>
      <c r="E88">
        <v>-741.89403548358098</v>
      </c>
      <c r="F88">
        <v>-725.0951643734353</v>
      </c>
      <c r="G88">
        <v>-1370.7130958006614</v>
      </c>
      <c r="H88">
        <v>-1895.3602287237723</v>
      </c>
      <c r="I88">
        <v>-1515.4943720252288</v>
      </c>
      <c r="J88">
        <v>-1249.6317164979193</v>
      </c>
      <c r="K88">
        <v>-1658.730100535515</v>
      </c>
      <c r="L88">
        <v>-714.19696588081945</v>
      </c>
      <c r="M88">
        <v>0</v>
      </c>
      <c r="AA88">
        <v>0</v>
      </c>
      <c r="AB88">
        <v>-73.571211341132866</v>
      </c>
      <c r="AC88">
        <v>-51.036936507792213</v>
      </c>
      <c r="AD88">
        <v>-56.48965236585898</v>
      </c>
      <c r="AE88">
        <v>-40.006193172779149</v>
      </c>
      <c r="AF88">
        <v>-13.546486895582046</v>
      </c>
      <c r="AG88">
        <v>-3.1823636911334847</v>
      </c>
      <c r="AH88">
        <v>-0.24617222407365261</v>
      </c>
      <c r="AI88">
        <v>-0.32031952073180509</v>
      </c>
      <c r="AJ88">
        <v>0</v>
      </c>
    </row>
    <row r="89" spans="2:49">
      <c r="D89">
        <v>-286.35945258170187</v>
      </c>
      <c r="E89">
        <v>-741.89403548358098</v>
      </c>
      <c r="F89">
        <v>-805.66129374826141</v>
      </c>
      <c r="G89">
        <v>-1507.7844053807278</v>
      </c>
      <c r="H89">
        <v>-1895.3602287237723</v>
      </c>
      <c r="I89">
        <v>-1818.5932464302743</v>
      </c>
      <c r="J89">
        <v>-1249.6317164979193</v>
      </c>
      <c r="K89">
        <v>-1658.730100535515</v>
      </c>
      <c r="L89">
        <v>0</v>
      </c>
      <c r="M89">
        <v>0</v>
      </c>
      <c r="P89" cm="1">
        <f t="array" ref="P89:Y89">((B1:K1)^B34/((B1:K1)^B34+B35^B34))*(B35^B34)/(((B1:K1)^B34+B35^B34))*LN((B1:K1)/B35)</f>
        <v>-0.31490750684284746</v>
      </c>
      <c r="Q89">
        <v>-0.2653046088405987</v>
      </c>
      <c r="R89">
        <v>-0.20300707325267944</v>
      </c>
      <c r="S89">
        <v>-0.14528398115822325</v>
      </c>
      <c r="T89">
        <v>-9.4544479806659781E-2</v>
      </c>
      <c r="U89">
        <v>-5.0464257268652064E-2</v>
      </c>
      <c r="V89">
        <v>-1.2182366525838061E-2</v>
      </c>
      <c r="W89">
        <v>2.1177890700621694E-2</v>
      </c>
      <c r="X89">
        <v>5.0384482864628238E-2</v>
      </c>
      <c r="Y89">
        <v>7.6080007371315428E-2</v>
      </c>
      <c r="AA89">
        <v>0</v>
      </c>
      <c r="AB89">
        <v>-73.571211341132866</v>
      </c>
      <c r="AC89">
        <v>-56.707707230880239</v>
      </c>
      <c r="AD89">
        <v>-62.138617602444889</v>
      </c>
      <c r="AE89">
        <v>-40.006193172779149</v>
      </c>
      <c r="AF89">
        <v>-16.255784274698453</v>
      </c>
      <c r="AG89">
        <v>-3.1823636911334847</v>
      </c>
      <c r="AH89">
        <v>-0.24617222407365261</v>
      </c>
      <c r="AI89">
        <v>0</v>
      </c>
      <c r="AJ89">
        <v>0</v>
      </c>
      <c r="AN89" cm="1">
        <f t="array" ref="AN89:AP91">AN85:AP87*_xlfn.ANCHORARRAY(AR85)</f>
        <v>0</v>
      </c>
      <c r="AO89">
        <v>1</v>
      </c>
      <c r="AP89">
        <v>0</v>
      </c>
      <c r="AR89" cm="1">
        <f t="array" ref="AR89:AT91">MMULT(AN85:AP87,_xlfn.ANCHORARRAY(AR85))</f>
        <v>1</v>
      </c>
      <c r="AS89">
        <v>0</v>
      </c>
      <c r="AT89">
        <v>0</v>
      </c>
    </row>
    <row r="90" spans="2:49">
      <c r="D90">
        <v>-302.26831105846304</v>
      </c>
      <c r="E90">
        <v>-741.89403548358098</v>
      </c>
      <c r="F90">
        <v>-725.0951643734353</v>
      </c>
      <c r="G90">
        <v>-1507.7844053807278</v>
      </c>
      <c r="H90">
        <v>-1895.3602287237723</v>
      </c>
      <c r="I90">
        <v>-1818.5932464302743</v>
      </c>
      <c r="J90">
        <v>-1249.6317164979193</v>
      </c>
      <c r="K90">
        <v>0</v>
      </c>
      <c r="L90">
        <v>0</v>
      </c>
      <c r="M90">
        <v>0</v>
      </c>
      <c r="AA90">
        <v>0</v>
      </c>
      <c r="AB90">
        <v>-73.571211341132866</v>
      </c>
      <c r="AC90">
        <v>-51.036936507792213</v>
      </c>
      <c r="AD90">
        <v>-62.138617602444889</v>
      </c>
      <c r="AE90">
        <v>-40.006193172779149</v>
      </c>
      <c r="AF90">
        <v>-16.255784274698453</v>
      </c>
      <c r="AG90">
        <v>-3.1823636911334847</v>
      </c>
      <c r="AH90">
        <v>0</v>
      </c>
      <c r="AI90">
        <v>0</v>
      </c>
      <c r="AJ90">
        <v>0</v>
      </c>
      <c r="AN90">
        <v>1</v>
      </c>
      <c r="AO90">
        <v>0</v>
      </c>
      <c r="AP90">
        <v>0</v>
      </c>
      <c r="AR90">
        <v>0</v>
      </c>
      <c r="AS90">
        <v>1</v>
      </c>
      <c r="AT90">
        <v>0</v>
      </c>
    </row>
    <row r="91" spans="2:49">
      <c r="D91">
        <v>-310.22274029684365</v>
      </c>
      <c r="E91">
        <v>-741.89403548358098</v>
      </c>
      <c r="F91">
        <v>-725.0951643734353</v>
      </c>
      <c r="G91">
        <v>-1370.7130958006614</v>
      </c>
      <c r="H91">
        <v>-2105.9558096930805</v>
      </c>
      <c r="I91">
        <v>-1515.4943720252288</v>
      </c>
      <c r="J91">
        <v>0</v>
      </c>
      <c r="K91">
        <v>0</v>
      </c>
      <c r="L91">
        <v>0</v>
      </c>
      <c r="M91">
        <v>0</v>
      </c>
      <c r="P91" t="e" cm="1">
        <f t="array" ref="P91:Y91">((A1:J1)^B34/((A1:J1)^B34+B35^B34))*(B35^B34)/(((A1:J1)^B34+B35^B34))*LN((A1:J1)/B35)</f>
        <v>#NUM!</v>
      </c>
      <c r="Q91">
        <v>-0.31490750684284746</v>
      </c>
      <c r="R91">
        <v>-0.2653046088405987</v>
      </c>
      <c r="S91">
        <v>-0.20300707325267944</v>
      </c>
      <c r="T91">
        <v>-0.14528398115822325</v>
      </c>
      <c r="U91">
        <v>-9.4544479806659781E-2</v>
      </c>
      <c r="V91">
        <v>-5.0464257268652064E-2</v>
      </c>
      <c r="W91">
        <v>-1.2182366525838061E-2</v>
      </c>
      <c r="X91">
        <v>2.1177890700621694E-2</v>
      </c>
      <c r="Y91">
        <v>5.0384482864628238E-2</v>
      </c>
      <c r="AA91">
        <v>0</v>
      </c>
      <c r="AB91">
        <v>-73.571211341132866</v>
      </c>
      <c r="AC91">
        <v>-51.036936507792213</v>
      </c>
      <c r="AD91">
        <v>-56.48965236585898</v>
      </c>
      <c r="AE91">
        <v>-44.451325747532394</v>
      </c>
      <c r="AF91">
        <v>-13.546486895582046</v>
      </c>
      <c r="AG91">
        <v>0</v>
      </c>
      <c r="AH91">
        <v>0</v>
      </c>
      <c r="AI91">
        <v>0</v>
      </c>
      <c r="AJ91">
        <v>0</v>
      </c>
      <c r="AN91">
        <v>0</v>
      </c>
      <c r="AO91">
        <v>0</v>
      </c>
      <c r="AP91">
        <v>1</v>
      </c>
      <c r="AR91">
        <v>0</v>
      </c>
      <c r="AS91">
        <v>0</v>
      </c>
      <c r="AT91">
        <v>1</v>
      </c>
    </row>
    <row r="92" spans="2:49">
      <c r="D92">
        <v>-326.13159877360488</v>
      </c>
      <c r="E92">
        <v>-741.89403548358098</v>
      </c>
      <c r="F92">
        <v>-805.66129374826141</v>
      </c>
      <c r="G92">
        <v>-1233.6417862205953</v>
      </c>
      <c r="H92">
        <v>-1895.3602287237723</v>
      </c>
      <c r="I92">
        <v>0</v>
      </c>
      <c r="J92">
        <v>0</v>
      </c>
      <c r="K92">
        <v>0</v>
      </c>
      <c r="L92">
        <v>0</v>
      </c>
      <c r="M92">
        <v>0</v>
      </c>
      <c r="P92" cm="1">
        <f t="array" ref="P92:Y92">IFERROR(_xlfn.ANCHORARRAY(P91),0)</f>
        <v>0</v>
      </c>
      <c r="Q92">
        <v>-0.31490750684284746</v>
      </c>
      <c r="R92">
        <v>-0.2653046088405987</v>
      </c>
      <c r="S92">
        <v>-0.20300707325267944</v>
      </c>
      <c r="T92">
        <v>-0.14528398115822325</v>
      </c>
      <c r="U92">
        <v>-9.4544479806659781E-2</v>
      </c>
      <c r="V92">
        <v>-5.0464257268652064E-2</v>
      </c>
      <c r="W92">
        <v>-1.2182366525838061E-2</v>
      </c>
      <c r="X92">
        <v>2.1177890700621694E-2</v>
      </c>
      <c r="Y92">
        <v>5.0384482864628238E-2</v>
      </c>
      <c r="AA92">
        <v>0</v>
      </c>
      <c r="AB92">
        <v>-73.571211341132866</v>
      </c>
      <c r="AC92">
        <v>-56.707707230880239</v>
      </c>
      <c r="AD92">
        <v>-50.840687129273086</v>
      </c>
      <c r="AE92">
        <v>-40.006193172779149</v>
      </c>
      <c r="AF92">
        <v>0</v>
      </c>
      <c r="AG92">
        <v>0</v>
      </c>
      <c r="AH92">
        <v>0</v>
      </c>
      <c r="AI92">
        <v>0</v>
      </c>
      <c r="AJ92">
        <v>0</v>
      </c>
    </row>
    <row r="93" spans="2:49">
      <c r="D93">
        <v>-334.08602801198549</v>
      </c>
      <c r="E93">
        <v>-741.89403548358098</v>
      </c>
      <c r="F93">
        <v>-725.0951643734353</v>
      </c>
      <c r="G93">
        <v>-1233.6417862205953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AA93">
        <v>0</v>
      </c>
      <c r="AB93">
        <v>-73.571211341132866</v>
      </c>
      <c r="AC93">
        <v>-51.036936507792213</v>
      </c>
      <c r="AD93">
        <v>-50.840687129273086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L93" cm="1">
        <f t="array" ref="AL93:AU102">_xlfn.ANCHORARRAY(AA98)+_xlfn.ANCHORARRAY(AA87)</f>
        <v>7.0365126806135576</v>
      </c>
      <c r="AM93">
        <v>-72.605279382019262</v>
      </c>
      <c r="AN93">
        <v>-62.261102985144937</v>
      </c>
      <c r="AO93">
        <v>-51.039336736490164</v>
      </c>
      <c r="AP93">
        <v>-35.782743426183657</v>
      </c>
      <c r="AQ93">
        <v>-13.492207072221881</v>
      </c>
      <c r="AR93">
        <v>-3.1543707492570414</v>
      </c>
      <c r="AS93">
        <v>-0.16072702414034204</v>
      </c>
      <c r="AT93">
        <v>-0.27086011743444482</v>
      </c>
      <c r="AU93">
        <v>-2.1643886338757796</v>
      </c>
      <c r="AW93">
        <f>SUM(_xlfn.ANCHORARRAY(AL93))</f>
        <v>-1734.6853535131052</v>
      </c>
    </row>
    <row r="94" spans="2:49">
      <c r="D94">
        <v>-342.0404572503661</v>
      </c>
      <c r="E94">
        <v>-741.89403548358098</v>
      </c>
      <c r="F94">
        <v>-805.66129374826141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AA94">
        <v>0</v>
      </c>
      <c r="AB94">
        <v>-73.571211341132866</v>
      </c>
      <c r="AC94">
        <v>-56.707707230880239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L94">
        <v>4.353882233993863</v>
      </c>
      <c r="AM94">
        <v>-77.60811577817465</v>
      </c>
      <c r="AN94">
        <v>-49.12678659245536</v>
      </c>
      <c r="AO94">
        <v>-57.06990639273274</v>
      </c>
      <c r="AP94">
        <v>-40.408553298506774</v>
      </c>
      <c r="AQ94">
        <v>-13.486362086427148</v>
      </c>
      <c r="AR94">
        <v>-3.1533637771802083</v>
      </c>
      <c r="AS94">
        <v>-0.24419902933004678</v>
      </c>
      <c r="AT94">
        <v>-0.26991870383898509</v>
      </c>
      <c r="AU94">
        <v>0.18334884541123198</v>
      </c>
    </row>
    <row r="95" spans="2:49">
      <c r="D95">
        <v>-342.0404572503661</v>
      </c>
      <c r="E95">
        <v>-780.94108998271679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AA95">
        <v>0</v>
      </c>
      <c r="AB95">
        <v>-77.443380359087229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L95">
        <v>-0.26753090444684119</v>
      </c>
      <c r="AM95">
        <v>-77.412755958531164</v>
      </c>
      <c r="AN95">
        <v>-55.551602591808198</v>
      </c>
      <c r="AO95">
        <v>-63.12105168330217</v>
      </c>
      <c r="AP95">
        <v>-40.397001091328072</v>
      </c>
      <c r="AQ95">
        <v>-16.265103675259155</v>
      </c>
      <c r="AR95">
        <v>-3.1527582672826124</v>
      </c>
      <c r="AS95">
        <v>-0.24414539253343637</v>
      </c>
      <c r="AT95">
        <v>6.9005061081397798E-2</v>
      </c>
      <c r="AU95">
        <v>0.18486540326480147</v>
      </c>
    </row>
    <row r="96" spans="2:49">
      <c r="D96">
        <v>-334.08602801198549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L96">
        <v>1.3253521606280816</v>
      </c>
      <c r="AM96">
        <v>-77.071921127648494</v>
      </c>
      <c r="AN96">
        <v>-48.913476115058756</v>
      </c>
      <c r="AO96">
        <v>-63.066909150764666</v>
      </c>
      <c r="AP96">
        <v>-40.376846514060027</v>
      </c>
      <c r="AQ96">
        <v>-16.258971761994502</v>
      </c>
      <c r="AR96">
        <v>-3.1517018634431664</v>
      </c>
      <c r="AS96">
        <v>6.6317969622734759E-3</v>
      </c>
      <c r="AT96">
        <v>6.9992688205953807E-2</v>
      </c>
      <c r="AU96">
        <v>0.18751126842012589</v>
      </c>
    </row>
    <row r="97" spans="2:47">
      <c r="AL97">
        <v>1.9271342942600431</v>
      </c>
      <c r="AM97">
        <v>-76.782587271962768</v>
      </c>
      <c r="AN97">
        <v>-48.798372499566206</v>
      </c>
      <c r="AO97">
        <v>-56.938768962052713</v>
      </c>
      <c r="AP97">
        <v>-45.00475870943292</v>
      </c>
      <c r="AQ97">
        <v>-13.471510114918017</v>
      </c>
      <c r="AR97">
        <v>7.5763641563550699E-2</v>
      </c>
      <c r="AS97">
        <v>6.7112346951616799E-3</v>
      </c>
      <c r="AT97">
        <v>7.0831082460401221E-2</v>
      </c>
      <c r="AU97">
        <v>0.18975733688980653</v>
      </c>
    </row>
    <row r="98" spans="2:47">
      <c r="D98" cm="1">
        <f t="array" ref="D98:M107">((B2:K11)/(_xlfn.ANCHORARRAY(Q1)))-B33*_xlfn.ANCHORARRAY(M2)</f>
        <v>18.453973967169389</v>
      </c>
      <c r="E98">
        <v>12.476619861125641</v>
      </c>
      <c r="F98">
        <v>-1.2666355875574169</v>
      </c>
      <c r="G98">
        <v>5.3685749598916033</v>
      </c>
      <c r="H98">
        <v>16.09415712096218</v>
      </c>
      <c r="I98">
        <v>-12.952461183837315</v>
      </c>
      <c r="J98">
        <v>-38.772914580182281</v>
      </c>
      <c r="K98">
        <v>-52.973058273220538</v>
      </c>
      <c r="L98">
        <v>-73.276672609551554</v>
      </c>
      <c r="M98">
        <v>-69.960731588583513</v>
      </c>
      <c r="P98" cm="1">
        <f t="array" ref="P98:Y98">((B1:K1)^B34/((B1:K1)^B34+B35^B34))*(B35^B34)/(((B1:K1)^B34+B35^B34))*LN((B1:K1)/B35)^2*(1-2*(B1:K1)^B34/((B1:K1)^B34+B35^B34))</f>
        <v>0.38130067231762066</v>
      </c>
      <c r="Q98">
        <v>0.1483660240563601</v>
      </c>
      <c r="R98">
        <v>5.5699301301734706E-2</v>
      </c>
      <c r="S98">
        <v>1.8697003913474765E-2</v>
      </c>
      <c r="T98">
        <v>4.9228853627732872E-3</v>
      </c>
      <c r="U98">
        <v>7.3218966488560269E-4</v>
      </c>
      <c r="V98">
        <v>1.0218098405757934E-5</v>
      </c>
      <c r="W98">
        <v>-5.3735013217255808E-5</v>
      </c>
      <c r="X98">
        <v>-7.2870293323868513E-4</v>
      </c>
      <c r="Y98">
        <v>-2.5369502526400613E-3</v>
      </c>
      <c r="AA98" cm="1">
        <f t="array" ref="AA98:AJ107">_xlfn.ANCHORARRAY(D98)*_xlfn.ANCHORARRAY(P103)</f>
        <v>7.0365126806135576</v>
      </c>
      <c r="AB98">
        <v>-2.9062370588407589</v>
      </c>
      <c r="AC98">
        <v>0.1173749688233252</v>
      </c>
      <c r="AD98">
        <v>-0.19864960721707478</v>
      </c>
      <c r="AE98">
        <v>-0.22168282815774945</v>
      </c>
      <c r="AF98">
        <v>5.4279823360164264E-2</v>
      </c>
      <c r="AG98">
        <v>2.7992941876443415E-2</v>
      </c>
      <c r="AH98">
        <v>3.3877919087596849E-3</v>
      </c>
      <c r="AI98">
        <v>4.9459403297360253E-2</v>
      </c>
      <c r="AJ98">
        <v>0.12650630535841534</v>
      </c>
      <c r="AL98">
        <v>3.5663000492099144</v>
      </c>
      <c r="AM98">
        <v>-76.47002630176091</v>
      </c>
      <c r="AN98">
        <v>-55.176563204629907</v>
      </c>
      <c r="AO98">
        <v>-50.806939083527716</v>
      </c>
      <c r="AP98">
        <v>-40.341254682837345</v>
      </c>
      <c r="AQ98">
        <v>0.44539453154495334</v>
      </c>
      <c r="AR98">
        <v>7.6732411709862308E-2</v>
      </c>
      <c r="AS98">
        <v>6.7970495224770984E-3</v>
      </c>
      <c r="AT98">
        <v>7.1736781245497427E-2</v>
      </c>
      <c r="AU98">
        <v>0.19218371502090839</v>
      </c>
    </row>
    <row r="99" spans="2:47">
      <c r="D99">
        <v>11.418501330013683</v>
      </c>
      <c r="E99">
        <v>17.330631003911336</v>
      </c>
      <c r="F99">
        <v>-20.61311610635876</v>
      </c>
      <c r="G99">
        <v>15.681567573635718</v>
      </c>
      <c r="H99">
        <v>29.211315718430185</v>
      </c>
      <c r="I99">
        <v>-14.347214278813823</v>
      </c>
      <c r="J99">
        <v>-40.167667675158789</v>
      </c>
      <c r="K99">
        <v>-30.853772295510311</v>
      </c>
      <c r="L99">
        <v>-74.671425704528062</v>
      </c>
      <c r="M99">
        <v>-101.39588951357051</v>
      </c>
      <c r="AA99">
        <v>4.353882233993863</v>
      </c>
      <c r="AB99">
        <v>-4.0369044370417839</v>
      </c>
      <c r="AC99">
        <v>1.9101499153368506</v>
      </c>
      <c r="AD99">
        <v>-0.58025402687376271</v>
      </c>
      <c r="AE99">
        <v>-0.40236012572762686</v>
      </c>
      <c r="AF99">
        <v>6.0124809154897846E-2</v>
      </c>
      <c r="AG99">
        <v>2.8999913953276217E-2</v>
      </c>
      <c r="AH99">
        <v>1.9731947436058199E-3</v>
      </c>
      <c r="AI99">
        <v>5.040081689282E-2</v>
      </c>
      <c r="AJ99">
        <v>0.18334884541123198</v>
      </c>
      <c r="AL99">
        <v>5.8401375909714144</v>
      </c>
      <c r="AM99">
        <v>-77.202142620811728</v>
      </c>
      <c r="AN99">
        <v>-48.965281198989913</v>
      </c>
      <c r="AO99">
        <v>-50.923237736229368</v>
      </c>
      <c r="AP99">
        <v>1.4206454029623183</v>
      </c>
      <c r="AQ99">
        <v>0.43222312603915469</v>
      </c>
      <c r="AR99">
        <v>7.4463246647231807E-2</v>
      </c>
      <c r="AS99">
        <v>6.5960441459786559E-3</v>
      </c>
      <c r="AT99">
        <v>6.9615349192464135E-2</v>
      </c>
      <c r="AU99">
        <v>0.18650037258432586</v>
      </c>
    </row>
    <row r="100" spans="2:47">
      <c r="D100">
        <v>-0.7016271511422616</v>
      </c>
      <c r="E100">
        <v>16.491941607113816</v>
      </c>
      <c r="F100">
        <v>-12.475941791243855</v>
      </c>
      <c r="G100">
        <v>26.550623885558807</v>
      </c>
      <c r="H100">
        <v>28.372626321632666</v>
      </c>
      <c r="I100">
        <v>2.2238313713399975</v>
      </c>
      <c r="J100">
        <v>-41.006357071956309</v>
      </c>
      <c r="K100">
        <v>-31.69246169230783</v>
      </c>
      <c r="L100">
        <v>-102.23457891036803</v>
      </c>
      <c r="M100">
        <v>-102.23457891036803</v>
      </c>
      <c r="P100" t="e" cm="1">
        <f t="array" ref="P100:Y100">((A1:J1)^B34/((A1:J1)^B34+B35^B34))*(B35^B34)/(((A1:J1)^B34+B35^B34))*LN((A1:J1)/B35)^2*(1-2*(A1:J1)^B34/((A1:J1)^B34+B35^B34))</f>
        <v>#NUM!</v>
      </c>
      <c r="Q100">
        <v>0.38130067231762066</v>
      </c>
      <c r="R100">
        <v>0.1483660240563601</v>
      </c>
      <c r="S100">
        <v>5.5699301301734706E-2</v>
      </c>
      <c r="T100">
        <v>1.8697003913474765E-2</v>
      </c>
      <c r="U100">
        <v>4.9228853627732872E-3</v>
      </c>
      <c r="V100">
        <v>7.3218966488560269E-4</v>
      </c>
      <c r="W100">
        <v>1.0218098405757934E-5</v>
      </c>
      <c r="X100">
        <v>-5.3735013217255808E-5</v>
      </c>
      <c r="Y100">
        <v>-7.2870293323868513E-4</v>
      </c>
      <c r="AA100">
        <v>-0.26753090444684119</v>
      </c>
      <c r="AB100">
        <v>-3.8415446173983048</v>
      </c>
      <c r="AC100">
        <v>1.1561046390720389</v>
      </c>
      <c r="AD100">
        <v>-0.98243408085728468</v>
      </c>
      <c r="AE100">
        <v>-0.39080791854892155</v>
      </c>
      <c r="AF100">
        <v>-9.3194005607021985E-3</v>
      </c>
      <c r="AG100">
        <v>2.9605423850872156E-2</v>
      </c>
      <c r="AH100">
        <v>2.02683154021625E-3</v>
      </c>
      <c r="AI100">
        <v>6.9005061081397798E-2</v>
      </c>
      <c r="AJ100">
        <v>0.18486540326480147</v>
      </c>
      <c r="AL100">
        <v>6.0914588948362614</v>
      </c>
      <c r="AM100">
        <v>-76.698714020380436</v>
      </c>
      <c r="AN100">
        <v>-55.267540401783229</v>
      </c>
      <c r="AO100">
        <v>3.8963417807317429</v>
      </c>
      <c r="AP100">
        <v>1.4504146334134993</v>
      </c>
      <c r="AQ100">
        <v>0.4412802417828578</v>
      </c>
      <c r="AR100">
        <v>7.6023603330864692E-2</v>
      </c>
      <c r="AS100">
        <v>6.7342624218681597E-3</v>
      </c>
      <c r="AT100">
        <v>7.1074119529332541E-2</v>
      </c>
      <c r="AU100">
        <v>0.19040843617226763</v>
      </c>
    </row>
    <row r="101" spans="2:47">
      <c r="D101">
        <v>3.4758715545197703</v>
      </c>
      <c r="E101">
        <v>15.028720770596635</v>
      </c>
      <c r="F101">
        <v>-22.91502633967346</v>
      </c>
      <c r="G101">
        <v>25.087403049041626</v>
      </c>
      <c r="H101">
        <v>26.909405485115485</v>
      </c>
      <c r="I101">
        <v>0.76061053482281693</v>
      </c>
      <c r="J101">
        <v>-42.469577908473489</v>
      </c>
      <c r="K101">
        <v>-103.69779974688521</v>
      </c>
      <c r="L101">
        <v>-103.69779974688521</v>
      </c>
      <c r="M101">
        <v>-103.69779974688521</v>
      </c>
      <c r="P101" cm="1">
        <f t="array" ref="P101:Y101">IFERROR(_xlfn.ANCHORARRAY(P100),0)</f>
        <v>0</v>
      </c>
      <c r="Q101">
        <v>0.38130067231762066</v>
      </c>
      <c r="R101">
        <v>0.1483660240563601</v>
      </c>
      <c r="S101">
        <v>5.5699301301734706E-2</v>
      </c>
      <c r="T101">
        <v>1.8697003913474765E-2</v>
      </c>
      <c r="U101">
        <v>4.9228853627732872E-3</v>
      </c>
      <c r="V101">
        <v>7.3218966488560269E-4</v>
      </c>
      <c r="W101">
        <v>1.0218098405757934E-5</v>
      </c>
      <c r="X101">
        <v>-5.3735013217255808E-5</v>
      </c>
      <c r="Y101">
        <v>-7.2870293323868513E-4</v>
      </c>
      <c r="AA101">
        <v>1.3253521606280816</v>
      </c>
      <c r="AB101">
        <v>-3.5007097865156278</v>
      </c>
      <c r="AC101">
        <v>2.1234603927334588</v>
      </c>
      <c r="AD101">
        <v>-0.92829154831977745</v>
      </c>
      <c r="AE101">
        <v>-0.37065334128087729</v>
      </c>
      <c r="AF101">
        <v>-3.1874872960500297E-3</v>
      </c>
      <c r="AG101">
        <v>3.0661827690318416E-2</v>
      </c>
      <c r="AH101">
        <v>6.6317969622734759E-3</v>
      </c>
      <c r="AI101">
        <v>6.9992688205953807E-2</v>
      </c>
      <c r="AJ101">
        <v>0.18751126842012589</v>
      </c>
      <c r="AL101">
        <v>3.9399172666595352</v>
      </c>
      <c r="AM101">
        <v>-80.712070861630679</v>
      </c>
      <c r="AN101">
        <v>10.280690332524674</v>
      </c>
      <c r="AO101">
        <v>4.1051323466783458</v>
      </c>
      <c r="AP101">
        <v>1.5281369969046112</v>
      </c>
      <c r="AQ101">
        <v>0.46492682019097514</v>
      </c>
      <c r="AR101">
        <v>8.0097427460782342E-2</v>
      </c>
      <c r="AS101">
        <v>7.095126673882195E-3</v>
      </c>
      <c r="AT101">
        <v>7.4882719101903639E-2</v>
      </c>
      <c r="AU101">
        <v>0.20061172104476391</v>
      </c>
    </row>
    <row r="102" spans="2:47">
      <c r="D102">
        <v>5.0541067303829834</v>
      </c>
      <c r="E102">
        <v>13.786596175370249</v>
      </c>
      <c r="F102">
        <v>-24.157150934899846</v>
      </c>
      <c r="G102">
        <v>12.137532745094632</v>
      </c>
      <c r="H102">
        <v>40.179192582333627</v>
      </c>
      <c r="I102">
        <v>-17.891249107354909</v>
      </c>
      <c r="J102">
        <v>-104.9399243421116</v>
      </c>
      <c r="K102">
        <v>-104.9399243421116</v>
      </c>
      <c r="L102">
        <v>-104.9399243421116</v>
      </c>
      <c r="M102">
        <v>-104.9399243421116</v>
      </c>
      <c r="AA102">
        <v>1.9271342942600431</v>
      </c>
      <c r="AB102">
        <v>-3.211375930829909</v>
      </c>
      <c r="AC102">
        <v>2.2385640082260037</v>
      </c>
      <c r="AD102">
        <v>-0.44911659619373462</v>
      </c>
      <c r="AE102">
        <v>-0.55343296190052882</v>
      </c>
      <c r="AF102">
        <v>7.4976780664029102E-2</v>
      </c>
      <c r="AG102">
        <v>7.5763641563550699E-2</v>
      </c>
      <c r="AH102">
        <v>6.7112346951616799E-3</v>
      </c>
      <c r="AI102">
        <v>7.0831082460401221E-2</v>
      </c>
      <c r="AJ102">
        <v>0.18975733688980653</v>
      </c>
      <c r="AL102">
        <v>3.7526674009342624</v>
      </c>
      <c r="AM102">
        <v>25.299813975997825</v>
      </c>
      <c r="AN102">
        <v>10.064843787549547</v>
      </c>
      <c r="AO102">
        <v>4.0189437148806437</v>
      </c>
      <c r="AP102">
        <v>1.4960532476268984</v>
      </c>
      <c r="AQ102">
        <v>0.45516552551536255</v>
      </c>
      <c r="AR102">
        <v>7.841575508085373E-2</v>
      </c>
      <c r="AS102">
        <v>6.9461621073809241E-3</v>
      </c>
      <c r="AT102">
        <v>7.3310531274656865E-2</v>
      </c>
      <c r="AU102">
        <v>0.19639981061185888</v>
      </c>
    </row>
    <row r="103" spans="2:47">
      <c r="D103">
        <v>9.3529865225079192</v>
      </c>
      <c r="E103">
        <v>12.444756425315973</v>
      </c>
      <c r="F103">
        <v>-16.523126973041698</v>
      </c>
      <c r="G103">
        <v>-0.91205271368026786</v>
      </c>
      <c r="H103">
        <v>24.325441139834822</v>
      </c>
      <c r="I103">
        <v>-106.28176409216587</v>
      </c>
      <c r="J103">
        <v>-106.28176409216587</v>
      </c>
      <c r="K103">
        <v>-106.28176409216587</v>
      </c>
      <c r="L103">
        <v>-106.28176409216587</v>
      </c>
      <c r="M103">
        <v>-106.28176409216587</v>
      </c>
      <c r="P103" cm="1">
        <f t="array" ref="P103:Y103">_xlfn.ANCHORARRAY(P98)-_xlfn.ANCHORARRAY(P101)</f>
        <v>0.38130067231762066</v>
      </c>
      <c r="Q103">
        <v>-0.23293464826126056</v>
      </c>
      <c r="R103">
        <v>-9.2666722754625397E-2</v>
      </c>
      <c r="S103">
        <v>-3.7002297388259942E-2</v>
      </c>
      <c r="T103">
        <v>-1.3774118550701478E-2</v>
      </c>
      <c r="U103">
        <v>-4.1906956978876846E-3</v>
      </c>
      <c r="V103">
        <v>-7.2197156647984477E-4</v>
      </c>
      <c r="W103">
        <v>-6.3953111623013745E-5</v>
      </c>
      <c r="X103">
        <v>-6.7496792002142932E-4</v>
      </c>
      <c r="Y103">
        <v>-1.8082473194013762E-3</v>
      </c>
      <c r="AA103">
        <v>3.5663000492099144</v>
      </c>
      <c r="AB103">
        <v>-2.8988149606280382</v>
      </c>
      <c r="AC103">
        <v>1.5311440262503277</v>
      </c>
      <c r="AD103">
        <v>3.3748045745366766E-2</v>
      </c>
      <c r="AE103">
        <v>-0.33506151005819573</v>
      </c>
      <c r="AF103">
        <v>0.44539453154495334</v>
      </c>
      <c r="AG103">
        <v>7.6732411709862308E-2</v>
      </c>
      <c r="AH103">
        <v>6.7970495224770984E-3</v>
      </c>
      <c r="AI103">
        <v>7.1736781245497427E-2</v>
      </c>
      <c r="AJ103">
        <v>0.19218371502090839</v>
      </c>
    </row>
    <row r="104" spans="2:47">
      <c r="D104">
        <v>15.316357968827873</v>
      </c>
      <c r="E104">
        <v>15.587768100546327</v>
      </c>
      <c r="F104">
        <v>-22.355979009723768</v>
      </c>
      <c r="G104">
        <v>2.2309589615500869</v>
      </c>
      <c r="H104">
        <v>-103.13875241693552</v>
      </c>
      <c r="I104">
        <v>-103.13875241693552</v>
      </c>
      <c r="J104">
        <v>-103.13875241693552</v>
      </c>
      <c r="K104">
        <v>-103.13875241693552</v>
      </c>
      <c r="L104">
        <v>-103.13875241693552</v>
      </c>
      <c r="M104">
        <v>-103.13875241693552</v>
      </c>
      <c r="AA104">
        <v>5.8401375909714144</v>
      </c>
      <c r="AB104">
        <v>-3.6309312796788564</v>
      </c>
      <c r="AC104">
        <v>2.0716553088022973</v>
      </c>
      <c r="AD104">
        <v>-8.2550606956279887E-2</v>
      </c>
      <c r="AE104">
        <v>1.4206454029623183</v>
      </c>
      <c r="AF104">
        <v>0.43222312603915469</v>
      </c>
      <c r="AG104">
        <v>7.4463246647231807E-2</v>
      </c>
      <c r="AH104">
        <v>6.5960441459786559E-3</v>
      </c>
      <c r="AI104">
        <v>6.9615349192464135E-2</v>
      </c>
      <c r="AJ104">
        <v>0.18650037258432586</v>
      </c>
    </row>
    <row r="105" spans="2:47">
      <c r="D105">
        <v>15.975473785060942</v>
      </c>
      <c r="E105">
        <v>13.426524145689783</v>
      </c>
      <c r="F105">
        <v>-15.541359252667888</v>
      </c>
      <c r="G105">
        <v>-105.29999637179206</v>
      </c>
      <c r="H105">
        <v>-105.29999637179206</v>
      </c>
      <c r="I105">
        <v>-105.29999637179206</v>
      </c>
      <c r="J105">
        <v>-105.29999637179206</v>
      </c>
      <c r="K105">
        <v>-105.29999637179206</v>
      </c>
      <c r="L105">
        <v>-105.29999637179206</v>
      </c>
      <c r="M105">
        <v>-105.29999637179206</v>
      </c>
      <c r="AA105">
        <v>6.0914588948362614</v>
      </c>
      <c r="AB105">
        <v>-3.1275026792475713</v>
      </c>
      <c r="AC105">
        <v>1.4401668290970073</v>
      </c>
      <c r="AD105">
        <v>3.8963417807317429</v>
      </c>
      <c r="AE105">
        <v>1.4504146334134993</v>
      </c>
      <c r="AF105">
        <v>0.4412802417828578</v>
      </c>
      <c r="AG105">
        <v>7.6023603330864692E-2</v>
      </c>
      <c r="AH105">
        <v>6.7342624218681597E-3</v>
      </c>
      <c r="AI105">
        <v>7.1074119529332541E-2</v>
      </c>
      <c r="AJ105">
        <v>0.19040843617226763</v>
      </c>
    </row>
    <row r="106" spans="2:47">
      <c r="D106">
        <v>10.332835876506437</v>
      </c>
      <c r="E106">
        <v>14.03265047489748</v>
      </c>
      <c r="F106">
        <v>-110.94263428034657</v>
      </c>
      <c r="G106">
        <v>-110.94263428034657</v>
      </c>
      <c r="H106">
        <v>-110.94263428034657</v>
      </c>
      <c r="I106">
        <v>-110.94263428034657</v>
      </c>
      <c r="J106">
        <v>-110.94263428034657</v>
      </c>
      <c r="K106">
        <v>-110.94263428034657</v>
      </c>
      <c r="L106">
        <v>-110.94263428034657</v>
      </c>
      <c r="M106">
        <v>-110.94263428034657</v>
      </c>
      <c r="AA106">
        <v>3.9399172666595352</v>
      </c>
      <c r="AB106">
        <v>-3.2686905025434556</v>
      </c>
      <c r="AC106">
        <v>10.280690332524674</v>
      </c>
      <c r="AD106">
        <v>4.1051323466783458</v>
      </c>
      <c r="AE106">
        <v>1.5281369969046112</v>
      </c>
      <c r="AF106">
        <v>0.46492682019097514</v>
      </c>
      <c r="AG106">
        <v>8.0097427460782342E-2</v>
      </c>
      <c r="AH106">
        <v>7.095126673882195E-3</v>
      </c>
      <c r="AI106">
        <v>7.4882719101903639E-2</v>
      </c>
      <c r="AJ106">
        <v>0.20061172104476391</v>
      </c>
    </row>
    <row r="107" spans="2:47">
      <c r="D107">
        <v>9.8417539579062634</v>
      </c>
      <c r="E107">
        <v>-108.61335642785713</v>
      </c>
      <c r="F107">
        <v>-108.61335642785713</v>
      </c>
      <c r="G107">
        <v>-108.61335642785713</v>
      </c>
      <c r="H107">
        <v>-108.61335642785713</v>
      </c>
      <c r="I107">
        <v>-108.61335642785713</v>
      </c>
      <c r="J107">
        <v>-108.61335642785713</v>
      </c>
      <c r="K107">
        <v>-108.61335642785713</v>
      </c>
      <c r="L107">
        <v>-108.61335642785713</v>
      </c>
      <c r="M107">
        <v>-108.61335642785713</v>
      </c>
      <c r="AA107">
        <v>3.7526674009342624</v>
      </c>
      <c r="AB107">
        <v>25.299813975997825</v>
      </c>
      <c r="AC107">
        <v>10.064843787549547</v>
      </c>
      <c r="AD107">
        <v>4.0189437148806437</v>
      </c>
      <c r="AE107">
        <v>1.4960532476268984</v>
      </c>
      <c r="AF107">
        <v>0.45516552551536255</v>
      </c>
      <c r="AG107">
        <v>7.841575508085373E-2</v>
      </c>
      <c r="AH107">
        <v>6.9461621073809241E-3</v>
      </c>
      <c r="AI107">
        <v>7.3310531274656865E-2</v>
      </c>
      <c r="AJ107">
        <v>0.19639981061185888</v>
      </c>
    </row>
    <row r="109" spans="2:47">
      <c r="D109" cm="1">
        <f t="array" ref="D109">SUM(_xlfn.ANCHORARRAY(AA87)+_xlfn.ANCHORARRAY(AA98))</f>
        <v>-1734.6853535131052</v>
      </c>
    </row>
    <row r="110" spans="2:47">
      <c r="P110" t="s">
        <v>245</v>
      </c>
    </row>
    <row r="111" spans="2:47">
      <c r="B111" t="s">
        <v>91</v>
      </c>
      <c r="D111" cm="1">
        <f t="array" ref="D111:M120">(-(B2:K11))/((_xlfn.ANCHORARRAY(Q1))^2)</f>
        <v>-334.08602801198549</v>
      </c>
      <c r="E111">
        <v>-702.84698098444517</v>
      </c>
      <c r="F111">
        <v>-886.22742312308765</v>
      </c>
      <c r="G111">
        <v>-1233.6417862205953</v>
      </c>
      <c r="H111">
        <v>-1684.7646477544642</v>
      </c>
      <c r="I111">
        <v>-1515.4943720252288</v>
      </c>
      <c r="J111">
        <v>-1249.6317164979193</v>
      </c>
      <c r="K111">
        <v>-1105.8200670236765</v>
      </c>
      <c r="L111">
        <v>-714.19696588081945</v>
      </c>
      <c r="M111">
        <v>-902.42592235091774</v>
      </c>
      <c r="P111" t="e" cm="1">
        <f t="array" ref="P111:Y111">((B1:K1)^B34/((B1:K1)^B34+B35^B34))*(B35^B34)/(((B1:K1)^B34+B35^B34))*LN((B1:K1)/B35)-((A1:J1)^B34/((A1:J1)^B34+B35^B34))*(B35^B34)/(((A1:J1)^B34+B35^B34))*LN((A1:J1)/B35)</f>
        <v>#NUM!</v>
      </c>
      <c r="Q111">
        <v>4.9602898002248763E-2</v>
      </c>
      <c r="R111">
        <v>6.2297535587919256E-2</v>
      </c>
      <c r="S111">
        <v>5.7723092094456196E-2</v>
      </c>
      <c r="T111">
        <v>5.0739501351563465E-2</v>
      </c>
      <c r="U111">
        <v>4.4080222538007717E-2</v>
      </c>
      <c r="V111">
        <v>3.8281890742814004E-2</v>
      </c>
      <c r="W111">
        <v>3.3360257226459758E-2</v>
      </c>
      <c r="X111">
        <v>2.9206592164006544E-2</v>
      </c>
      <c r="Y111">
        <v>2.569552450668719E-2</v>
      </c>
      <c r="AA111" cm="1">
        <f t="array" ref="AA111:AJ111">((B1:K1)^B34/((B1:K1)^B34+B35^B34))*(B35^B34)/(((B1:K1)^B34+B35^B34))*(-B34/B35)-((A1:J1)^B34/((A1:J1)^B34+B35^B34))*(A1:J1)/(((A1:J1)^B34+B35^B34))*(-B34/B35)</f>
        <v>-1.5167672297381611E-2</v>
      </c>
      <c r="AB111">
        <v>-1.5875152851442701E-2</v>
      </c>
      <c r="AC111">
        <v>-1.2188847470672481E-2</v>
      </c>
      <c r="AD111">
        <v>-6.9763155230477165E-3</v>
      </c>
      <c r="AE111">
        <v>-1.1384873259962167E-3</v>
      </c>
      <c r="AF111">
        <v>4.9333178112926229E-3</v>
      </c>
      <c r="AG111">
        <v>1.1047014212772689E-2</v>
      </c>
      <c r="AH111">
        <v>1.7102517763441179E-2</v>
      </c>
      <c r="AI111">
        <v>2.3046616324288387E-2</v>
      </c>
      <c r="AJ111">
        <v>2.8851554196542919E-2</v>
      </c>
      <c r="AL111" cm="1">
        <f t="array" ref="AL111:AU120">_xlfn.ANCHORARRAY(D111)*_xlfn.ANCHORARRAY(P112)*_xlfn.ANCHORARRAY(AA111)</f>
        <v>0</v>
      </c>
      <c r="AM111">
        <v>0.55345937675235646</v>
      </c>
      <c r="AN111">
        <v>0.67294364131817375</v>
      </c>
      <c r="AO111">
        <v>0.49678076649640029</v>
      </c>
      <c r="AP111">
        <v>9.7322585055637345E-2</v>
      </c>
      <c r="AQ111">
        <v>-0.329562053667592</v>
      </c>
      <c r="AR111">
        <v>-0.52846999159886443</v>
      </c>
      <c r="AS111">
        <v>-0.63091943758965274</v>
      </c>
      <c r="AT111">
        <v>-0.48073535067240147</v>
      </c>
      <c r="AU111">
        <v>-0.66901870777061268</v>
      </c>
    </row>
    <row r="112" spans="2:47">
      <c r="D112">
        <v>-318.17716953522427</v>
      </c>
      <c r="E112">
        <v>-741.89403548358098</v>
      </c>
      <c r="F112">
        <v>-725.0951643734353</v>
      </c>
      <c r="G112">
        <v>-1370.7130958006614</v>
      </c>
      <c r="H112">
        <v>-1895.3602287237723</v>
      </c>
      <c r="I112">
        <v>-1515.4943720252288</v>
      </c>
      <c r="J112">
        <v>-1249.6317164979193</v>
      </c>
      <c r="K112">
        <v>-1658.730100535515</v>
      </c>
      <c r="L112">
        <v>-714.19696588081945</v>
      </c>
      <c r="M112">
        <v>0</v>
      </c>
      <c r="P112" cm="1">
        <f t="array" ref="P112:Y112">IFERROR(_xlfn.ANCHORARRAY(P111),0)</f>
        <v>0</v>
      </c>
      <c r="Q112">
        <v>4.9602898002248763E-2</v>
      </c>
      <c r="R112">
        <v>6.2297535587919256E-2</v>
      </c>
      <c r="S112">
        <v>5.7723092094456196E-2</v>
      </c>
      <c r="T112">
        <v>5.0739501351563465E-2</v>
      </c>
      <c r="U112">
        <v>4.4080222538007717E-2</v>
      </c>
      <c r="V112">
        <v>3.8281890742814004E-2</v>
      </c>
      <c r="W112">
        <v>3.3360257226459758E-2</v>
      </c>
      <c r="X112">
        <v>2.9206592164006544E-2</v>
      </c>
      <c r="Y112">
        <v>2.569552450668719E-2</v>
      </c>
      <c r="AL112">
        <v>0</v>
      </c>
      <c r="AM112">
        <v>0.58420711990526508</v>
      </c>
      <c r="AN112">
        <v>0.55059025198759659</v>
      </c>
      <c r="AO112">
        <v>0.55197862944044485</v>
      </c>
      <c r="AP112">
        <v>0.10948790818759201</v>
      </c>
      <c r="AQ112">
        <v>-0.329562053667592</v>
      </c>
      <c r="AR112">
        <v>-0.52846999159886443</v>
      </c>
      <c r="AS112">
        <v>-0.94637915638447923</v>
      </c>
      <c r="AT112">
        <v>-0.48073535067240147</v>
      </c>
      <c r="AU112">
        <v>0</v>
      </c>
    </row>
    <row r="113" spans="4:58">
      <c r="D113">
        <v>-286.35945258170187</v>
      </c>
      <c r="E113">
        <v>-741.89403548358098</v>
      </c>
      <c r="F113">
        <v>-805.66129374826141</v>
      </c>
      <c r="G113">
        <v>-1507.7844053807278</v>
      </c>
      <c r="H113">
        <v>-1895.3602287237723</v>
      </c>
      <c r="I113">
        <v>-1818.5932464302743</v>
      </c>
      <c r="J113">
        <v>-1249.6317164979193</v>
      </c>
      <c r="K113">
        <v>-1658.730100535515</v>
      </c>
      <c r="L113">
        <v>0</v>
      </c>
      <c r="M113">
        <v>0</v>
      </c>
      <c r="AL113">
        <v>0</v>
      </c>
      <c r="AM113">
        <v>0.58420711990526508</v>
      </c>
      <c r="AN113">
        <v>0.61176694665288511</v>
      </c>
      <c r="AO113">
        <v>0.60717649238448923</v>
      </c>
      <c r="AP113">
        <v>0.10948790818759201</v>
      </c>
      <c r="AQ113">
        <v>-0.39547446440111034</v>
      </c>
      <c r="AR113">
        <v>-0.52846999159886443</v>
      </c>
      <c r="AS113">
        <v>-0.94637915638447923</v>
      </c>
      <c r="AT113">
        <v>0</v>
      </c>
      <c r="AU113">
        <v>0</v>
      </c>
    </row>
    <row r="114" spans="4:58">
      <c r="D114">
        <v>-302.26831105846304</v>
      </c>
      <c r="E114">
        <v>-741.89403548358098</v>
      </c>
      <c r="F114">
        <v>-725.0951643734353</v>
      </c>
      <c r="G114">
        <v>-1507.7844053807278</v>
      </c>
      <c r="H114">
        <v>-1895.3602287237723</v>
      </c>
      <c r="I114">
        <v>-1818.5932464302743</v>
      </c>
      <c r="J114">
        <v>-1249.6317164979193</v>
      </c>
      <c r="K114">
        <v>0</v>
      </c>
      <c r="L114">
        <v>0</v>
      </c>
      <c r="M114">
        <v>0</v>
      </c>
      <c r="AL114">
        <v>0</v>
      </c>
      <c r="AM114">
        <v>0.58420711990526508</v>
      </c>
      <c r="AN114">
        <v>0.55059025198759659</v>
      </c>
      <c r="AO114">
        <v>0.60717649238448923</v>
      </c>
      <c r="AP114">
        <v>0.10948790818759201</v>
      </c>
      <c r="AQ114">
        <v>-0.39547446440111034</v>
      </c>
      <c r="AR114">
        <v>-0.52846999159886443</v>
      </c>
      <c r="AS114">
        <v>0</v>
      </c>
      <c r="AT114">
        <v>0</v>
      </c>
      <c r="AU114">
        <v>0</v>
      </c>
    </row>
    <row r="115" spans="4:58">
      <c r="D115">
        <v>-310.22274029684365</v>
      </c>
      <c r="E115">
        <v>-741.89403548358098</v>
      </c>
      <c r="F115">
        <v>-725.0951643734353</v>
      </c>
      <c r="G115">
        <v>-1370.7130958006614</v>
      </c>
      <c r="H115">
        <v>-2105.9558096930805</v>
      </c>
      <c r="I115">
        <v>-1515.4943720252288</v>
      </c>
      <c r="J115">
        <v>0</v>
      </c>
      <c r="K115">
        <v>0</v>
      </c>
      <c r="L115">
        <v>0</v>
      </c>
      <c r="M115">
        <v>0</v>
      </c>
      <c r="AL115">
        <v>0</v>
      </c>
      <c r="AM115">
        <v>0.58420711990526508</v>
      </c>
      <c r="AN115">
        <v>0.55059025198759659</v>
      </c>
      <c r="AO115">
        <v>0.55197862944044485</v>
      </c>
      <c r="AP115">
        <v>0.12165323131954668</v>
      </c>
      <c r="AQ115">
        <v>-0.329562053667592</v>
      </c>
      <c r="AR115">
        <v>0</v>
      </c>
      <c r="AS115">
        <v>0</v>
      </c>
      <c r="AT115">
        <v>0</v>
      </c>
      <c r="AU115">
        <v>0</v>
      </c>
    </row>
    <row r="116" spans="4:58">
      <c r="D116">
        <v>-326.13159877360488</v>
      </c>
      <c r="E116">
        <v>-741.89403548358098</v>
      </c>
      <c r="F116">
        <v>-805.66129374826141</v>
      </c>
      <c r="G116">
        <v>-1233.6417862205953</v>
      </c>
      <c r="H116">
        <v>-1895.3602287237723</v>
      </c>
      <c r="I116">
        <v>0</v>
      </c>
      <c r="J116">
        <v>0</v>
      </c>
      <c r="K116">
        <v>0</v>
      </c>
      <c r="L116">
        <v>0</v>
      </c>
      <c r="M116">
        <v>0</v>
      </c>
      <c r="AL116">
        <v>0</v>
      </c>
      <c r="AM116">
        <v>0.58420711990526508</v>
      </c>
      <c r="AN116">
        <v>0.61176694665288511</v>
      </c>
      <c r="AO116">
        <v>0.49678076649640029</v>
      </c>
      <c r="AP116">
        <v>0.10948790818759201</v>
      </c>
      <c r="AQ116">
        <v>0</v>
      </c>
      <c r="AR116">
        <v>0</v>
      </c>
      <c r="AS116">
        <v>0</v>
      </c>
      <c r="AT116">
        <v>0</v>
      </c>
      <c r="AU116">
        <v>0</v>
      </c>
    </row>
    <row r="117" spans="4:58">
      <c r="D117">
        <v>-334.08602801198549</v>
      </c>
      <c r="E117">
        <v>-741.89403548358098</v>
      </c>
      <c r="F117">
        <v>-725.0951643734353</v>
      </c>
      <c r="G117">
        <v>-1233.6417862205953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AL117">
        <v>0</v>
      </c>
      <c r="AM117">
        <v>0.58420711990526508</v>
      </c>
      <c r="AN117">
        <v>0.55059025198759659</v>
      </c>
      <c r="AO117">
        <v>0.49678076649640029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</row>
    <row r="118" spans="4:58">
      <c r="D118">
        <v>-342.0404572503661</v>
      </c>
      <c r="E118">
        <v>-741.89403548358098</v>
      </c>
      <c r="F118">
        <v>-805.66129374826141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AL118">
        <v>0</v>
      </c>
      <c r="AM118">
        <v>0.58420711990526508</v>
      </c>
      <c r="AN118">
        <v>0.61176694665288511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</row>
    <row r="119" spans="4:58">
      <c r="D119">
        <v>-342.0404572503661</v>
      </c>
      <c r="E119">
        <v>-780.94108998271679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AL119">
        <v>0</v>
      </c>
      <c r="AM119">
        <v>0.61495486305817371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</row>
    <row r="120" spans="4:58">
      <c r="D120">
        <v>-334.08602801198549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</row>
    <row r="122" spans="4:58">
      <c r="D122" cm="1">
        <f t="array" ref="D122:M131">((B2:K11)/(_xlfn.ANCHORARRAY(Q1)))-B33*_xlfn.ANCHORARRAY(M2)</f>
        <v>18.453973967169389</v>
      </c>
      <c r="E122">
        <v>12.476619861125641</v>
      </c>
      <c r="F122">
        <v>-1.2666355875574169</v>
      </c>
      <c r="G122">
        <v>5.3685749598916033</v>
      </c>
      <c r="H122">
        <v>16.09415712096218</v>
      </c>
      <c r="I122">
        <v>-12.952461183837315</v>
      </c>
      <c r="J122">
        <v>-38.772914580182281</v>
      </c>
      <c r="K122">
        <v>-52.973058273220538</v>
      </c>
      <c r="L122">
        <v>-73.276672609551554</v>
      </c>
      <c r="M122">
        <v>-69.960731588583513</v>
      </c>
      <c r="P122" cm="1">
        <f t="array" ref="P122:Y122">((B1:K1)^B34/((B1:K1)^B34+B35^B34))*(B35^B34)/(((B1:K1)^B34+B35^B34))*(-1/B35)</f>
        <v>-2.14806878646264E-2</v>
      </c>
      <c r="Q122">
        <v>-2.7735186085711978E-2</v>
      </c>
      <c r="R122">
        <v>-3.082589348656968E-2</v>
      </c>
      <c r="S122">
        <v>-3.2493018506711449E-2</v>
      </c>
      <c r="T122">
        <v>-3.3393693744669238E-2</v>
      </c>
      <c r="U122">
        <v>-3.3841234383412876E-2</v>
      </c>
      <c r="V122">
        <v>-3.4005107274528691E-2</v>
      </c>
      <c r="W122">
        <v>-3.3984717115446261E-2</v>
      </c>
      <c r="X122">
        <v>-3.3841787677063119E-2</v>
      </c>
      <c r="Y122">
        <v>-3.3616293278692547E-2</v>
      </c>
      <c r="AA122" cm="1">
        <f t="array" ref="AA122:AJ122">1+B34*LN((B1:K1)/B35)*(1-2*((B1:K1)^B34/((B1:K1)^B34+B35^B34)))</f>
        <v>0.14502127103579621</v>
      </c>
      <c r="AB122">
        <v>0.60512429294112824</v>
      </c>
      <c r="AC122">
        <v>0.80626444557838295</v>
      </c>
      <c r="AD122">
        <v>0.90912905606154804</v>
      </c>
      <c r="AE122">
        <v>0.96323332987394483</v>
      </c>
      <c r="AF122">
        <v>0.9897550354199296</v>
      </c>
      <c r="AG122">
        <v>0.99940774440571578</v>
      </c>
      <c r="AH122">
        <v>0.99820838202891349</v>
      </c>
      <c r="AI122">
        <v>0.98978767882365215</v>
      </c>
      <c r="AJ122">
        <v>0.97645427010210506</v>
      </c>
      <c r="AL122" cm="1">
        <f t="array" ref="AL122:AU122">_xlfn.ANCHORARRAY(P122)*_xlfn.ANCHORARRAY(AA122)</f>
        <v>-3.1151566568513238E-3</v>
      </c>
      <c r="AM122">
        <v>-1.6783234869707078E-2</v>
      </c>
      <c r="AN122">
        <v>-2.485382192140739E-2</v>
      </c>
      <c r="AO122">
        <v>-2.9540347243596991E-2</v>
      </c>
      <c r="AP122">
        <v>-3.216591882246847E-2</v>
      </c>
      <c r="AQ122">
        <v>-3.3494532135808948E-2</v>
      </c>
      <c r="AR122">
        <v>-3.3984967559511116E-2</v>
      </c>
      <c r="AS122">
        <v>-3.3923829485519939E-2</v>
      </c>
      <c r="AT122">
        <v>-3.3496184472123179E-2</v>
      </c>
      <c r="AU122">
        <v>-3.2824773116984028E-2</v>
      </c>
    </row>
    <row r="123" spans="4:58">
      <c r="D123">
        <v>11.418501330013683</v>
      </c>
      <c r="E123">
        <v>17.330631003911336</v>
      </c>
      <c r="F123">
        <v>-20.61311610635876</v>
      </c>
      <c r="G123">
        <v>15.681567573635718</v>
      </c>
      <c r="H123">
        <v>29.211315718430185</v>
      </c>
      <c r="I123">
        <v>-14.347214278813823</v>
      </c>
      <c r="J123">
        <v>-40.167667675158789</v>
      </c>
      <c r="K123">
        <v>-30.853772295510311</v>
      </c>
      <c r="L123">
        <v>-74.671425704528062</v>
      </c>
      <c r="M123">
        <v>-101.39588951357051</v>
      </c>
    </row>
    <row r="124" spans="4:58">
      <c r="D124">
        <v>-0.7016271511422616</v>
      </c>
      <c r="E124">
        <v>16.491941607113816</v>
      </c>
      <c r="F124">
        <v>-12.475941791243855</v>
      </c>
      <c r="G124">
        <v>26.550623885558807</v>
      </c>
      <c r="H124">
        <v>28.372626321632666</v>
      </c>
      <c r="I124">
        <v>2.2238313713399975</v>
      </c>
      <c r="J124">
        <v>-41.006357071956309</v>
      </c>
      <c r="K124">
        <v>-31.69246169230783</v>
      </c>
      <c r="L124">
        <v>-102.23457891036803</v>
      </c>
      <c r="M124">
        <v>-102.23457891036803</v>
      </c>
    </row>
    <row r="125" spans="4:58">
      <c r="D125">
        <v>3.4758715545197703</v>
      </c>
      <c r="E125">
        <v>15.028720770596635</v>
      </c>
      <c r="F125">
        <v>-22.91502633967346</v>
      </c>
      <c r="G125">
        <v>25.087403049041626</v>
      </c>
      <c r="H125">
        <v>26.909405485115485</v>
      </c>
      <c r="I125">
        <v>0.76061053482281693</v>
      </c>
      <c r="J125">
        <v>-42.469577908473489</v>
      </c>
      <c r="K125">
        <v>-103.69779974688521</v>
      </c>
      <c r="L125">
        <v>-103.69779974688521</v>
      </c>
      <c r="M125">
        <v>-103.69779974688521</v>
      </c>
    </row>
    <row r="126" spans="4:58">
      <c r="D126">
        <v>5.0541067303829834</v>
      </c>
      <c r="E126">
        <v>13.786596175370249</v>
      </c>
      <c r="F126">
        <v>-24.157150934899846</v>
      </c>
      <c r="G126">
        <v>12.137532745094632</v>
      </c>
      <c r="H126">
        <v>40.179192582333627</v>
      </c>
      <c r="I126">
        <v>-17.891249107354909</v>
      </c>
      <c r="J126">
        <v>-104.9399243421116</v>
      </c>
      <c r="K126">
        <v>-104.9399243421116</v>
      </c>
      <c r="L126">
        <v>-104.9399243421116</v>
      </c>
      <c r="M126">
        <v>-104.9399243421116</v>
      </c>
    </row>
    <row r="127" spans="4:58">
      <c r="D127">
        <v>9.3529865225079192</v>
      </c>
      <c r="E127">
        <v>12.444756425315973</v>
      </c>
      <c r="F127">
        <v>-16.523126973041698</v>
      </c>
      <c r="G127">
        <v>-0.91205271368026786</v>
      </c>
      <c r="H127">
        <v>24.325441139834822</v>
      </c>
      <c r="I127">
        <v>-106.28176409216587</v>
      </c>
      <c r="J127">
        <v>-106.28176409216587</v>
      </c>
      <c r="K127">
        <v>-106.28176409216587</v>
      </c>
      <c r="L127">
        <v>-106.28176409216587</v>
      </c>
      <c r="M127">
        <v>-106.28176409216587</v>
      </c>
      <c r="AW127" cm="1">
        <f t="array" ref="AW127:BF127">_xlfn.ANCHORARRAY(AL122)-_xlfn.ANCHORARRAY(AL133)</f>
        <v>-3.1151566568513238E-3</v>
      </c>
      <c r="AX127">
        <v>-1.3668078212855754E-2</v>
      </c>
      <c r="AY127">
        <v>-8.0705870517003113E-3</v>
      </c>
      <c r="AZ127">
        <v>-4.6865253221896018E-3</v>
      </c>
      <c r="BA127">
        <v>-2.6255715788714787E-3</v>
      </c>
      <c r="BB127">
        <v>-1.3286133133404779E-3</v>
      </c>
      <c r="BC127">
        <v>-4.9043542370216797E-4</v>
      </c>
      <c r="BD127">
        <v>6.1138073991176545E-5</v>
      </c>
      <c r="BE127">
        <v>4.276450133967602E-4</v>
      </c>
      <c r="BF127">
        <v>6.7141135513915096E-4</v>
      </c>
    </row>
    <row r="128" spans="4:58">
      <c r="D128">
        <v>15.316357968827873</v>
      </c>
      <c r="E128">
        <v>15.587768100546327</v>
      </c>
      <c r="F128">
        <v>-22.355979009723768</v>
      </c>
      <c r="G128">
        <v>2.2309589615500869</v>
      </c>
      <c r="H128">
        <v>-103.13875241693552</v>
      </c>
      <c r="I128">
        <v>-103.13875241693552</v>
      </c>
      <c r="J128">
        <v>-103.13875241693552</v>
      </c>
      <c r="K128">
        <v>-103.13875241693552</v>
      </c>
      <c r="L128">
        <v>-103.13875241693552</v>
      </c>
      <c r="M128">
        <v>-103.13875241693552</v>
      </c>
    </row>
    <row r="129" spans="4:47">
      <c r="D129">
        <v>15.975473785060942</v>
      </c>
      <c r="E129">
        <v>13.426524145689783</v>
      </c>
      <c r="F129">
        <v>-15.541359252667888</v>
      </c>
      <c r="G129">
        <v>-105.29999637179206</v>
      </c>
      <c r="H129">
        <v>-105.29999637179206</v>
      </c>
      <c r="I129">
        <v>-105.29999637179206</v>
      </c>
      <c r="J129">
        <v>-105.29999637179206</v>
      </c>
      <c r="K129">
        <v>-105.29999637179206</v>
      </c>
      <c r="L129">
        <v>-105.29999637179206</v>
      </c>
      <c r="M129">
        <v>-105.29999637179206</v>
      </c>
    </row>
    <row r="130" spans="4:47">
      <c r="D130">
        <v>10.332835876506437</v>
      </c>
      <c r="E130">
        <v>14.03265047489748</v>
      </c>
      <c r="F130">
        <v>-110.94263428034657</v>
      </c>
      <c r="G130">
        <v>-110.94263428034657</v>
      </c>
      <c r="H130">
        <v>-110.94263428034657</v>
      </c>
      <c r="I130">
        <v>-110.94263428034657</v>
      </c>
      <c r="J130">
        <v>-110.94263428034657</v>
      </c>
      <c r="K130">
        <v>-110.94263428034657</v>
      </c>
      <c r="L130">
        <v>-110.94263428034657</v>
      </c>
      <c r="M130">
        <v>-110.94263428034657</v>
      </c>
    </row>
    <row r="131" spans="4:47">
      <c r="D131">
        <v>9.8417539579062634</v>
      </c>
      <c r="E131">
        <v>-108.61335642785713</v>
      </c>
      <c r="F131">
        <v>-108.61335642785713</v>
      </c>
      <c r="G131">
        <v>-108.61335642785713</v>
      </c>
      <c r="H131">
        <v>-108.61335642785713</v>
      </c>
      <c r="I131">
        <v>-108.61335642785713</v>
      </c>
      <c r="J131">
        <v>-108.61335642785713</v>
      </c>
      <c r="K131">
        <v>-108.61335642785713</v>
      </c>
      <c r="L131">
        <v>-108.61335642785713</v>
      </c>
      <c r="M131">
        <v>-108.61335642785713</v>
      </c>
    </row>
    <row r="133" spans="4:47">
      <c r="P133" cm="1">
        <f t="array" ref="P133:Y133">((A1:J1)^B34/((A1:J1)^B34+B35^B34))*(B35^B34)/(((A1:J1)^B34+B35^B34))*(-1/B35)</f>
        <v>0</v>
      </c>
      <c r="Q133">
        <v>-2.14806878646264E-2</v>
      </c>
      <c r="R133">
        <v>-2.7735186085711978E-2</v>
      </c>
      <c r="S133">
        <v>-3.082589348656968E-2</v>
      </c>
      <c r="T133">
        <v>-3.2493018506711449E-2</v>
      </c>
      <c r="U133">
        <v>-3.3393693744669238E-2</v>
      </c>
      <c r="V133">
        <v>-3.3841234383412876E-2</v>
      </c>
      <c r="W133">
        <v>-3.4005107274528691E-2</v>
      </c>
      <c r="X133">
        <v>-3.3984717115446261E-2</v>
      </c>
      <c r="Y133">
        <v>-3.3841787677063119E-2</v>
      </c>
      <c r="AA133" t="e" cm="1">
        <f t="array" ref="AA133:AJ133">1+B34*LN((A1:J1)/B35)*(1-2*((A1:J1)^B34/((A1:J1)^B34+B35^B34)))</f>
        <v>#NUM!</v>
      </c>
      <c r="AB133">
        <v>0.14502127103579621</v>
      </c>
      <c r="AC133">
        <v>0.60512429294112824</v>
      </c>
      <c r="AD133">
        <v>0.80626444557838295</v>
      </c>
      <c r="AE133">
        <v>0.90912905606154804</v>
      </c>
      <c r="AF133">
        <v>0.96323332987394483</v>
      </c>
      <c r="AG133">
        <v>0.9897550354199296</v>
      </c>
      <c r="AH133">
        <v>0.99940774440571578</v>
      </c>
      <c r="AI133">
        <v>0.99820838202891349</v>
      </c>
      <c r="AJ133">
        <v>0.98978767882365215</v>
      </c>
      <c r="AL133" cm="1">
        <f t="array" ref="AL133:AU133">_xlfn.ANCHORARRAY(P133)*_xlfn.ANCHORARRAY(AA134)</f>
        <v>0</v>
      </c>
      <c r="AM133">
        <v>-3.1151566568513238E-3</v>
      </c>
      <c r="AN133">
        <v>-1.6783234869707078E-2</v>
      </c>
      <c r="AO133">
        <v>-2.485382192140739E-2</v>
      </c>
      <c r="AP133">
        <v>-2.9540347243596991E-2</v>
      </c>
      <c r="AQ133">
        <v>-3.216591882246847E-2</v>
      </c>
      <c r="AR133">
        <v>-3.3494532135808948E-2</v>
      </c>
      <c r="AS133">
        <v>-3.3984967559511116E-2</v>
      </c>
      <c r="AT133">
        <v>-3.3923829485519939E-2</v>
      </c>
      <c r="AU133">
        <v>-3.3496184472123179E-2</v>
      </c>
    </row>
    <row r="134" spans="4:47">
      <c r="D134" cm="1">
        <f t="array" ref="D134:M143">_xlfn.ANCHORARRAY(D122)*_xlfn.ANCHORARRAY(AW127)</f>
        <v>-5.7487019849188754E-2</v>
      </c>
      <c r="E134">
        <v>-0.17053141609393477</v>
      </c>
      <c r="F134">
        <v>1.0222492772163704E-2</v>
      </c>
      <c r="G134">
        <v>-2.5159962493605026E-2</v>
      </c>
      <c r="H134">
        <v>-4.2256361522690321E-2</v>
      </c>
      <c r="I134">
        <v>1.7208812369372023E-2</v>
      </c>
      <c r="J134">
        <v>1.9015610790299665E-2</v>
      </c>
      <c r="K134">
        <v>-3.238670756247064E-3</v>
      </c>
      <c r="L134">
        <v>-3.1336403639781685E-2</v>
      </c>
      <c r="M134">
        <v>-4.6972429602417265E-2</v>
      </c>
      <c r="AA134" cm="1">
        <f t="array" ref="AA134:AJ134">IFERROR(_xlfn.ANCHORARRAY(AA133),0)</f>
        <v>0</v>
      </c>
      <c r="AB134">
        <v>0.14502127103579621</v>
      </c>
      <c r="AC134">
        <v>0.60512429294112824</v>
      </c>
      <c r="AD134">
        <v>0.80626444557838295</v>
      </c>
      <c r="AE134">
        <v>0.90912905606154804</v>
      </c>
      <c r="AF134">
        <v>0.96323332987394483</v>
      </c>
      <c r="AG134">
        <v>0.9897550354199296</v>
      </c>
      <c r="AH134">
        <v>0.99940774440571578</v>
      </c>
      <c r="AI134">
        <v>0.99820838202891349</v>
      </c>
      <c r="AJ134">
        <v>0.98978767882365215</v>
      </c>
    </row>
    <row r="135" spans="4:47">
      <c r="D135">
        <v>-3.5570420429457822E-2</v>
      </c>
      <c r="E135">
        <v>-0.23687642003960296</v>
      </c>
      <c r="F135">
        <v>0.16635994794317413</v>
      </c>
      <c r="G135">
        <v>-7.3492063525471149E-2</v>
      </c>
      <c r="H135">
        <v>-7.6696400331751985E-2</v>
      </c>
      <c r="I135">
        <v>1.9061899900180649E-2</v>
      </c>
      <c r="J135">
        <v>1.9699647115394379E-2</v>
      </c>
      <c r="K135">
        <v>-1.8863402135098223E-3</v>
      </c>
      <c r="L135">
        <v>-3.1932862845768087E-2</v>
      </c>
      <c r="M135">
        <v>-6.8078351583845995E-2</v>
      </c>
    </row>
    <row r="136" spans="4:47">
      <c r="D136">
        <v>2.1856784905084463E-3</v>
      </c>
      <c r="E136">
        <v>-0.22541314776788166</v>
      </c>
      <c r="F136">
        <v>0.10068817427817944</v>
      </c>
      <c r="G136">
        <v>-0.12443017115960342</v>
      </c>
      <c r="H136">
        <v>-7.4494361288019548E-2</v>
      </c>
      <c r="I136">
        <v>-2.9546119665865328E-3</v>
      </c>
      <c r="J136">
        <v>2.0110970105067284E-2</v>
      </c>
      <c r="K136">
        <v>-1.9376160679068443E-3</v>
      </c>
      <c r="L136">
        <v>-4.3720107867736474E-2</v>
      </c>
      <c r="M136">
        <v>-6.8641457168290662E-2</v>
      </c>
    </row>
    <row r="137" spans="4:47">
      <c r="D137">
        <v>-1.0827884411422422E-2</v>
      </c>
      <c r="E137">
        <v>-0.20541373093168461</v>
      </c>
      <c r="F137">
        <v>0.1849377148663402</v>
      </c>
      <c r="G137">
        <v>-0.11757274965731021</v>
      </c>
      <c r="H137">
        <v>-7.06525702460475E-2</v>
      </c>
      <c r="I137">
        <v>-1.0105572828326157E-3</v>
      </c>
      <c r="J137">
        <v>2.0828585435994428E-2</v>
      </c>
      <c r="K137">
        <v>-6.3398837536472767E-3</v>
      </c>
      <c r="L137">
        <v>-4.4345846961971282E-2</v>
      </c>
      <c r="M137">
        <v>-6.9623880253004505E-2</v>
      </c>
    </row>
    <row r="138" spans="4:47">
      <c r="D138">
        <v>-1.5744334225589629E-2</v>
      </c>
      <c r="E138">
        <v>-0.18843627481401856</v>
      </c>
      <c r="F138">
        <v>0.19496238954117276</v>
      </c>
      <c r="G138">
        <v>-5.6882854558791461E-2</v>
      </c>
      <c r="H138">
        <v>-0.1054933461061789</v>
      </c>
      <c r="I138">
        <v>2.3770551756322672E-2</v>
      </c>
      <c r="J138">
        <v>5.1466256257996952E-2</v>
      </c>
      <c r="K138">
        <v>-6.4158248590564871E-3</v>
      </c>
      <c r="L138">
        <v>-4.4877035351137316E-2</v>
      </c>
      <c r="M138">
        <v>-7.0457856810737116E-2</v>
      </c>
    </row>
    <row r="139" spans="4:47">
      <c r="D139">
        <v>-2.9136018227031258E-2</v>
      </c>
      <c r="E139">
        <v>-0.17009590416115791</v>
      </c>
      <c r="F139">
        <v>0.13335133460223048</v>
      </c>
      <c r="G139">
        <v>4.2743581378343175E-3</v>
      </c>
      <c r="H139">
        <v>-6.3868186900261331E-2</v>
      </c>
      <c r="I139">
        <v>0.14120736673816353</v>
      </c>
      <c r="J139">
        <v>5.2124342004355229E-2</v>
      </c>
      <c r="K139">
        <v>-6.4978623569796074E-3</v>
      </c>
      <c r="L139">
        <v>-4.5450866429025578E-2</v>
      </c>
      <c r="M139">
        <v>-7.1358783255700636E-2</v>
      </c>
    </row>
    <row r="140" spans="4:47">
      <c r="D140">
        <v>-4.771285448531197E-2</v>
      </c>
      <c r="E140">
        <v>-0.21305483356212518</v>
      </c>
      <c r="F140">
        <v>0.1804258747239606</v>
      </c>
      <c r="G140">
        <v>-1.04554456660703E-2</v>
      </c>
      <c r="H140">
        <v>0.27079817702616793</v>
      </c>
      <c r="I140">
        <v>0.13703151958246793</v>
      </c>
      <c r="J140">
        <v>5.0582897741712769E-2</v>
      </c>
      <c r="K140">
        <v>-6.3057046766242424E-3</v>
      </c>
      <c r="L140">
        <v>-4.410677315906552E-2</v>
      </c>
      <c r="M140">
        <v>-6.9248529527616051E-2</v>
      </c>
    </row>
    <row r="141" spans="4:47">
      <c r="D141">
        <v>-4.9766103507886406E-2</v>
      </c>
      <c r="E141">
        <v>-0.18351478215008424</v>
      </c>
      <c r="F141">
        <v>0.12542789275040428</v>
      </c>
      <c r="G141">
        <v>0.49349109942287672</v>
      </c>
      <c r="H141">
        <v>0.27647267772904704</v>
      </c>
      <c r="I141">
        <v>0.13990297707426697</v>
      </c>
      <c r="J141">
        <v>5.1642848336436592E-2</v>
      </c>
      <c r="K141">
        <v>-6.4378389694492444E-3</v>
      </c>
      <c r="L141">
        <v>-4.5031018359093816E-2</v>
      </c>
      <c r="M141">
        <v>-7.0699613260132591E-2</v>
      </c>
    </row>
    <row r="142" spans="4:47">
      <c r="D142">
        <v>-3.2188402464851211E-2</v>
      </c>
      <c r="E142">
        <v>-0.1917993642245662</v>
      </c>
      <c r="F142">
        <v>0.89537218770448812</v>
      </c>
      <c r="G142">
        <v>0.51993546486526432</v>
      </c>
      <c r="H142">
        <v>0.29128782745161058</v>
      </c>
      <c r="I142">
        <v>0.14739986092193214</v>
      </c>
      <c r="J142">
        <v>5.4410197849916436E-2</v>
      </c>
      <c r="K142">
        <v>-6.7828189834078676E-3</v>
      </c>
      <c r="L142">
        <v>-4.7444064323090673E-2</v>
      </c>
      <c r="M142">
        <v>-7.4488144424874711E-2</v>
      </c>
    </row>
    <row r="143" spans="4:47">
      <c r="D143">
        <v>-3.065860535706456E-2</v>
      </c>
      <c r="E143">
        <v>1.4845358506167305</v>
      </c>
      <c r="F143">
        <v>0.87657354802837451</v>
      </c>
      <c r="G143">
        <v>0.50901924522715714</v>
      </c>
      <c r="H143">
        <v>0.28517214172281952</v>
      </c>
      <c r="I143">
        <v>0.14430515135664554</v>
      </c>
      <c r="J143">
        <v>5.3267837479410697E-2</v>
      </c>
      <c r="K143">
        <v>-6.6404114217163595E-3</v>
      </c>
      <c r="L143">
        <v>-4.6447960264658049E-2</v>
      </c>
      <c r="M143">
        <v>-7.2924240825439163E-2</v>
      </c>
    </row>
    <row r="144" spans="4:47">
      <c r="P144" t="s">
        <v>91</v>
      </c>
    </row>
    <row r="145" spans="2:36">
      <c r="D145" cm="1">
        <f t="array" ref="D145:M154">_xlfn.ANCHORARRAY(AL111)+_xlfn.ANCHORARRAY(D134)</f>
        <v>-5.7487019849188754E-2</v>
      </c>
      <c r="E145">
        <v>0.38292796065842172</v>
      </c>
      <c r="F145">
        <v>0.68316613409033744</v>
      </c>
      <c r="G145">
        <v>0.47162080400279527</v>
      </c>
      <c r="H145">
        <v>5.5066223532947024E-2</v>
      </c>
      <c r="I145">
        <v>-0.31235324129821995</v>
      </c>
      <c r="J145">
        <v>-0.50945438080856476</v>
      </c>
      <c r="K145">
        <v>-0.63415810834589981</v>
      </c>
      <c r="L145">
        <v>-0.5120717543121831</v>
      </c>
      <c r="M145">
        <v>-0.71599113737302988</v>
      </c>
      <c r="P145">
        <f>SUM(_xlfn.ANCHORARRAY(D145))</f>
        <v>10.455582398301171</v>
      </c>
    </row>
    <row r="146" spans="2:36">
      <c r="D146">
        <v>-3.5570420429457822E-2</v>
      </c>
      <c r="E146">
        <v>0.34733069986566212</v>
      </c>
      <c r="F146">
        <v>0.71695019993077069</v>
      </c>
      <c r="G146">
        <v>0.47848656591497368</v>
      </c>
      <c r="H146">
        <v>3.2791507855840021E-2</v>
      </c>
      <c r="I146">
        <v>-0.31050015376741136</v>
      </c>
      <c r="J146">
        <v>-0.50877034448347003</v>
      </c>
      <c r="K146">
        <v>-0.94826549659798909</v>
      </c>
      <c r="L146">
        <v>-0.5126682135181696</v>
      </c>
      <c r="M146">
        <v>-6.8078351583845995E-2</v>
      </c>
    </row>
    <row r="147" spans="2:36">
      <c r="D147">
        <v>2.1856784905084463E-3</v>
      </c>
      <c r="E147">
        <v>0.3587939721373834</v>
      </c>
      <c r="F147">
        <v>0.71245512093106456</v>
      </c>
      <c r="G147">
        <v>0.48274632122488581</v>
      </c>
      <c r="H147">
        <v>3.4993546899572459E-2</v>
      </c>
      <c r="I147">
        <v>-0.39842907636769687</v>
      </c>
      <c r="J147">
        <v>-0.50835902149379719</v>
      </c>
      <c r="K147">
        <v>-0.9483167724523861</v>
      </c>
      <c r="L147">
        <v>-4.3720107867736474E-2</v>
      </c>
      <c r="M147">
        <v>-6.8641457168290662E-2</v>
      </c>
    </row>
    <row r="148" spans="2:36">
      <c r="D148">
        <v>-1.0827884411422422E-2</v>
      </c>
      <c r="E148">
        <v>0.3787933889735805</v>
      </c>
      <c r="F148">
        <v>0.73552796685393673</v>
      </c>
      <c r="G148">
        <v>0.48960374272717899</v>
      </c>
      <c r="H148">
        <v>3.8835337941544507E-2</v>
      </c>
      <c r="I148">
        <v>-0.39648502168394295</v>
      </c>
      <c r="J148">
        <v>-0.50764140616287001</v>
      </c>
      <c r="K148">
        <v>-6.3398837536472767E-3</v>
      </c>
      <c r="L148">
        <v>-4.4345846961971282E-2</v>
      </c>
      <c r="M148">
        <v>-6.9623880253004505E-2</v>
      </c>
    </row>
    <row r="149" spans="2:36">
      <c r="D149">
        <v>-1.5744334225589629E-2</v>
      </c>
      <c r="E149">
        <v>0.39577084509124649</v>
      </c>
      <c r="F149">
        <v>0.74555264152876932</v>
      </c>
      <c r="G149">
        <v>0.49509577488165341</v>
      </c>
      <c r="H149">
        <v>1.6159885213367781E-2</v>
      </c>
      <c r="I149">
        <v>-0.30579150191126936</v>
      </c>
      <c r="J149">
        <v>5.1466256257996952E-2</v>
      </c>
      <c r="K149">
        <v>-6.4158248590564871E-3</v>
      </c>
      <c r="L149">
        <v>-4.4877035351137316E-2</v>
      </c>
      <c r="M149">
        <v>-7.0457856810737116E-2</v>
      </c>
    </row>
    <row r="150" spans="2:36">
      <c r="D150">
        <v>-2.9136018227031258E-2</v>
      </c>
      <c r="E150">
        <v>0.41411121574410714</v>
      </c>
      <c r="F150">
        <v>0.74511828125511559</v>
      </c>
      <c r="G150">
        <v>0.50105512463423463</v>
      </c>
      <c r="H150">
        <v>4.5619721287330675E-2</v>
      </c>
      <c r="I150">
        <v>0.14120736673816353</v>
      </c>
      <c r="J150">
        <v>5.2124342004355229E-2</v>
      </c>
      <c r="K150">
        <v>-6.4978623569796074E-3</v>
      </c>
      <c r="L150">
        <v>-4.5450866429025578E-2</v>
      </c>
      <c r="M150">
        <v>-7.1358783255700636E-2</v>
      </c>
    </row>
    <row r="151" spans="2:36">
      <c r="D151">
        <v>-4.771285448531197E-2</v>
      </c>
      <c r="E151">
        <v>0.3711522863431399</v>
      </c>
      <c r="F151">
        <v>0.73101612671155713</v>
      </c>
      <c r="G151">
        <v>0.48632532083032998</v>
      </c>
      <c r="H151">
        <v>0.27079817702616793</v>
      </c>
      <c r="I151">
        <v>0.13703151958246793</v>
      </c>
      <c r="J151">
        <v>5.0582897741712769E-2</v>
      </c>
      <c r="K151">
        <v>-6.3057046766242424E-3</v>
      </c>
      <c r="L151">
        <v>-4.410677315906552E-2</v>
      </c>
      <c r="M151">
        <v>-6.9248529527616051E-2</v>
      </c>
    </row>
    <row r="152" spans="2:36">
      <c r="D152">
        <v>-4.9766103507886406E-2</v>
      </c>
      <c r="E152">
        <v>0.40069233775518087</v>
      </c>
      <c r="F152">
        <v>0.73719483940328945</v>
      </c>
      <c r="G152">
        <v>0.49349109942287672</v>
      </c>
      <c r="H152">
        <v>0.27647267772904704</v>
      </c>
      <c r="I152">
        <v>0.13990297707426697</v>
      </c>
      <c r="J152">
        <v>5.1642848336436592E-2</v>
      </c>
      <c r="K152">
        <v>-6.4378389694492444E-3</v>
      </c>
      <c r="L152">
        <v>-4.5031018359093816E-2</v>
      </c>
      <c r="M152">
        <v>-7.0699613260132591E-2</v>
      </c>
    </row>
    <row r="153" spans="2:36">
      <c r="D153">
        <v>-3.2188402464851211E-2</v>
      </c>
      <c r="E153">
        <v>0.42315549883360748</v>
      </c>
      <c r="F153">
        <v>0.89537218770448812</v>
      </c>
      <c r="G153">
        <v>0.51993546486526432</v>
      </c>
      <c r="H153">
        <v>0.29128782745161058</v>
      </c>
      <c r="I153">
        <v>0.14739986092193214</v>
      </c>
      <c r="J153">
        <v>5.4410197849916436E-2</v>
      </c>
      <c r="K153">
        <v>-6.7828189834078676E-3</v>
      </c>
      <c r="L153">
        <v>-4.7444064323090673E-2</v>
      </c>
      <c r="M153">
        <v>-7.4488144424874711E-2</v>
      </c>
    </row>
    <row r="154" spans="2:36">
      <c r="D154">
        <v>-3.065860535706456E-2</v>
      </c>
      <c r="E154">
        <v>1.4845358506167305</v>
      </c>
      <c r="F154">
        <v>0.87657354802837451</v>
      </c>
      <c r="G154">
        <v>0.50901924522715714</v>
      </c>
      <c r="H154">
        <v>0.28517214172281952</v>
      </c>
      <c r="I154">
        <v>0.14430515135664554</v>
      </c>
      <c r="J154">
        <v>5.3267837479410697E-2</v>
      </c>
      <c r="K154">
        <v>-6.6404114217163595E-3</v>
      </c>
      <c r="L154">
        <v>-4.6447960264658049E-2</v>
      </c>
      <c r="M154">
        <v>-7.2924240825439163E-2</v>
      </c>
    </row>
    <row r="157" spans="2:36">
      <c r="B157" t="s">
        <v>92</v>
      </c>
      <c r="D157" cm="1">
        <f t="array" ref="D157:M166">-(B2:K11)/((_xlfn.ANCHORARRAY(Q1))^2)</f>
        <v>-334.08602801198549</v>
      </c>
      <c r="E157">
        <v>-702.84698098444517</v>
      </c>
      <c r="F157">
        <v>-886.22742312308765</v>
      </c>
      <c r="G157">
        <v>-1233.6417862205953</v>
      </c>
      <c r="H157">
        <v>-1684.7646477544642</v>
      </c>
      <c r="I157">
        <v>-1515.4943720252288</v>
      </c>
      <c r="J157">
        <v>-1249.6317164979193</v>
      </c>
      <c r="K157">
        <v>-1105.8200670236765</v>
      </c>
      <c r="L157">
        <v>-714.19696588081945</v>
      </c>
      <c r="M157">
        <v>-902.42592235091774</v>
      </c>
      <c r="P157" cm="1">
        <f t="array" ref="P157:Y157">(((B1:K1)^B34/((B1:K1)^B34+B35^B34))*(B35^B34)/(((B1:K1)^B34+B35^B34))*(-B34/B35)-((A1:J1)^B34/((A1:J1)^B34+B35^B34))*(A1:J1)/(((A1:J1)^B34+B35^B34))*(-B34/B35))^2</f>
        <v>2.3005828292075754E-4</v>
      </c>
      <c r="Q157">
        <v>2.5202047805666933E-4</v>
      </c>
      <c r="R157">
        <v>1.4856800266331894E-4</v>
      </c>
      <c r="S157">
        <v>4.8668978277116537E-5</v>
      </c>
      <c r="T157">
        <v>1.2961533914540158E-6</v>
      </c>
      <c r="U157">
        <v>2.4337624627217036E-5</v>
      </c>
      <c r="V157">
        <v>1.2203652301720179E-4</v>
      </c>
      <c r="W157">
        <v>2.924961138488211E-4</v>
      </c>
      <c r="X157">
        <v>5.3114652399895591E-4</v>
      </c>
      <c r="Y157">
        <v>8.3241217955605333E-4</v>
      </c>
      <c r="AA157" cm="1">
        <f t="array" ref="AA157:AJ166">_xlfn.ANCHORARRAY(D157)*_xlfn.ANCHORARRAY(P157)</f>
        <v>-7.6859257952253485E-2</v>
      </c>
      <c r="AB157">
        <v>-0.17713183214838665</v>
      </c>
      <c r="AC157">
        <v>-0.13166503815885716</v>
      </c>
      <c r="AD157">
        <v>-6.0040085295313399E-2</v>
      </c>
      <c r="AE157">
        <v>-2.1837134119887789E-3</v>
      </c>
      <c r="AF157">
        <v>-3.6883533151010027E-2</v>
      </c>
      <c r="AG157">
        <v>-0.15250070973342372</v>
      </c>
      <c r="AH157">
        <v>-0.32344807222046829</v>
      </c>
      <c r="AI157">
        <v>-0.37934323587819818</v>
      </c>
      <c r="AJ157">
        <v>-0.75119032891200921</v>
      </c>
    </row>
    <row r="158" spans="2:36">
      <c r="D158">
        <v>-318.17716953522427</v>
      </c>
      <c r="E158">
        <v>-741.89403548358098</v>
      </c>
      <c r="F158">
        <v>-725.0951643734353</v>
      </c>
      <c r="G158">
        <v>-1370.7130958006614</v>
      </c>
      <c r="H158">
        <v>-1895.3602287237723</v>
      </c>
      <c r="I158">
        <v>-1515.4943720252288</v>
      </c>
      <c r="J158">
        <v>-1249.6317164979193</v>
      </c>
      <c r="K158">
        <v>-1658.730100535515</v>
      </c>
      <c r="L158">
        <v>-714.19696588081945</v>
      </c>
      <c r="M158">
        <v>0</v>
      </c>
      <c r="AA158">
        <v>-7.3199293287860456E-2</v>
      </c>
      <c r="AB158">
        <v>-0.18697248948996367</v>
      </c>
      <c r="AC158">
        <v>-0.10772594031179222</v>
      </c>
      <c r="AD158">
        <v>-6.6711205883681554E-2</v>
      </c>
      <c r="AE158">
        <v>-2.4566775884873764E-3</v>
      </c>
      <c r="AF158">
        <v>-3.6883533151010027E-2</v>
      </c>
      <c r="AG158">
        <v>-0.15250070973342372</v>
      </c>
      <c r="AH158">
        <v>-0.48517210833070246</v>
      </c>
      <c r="AI158">
        <v>-0.37934323587819818</v>
      </c>
      <c r="AJ158">
        <v>0</v>
      </c>
    </row>
    <row r="159" spans="2:36">
      <c r="D159">
        <v>-286.35945258170187</v>
      </c>
      <c r="E159">
        <v>-741.89403548358098</v>
      </c>
      <c r="F159">
        <v>-805.66129374826141</v>
      </c>
      <c r="G159">
        <v>-1507.7844053807278</v>
      </c>
      <c r="H159">
        <v>-1895.3602287237723</v>
      </c>
      <c r="I159">
        <v>-1818.5932464302743</v>
      </c>
      <c r="J159">
        <v>-1249.6317164979193</v>
      </c>
      <c r="K159">
        <v>-1658.730100535515</v>
      </c>
      <c r="L159">
        <v>0</v>
      </c>
      <c r="M159">
        <v>0</v>
      </c>
      <c r="AA159">
        <v>-6.5879363959074427E-2</v>
      </c>
      <c r="AB159">
        <v>-0.18697248948996367</v>
      </c>
      <c r="AC159">
        <v>-0.11969548923532468</v>
      </c>
      <c r="AD159">
        <v>-7.3382326472049716E-2</v>
      </c>
      <c r="AE159">
        <v>-2.4566775884873764E-3</v>
      </c>
      <c r="AF159">
        <v>-4.4260239781212025E-2</v>
      </c>
      <c r="AG159">
        <v>-0.15250070973342372</v>
      </c>
      <c r="AH159">
        <v>-0.48517210833070246</v>
      </c>
      <c r="AI159">
        <v>0</v>
      </c>
      <c r="AJ159">
        <v>0</v>
      </c>
    </row>
    <row r="160" spans="2:36">
      <c r="D160">
        <v>-302.26831105846304</v>
      </c>
      <c r="E160">
        <v>-741.89403548358098</v>
      </c>
      <c r="F160">
        <v>-725.0951643734353</v>
      </c>
      <c r="G160">
        <v>-1507.7844053807278</v>
      </c>
      <c r="H160">
        <v>-1895.3602287237723</v>
      </c>
      <c r="I160">
        <v>-1818.5932464302743</v>
      </c>
      <c r="J160">
        <v>-1249.6317164979193</v>
      </c>
      <c r="K160">
        <v>0</v>
      </c>
      <c r="L160">
        <v>0</v>
      </c>
      <c r="M160">
        <v>0</v>
      </c>
      <c r="AA160">
        <v>-6.9539328623467442E-2</v>
      </c>
      <c r="AB160">
        <v>-0.18697248948996367</v>
      </c>
      <c r="AC160">
        <v>-0.10772594031179222</v>
      </c>
      <c r="AD160">
        <v>-7.3382326472049716E-2</v>
      </c>
      <c r="AE160">
        <v>-2.4566775884873764E-3</v>
      </c>
      <c r="AF160">
        <v>-4.4260239781212025E-2</v>
      </c>
      <c r="AG160">
        <v>-0.15250070973342372</v>
      </c>
      <c r="AH160">
        <v>0</v>
      </c>
      <c r="AI160">
        <v>0</v>
      </c>
      <c r="AJ160">
        <v>0</v>
      </c>
    </row>
    <row r="161" spans="4:36">
      <c r="D161">
        <v>-310.22274029684365</v>
      </c>
      <c r="E161">
        <v>-741.89403548358098</v>
      </c>
      <c r="F161">
        <v>-725.0951643734353</v>
      </c>
      <c r="G161">
        <v>-1370.7130958006614</v>
      </c>
      <c r="H161">
        <v>-2105.9558096930805</v>
      </c>
      <c r="I161">
        <v>-1515.4943720252288</v>
      </c>
      <c r="J161">
        <v>0</v>
      </c>
      <c r="K161">
        <v>0</v>
      </c>
      <c r="L161">
        <v>0</v>
      </c>
      <c r="M161">
        <v>0</v>
      </c>
      <c r="AA161">
        <v>-7.1369310955663942E-2</v>
      </c>
      <c r="AB161">
        <v>-0.18697248948996367</v>
      </c>
      <c r="AC161">
        <v>-0.10772594031179222</v>
      </c>
      <c r="AD161">
        <v>-6.6711205883681554E-2</v>
      </c>
      <c r="AE161">
        <v>-2.729641764985974E-3</v>
      </c>
      <c r="AF161">
        <v>-3.6883533151010027E-2</v>
      </c>
      <c r="AG161">
        <v>0</v>
      </c>
      <c r="AH161">
        <v>0</v>
      </c>
      <c r="AI161">
        <v>0</v>
      </c>
      <c r="AJ161">
        <v>0</v>
      </c>
    </row>
    <row r="162" spans="4:36">
      <c r="D162">
        <v>-326.13159877360488</v>
      </c>
      <c r="E162">
        <v>-741.89403548358098</v>
      </c>
      <c r="F162">
        <v>-805.66129374826141</v>
      </c>
      <c r="G162">
        <v>-1233.6417862205953</v>
      </c>
      <c r="H162">
        <v>-1895.3602287237723</v>
      </c>
      <c r="I162">
        <v>0</v>
      </c>
      <c r="J162">
        <v>0</v>
      </c>
      <c r="K162">
        <v>0</v>
      </c>
      <c r="L162">
        <v>0</v>
      </c>
      <c r="M162">
        <v>0</v>
      </c>
      <c r="AA162">
        <v>-7.502927562005697E-2</v>
      </c>
      <c r="AB162">
        <v>-0.18697248948996367</v>
      </c>
      <c r="AC162">
        <v>-0.11969548923532468</v>
      </c>
      <c r="AD162">
        <v>-6.0040085295313399E-2</v>
      </c>
      <c r="AE162">
        <v>-2.4566775884873764E-3</v>
      </c>
      <c r="AF162">
        <v>0</v>
      </c>
      <c r="AG162">
        <v>0</v>
      </c>
      <c r="AH162">
        <v>0</v>
      </c>
      <c r="AI162">
        <v>0</v>
      </c>
      <c r="AJ162">
        <v>0</v>
      </c>
    </row>
    <row r="163" spans="4:36">
      <c r="D163">
        <v>-334.08602801198549</v>
      </c>
      <c r="E163">
        <v>-741.89403548358098</v>
      </c>
      <c r="F163">
        <v>-725.0951643734353</v>
      </c>
      <c r="G163">
        <v>-1233.6417862205953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AA163">
        <v>-7.6859257952253485E-2</v>
      </c>
      <c r="AB163">
        <v>-0.18697248948996367</v>
      </c>
      <c r="AC163">
        <v>-0.10772594031179222</v>
      </c>
      <c r="AD163">
        <v>-6.0040085295313399E-2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</row>
    <row r="164" spans="4:36">
      <c r="D164">
        <v>-342.0404572503661</v>
      </c>
      <c r="E164">
        <v>-741.89403548358098</v>
      </c>
      <c r="F164">
        <v>-805.66129374826141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AA164">
        <v>-7.8689240284449999E-2</v>
      </c>
      <c r="AB164">
        <v>-0.18697248948996367</v>
      </c>
      <c r="AC164">
        <v>-0.11969548923532468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</row>
    <row r="165" spans="4:36">
      <c r="D165">
        <v>-342.0404572503661</v>
      </c>
      <c r="E165">
        <v>-780.94108998271679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AA165">
        <v>-7.8689240284449999E-2</v>
      </c>
      <c r="AB165">
        <v>-0.19681314683154069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</row>
    <row r="166" spans="4:36">
      <c r="D166">
        <v>-334.08602801198549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AA166">
        <v>-7.6859257952253485E-2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</row>
    <row r="168" spans="4:36">
      <c r="D168" cm="1">
        <f t="array" ref="D168:M177">((B2:K11)/(_xlfn.ANCHORARRAY(Q1)))-B33*_xlfn.ANCHORARRAY(M2)</f>
        <v>18.453973967169389</v>
      </c>
      <c r="E168">
        <v>12.476619861125641</v>
      </c>
      <c r="F168">
        <v>-1.2666355875574169</v>
      </c>
      <c r="G168">
        <v>5.3685749598916033</v>
      </c>
      <c r="H168">
        <v>16.09415712096218</v>
      </c>
      <c r="I168">
        <v>-12.952461183837315</v>
      </c>
      <c r="J168">
        <v>-38.772914580182281</v>
      </c>
      <c r="K168">
        <v>-52.973058273220538</v>
      </c>
      <c r="L168">
        <v>-73.276672609551554</v>
      </c>
      <c r="M168">
        <v>-69.960731588583513</v>
      </c>
      <c r="P168" cm="1">
        <f t="array" ref="P168:Y168">((B1:K1)^B34/((B1:K1)^B34+B35^B34))*(B35^B34)/(((B1:K1)^B34+B35^B34))*(B34/B35^2)</f>
        <v>2.0637243601354881E-3</v>
      </c>
      <c r="Q168">
        <v>2.6646157478146548E-3</v>
      </c>
      <c r="R168">
        <v>2.9615507525686106E-3</v>
      </c>
      <c r="S168">
        <v>3.1217172489648266E-3</v>
      </c>
      <c r="T168">
        <v>3.2082482502464589E-3</v>
      </c>
      <c r="U168">
        <v>3.2512450352724532E-3</v>
      </c>
      <c r="V168">
        <v>3.2669888736212458E-3</v>
      </c>
      <c r="W168">
        <v>3.265029920152407E-3</v>
      </c>
      <c r="X168">
        <v>3.2512981921169418E-3</v>
      </c>
      <c r="Y168">
        <v>3.2296341613408238E-3</v>
      </c>
      <c r="AA168" cm="1">
        <f t="array" ref="AA168:AJ168">(1+B34*(1-2*(((B1:K1)^B34)/((B1:K1)^B34+B35^B34))))</f>
        <v>1.4286350957721361</v>
      </c>
      <c r="AB168">
        <v>1.3033988654918258</v>
      </c>
      <c r="AC168">
        <v>1.2162126400582605</v>
      </c>
      <c r="AD168">
        <v>1.1493704232457747</v>
      </c>
      <c r="AE168">
        <v>1.0954442628864063</v>
      </c>
      <c r="AF168">
        <v>1.0504940281506518</v>
      </c>
      <c r="AG168">
        <v>1.0121503532789702</v>
      </c>
      <c r="AH168">
        <v>0.97886931318931714</v>
      </c>
      <c r="AI168">
        <v>0.94958634299992217</v>
      </c>
      <c r="AJ168">
        <v>0.92353570615011638</v>
      </c>
    </row>
    <row r="169" spans="4:36">
      <c r="D169">
        <v>11.418501330013683</v>
      </c>
      <c r="E169">
        <v>17.330631003911336</v>
      </c>
      <c r="F169">
        <v>-20.61311610635876</v>
      </c>
      <c r="G169">
        <v>15.681567573635718</v>
      </c>
      <c r="H169">
        <v>29.211315718430185</v>
      </c>
      <c r="I169">
        <v>-14.347214278813823</v>
      </c>
      <c r="J169">
        <v>-40.167667675158789</v>
      </c>
      <c r="K169">
        <v>-30.853772295510311</v>
      </c>
      <c r="L169">
        <v>-74.671425704528062</v>
      </c>
      <c r="M169">
        <v>-101.39588951357051</v>
      </c>
    </row>
    <row r="170" spans="4:36">
      <c r="D170">
        <v>-0.7016271511422616</v>
      </c>
      <c r="E170">
        <v>16.491941607113816</v>
      </c>
      <c r="F170">
        <v>-12.475941791243855</v>
      </c>
      <c r="G170">
        <v>26.550623885558807</v>
      </c>
      <c r="H170">
        <v>28.372626321632666</v>
      </c>
      <c r="I170">
        <v>2.2238313713399975</v>
      </c>
      <c r="J170">
        <v>-41.006357071956309</v>
      </c>
      <c r="K170">
        <v>-31.69246169230783</v>
      </c>
      <c r="L170">
        <v>-102.23457891036803</v>
      </c>
      <c r="M170">
        <v>-102.23457891036803</v>
      </c>
    </row>
    <row r="171" spans="4:36">
      <c r="D171">
        <v>3.4758715545197703</v>
      </c>
      <c r="E171">
        <v>15.028720770596635</v>
      </c>
      <c r="F171">
        <v>-22.91502633967346</v>
      </c>
      <c r="G171">
        <v>25.087403049041626</v>
      </c>
      <c r="H171">
        <v>26.909405485115485</v>
      </c>
      <c r="I171">
        <v>0.76061053482281693</v>
      </c>
      <c r="J171">
        <v>-42.469577908473489</v>
      </c>
      <c r="K171">
        <v>-103.69779974688521</v>
      </c>
      <c r="L171">
        <v>-103.69779974688521</v>
      </c>
      <c r="M171">
        <v>-103.69779974688521</v>
      </c>
      <c r="P171" cm="1">
        <f t="array" ref="P171:Y171">_xlfn.ANCHORARRAY(P168)*_xlfn.ANCHORARRAY(AA168)</f>
        <v>2.9483090488894533E-3</v>
      </c>
      <c r="Q171">
        <v>3.4730571426732741E-3</v>
      </c>
      <c r="R171">
        <v>3.6018754594479979E-3</v>
      </c>
      <c r="S171">
        <v>3.5880094756963379E-3</v>
      </c>
      <c r="T171">
        <v>3.5144571396478349E-3</v>
      </c>
      <c r="U171">
        <v>3.4154134936081673E-3</v>
      </c>
      <c r="V171">
        <v>3.3066839425942088E-3</v>
      </c>
      <c r="W171">
        <v>3.1960375954821576E-3</v>
      </c>
      <c r="X171">
        <v>3.0873883602545852E-3</v>
      </c>
      <c r="Y171">
        <v>2.9826824658004368E-3</v>
      </c>
    </row>
    <row r="172" spans="4:36">
      <c r="D172">
        <v>5.0541067303829834</v>
      </c>
      <c r="E172">
        <v>13.786596175370249</v>
      </c>
      <c r="F172">
        <v>-24.157150934899846</v>
      </c>
      <c r="G172">
        <v>12.137532745094632</v>
      </c>
      <c r="H172">
        <v>40.179192582333627</v>
      </c>
      <c r="I172">
        <v>-17.891249107354909</v>
      </c>
      <c r="J172">
        <v>-104.9399243421116</v>
      </c>
      <c r="K172">
        <v>-104.9399243421116</v>
      </c>
      <c r="L172">
        <v>-104.9399243421116</v>
      </c>
      <c r="M172">
        <v>-104.9399243421116</v>
      </c>
      <c r="AA172" cm="1">
        <f t="array" ref="AA172:AJ181">_xlfn.ANCHORARRAY(D168)*_xlfn.ANCHORARRAY(P171)</f>
        <v>5.4408018435375911E-2</v>
      </c>
      <c r="AB172">
        <v>4.3332013725101641E-2</v>
      </c>
      <c r="AC172">
        <v>-4.5622636388865561E-3</v>
      </c>
      <c r="AD172">
        <v>1.926249782707716E-2</v>
      </c>
      <c r="AE172">
        <v>5.6562225400379577E-2</v>
      </c>
      <c r="AF172">
        <v>-4.4238010702713979E-2</v>
      </c>
      <c r="AG172">
        <v>-0.12820977404986564</v>
      </c>
      <c r="AH172">
        <v>-0.16930388578887998</v>
      </c>
      <c r="AI172">
        <v>-0.22623354609291546</v>
      </c>
      <c r="AJ172">
        <v>-0.20867064740383878</v>
      </c>
    </row>
    <row r="173" spans="4:36">
      <c r="D173">
        <v>9.3529865225079192</v>
      </c>
      <c r="E173">
        <v>12.444756425315973</v>
      </c>
      <c r="F173">
        <v>-16.523126973041698</v>
      </c>
      <c r="G173">
        <v>-0.91205271368026786</v>
      </c>
      <c r="H173">
        <v>24.325441139834822</v>
      </c>
      <c r="I173">
        <v>-106.28176409216587</v>
      </c>
      <c r="J173">
        <v>-106.28176409216587</v>
      </c>
      <c r="K173">
        <v>-106.28176409216587</v>
      </c>
      <c r="L173">
        <v>-106.28176409216587</v>
      </c>
      <c r="M173">
        <v>-106.28176409216587</v>
      </c>
      <c r="AA173">
        <v>3.3665270796035603E-2</v>
      </c>
      <c r="AB173">
        <v>6.0190271795169156E-2</v>
      </c>
      <c r="AC173">
        <v>-7.4245877046245884E-2</v>
      </c>
      <c r="AD173">
        <v>5.6265613047977385E-2</v>
      </c>
      <c r="AE173">
        <v>0.10266191708514399</v>
      </c>
      <c r="AF173">
        <v>-4.9001669243548499E-2</v>
      </c>
      <c r="AG173">
        <v>-0.13282178171290801</v>
      </c>
      <c r="AH173">
        <v>-9.8609816218896779E-2</v>
      </c>
      <c r="AI173">
        <v>-0.23053969056377499</v>
      </c>
      <c r="AJ173">
        <v>-0.30243174175636511</v>
      </c>
    </row>
    <row r="174" spans="4:36">
      <c r="D174">
        <v>15.316357968827873</v>
      </c>
      <c r="E174">
        <v>15.587768100546327</v>
      </c>
      <c r="F174">
        <v>-22.355979009723768</v>
      </c>
      <c r="G174">
        <v>2.2309589615500869</v>
      </c>
      <c r="H174">
        <v>-103.13875241693552</v>
      </c>
      <c r="I174">
        <v>-103.13875241693552</v>
      </c>
      <c r="J174">
        <v>-103.13875241693552</v>
      </c>
      <c r="K174">
        <v>-103.13875241693552</v>
      </c>
      <c r="L174">
        <v>-103.13875241693552</v>
      </c>
      <c r="M174">
        <v>-103.13875241693552</v>
      </c>
      <c r="AA174">
        <v>-2.0686136786592581E-3</v>
      </c>
      <c r="AB174">
        <v>5.7277455595137194E-2</v>
      </c>
      <c r="AC174">
        <v>-4.4936788571382939E-2</v>
      </c>
      <c r="AD174">
        <v>9.5263890087034522E-2</v>
      </c>
      <c r="AE174">
        <v>9.9714379146622012E-2</v>
      </c>
      <c r="AF174">
        <v>7.5953036731837825E-3</v>
      </c>
      <c r="AG174">
        <v>-0.1355950624741224</v>
      </c>
      <c r="AH174">
        <v>-0.10129029906199391</v>
      </c>
      <c r="AI174">
        <v>-0.31563784894339914</v>
      </c>
      <c r="AJ174">
        <v>-0.30493328591444585</v>
      </c>
    </row>
    <row r="175" spans="4:36">
      <c r="D175">
        <v>15.975473785060942</v>
      </c>
      <c r="E175">
        <v>13.426524145689783</v>
      </c>
      <c r="F175">
        <v>-15.541359252667888</v>
      </c>
      <c r="G175">
        <v>-105.29999637179206</v>
      </c>
      <c r="H175">
        <v>-105.29999637179206</v>
      </c>
      <c r="I175">
        <v>-105.29999637179206</v>
      </c>
      <c r="J175">
        <v>-105.29999637179206</v>
      </c>
      <c r="K175">
        <v>-105.29999637179206</v>
      </c>
      <c r="L175">
        <v>-105.29999637179206</v>
      </c>
      <c r="M175">
        <v>-105.29999637179206</v>
      </c>
      <c r="AA175">
        <v>1.0247943556968089E-2</v>
      </c>
      <c r="AB175">
        <v>5.2195606017562839E-2</v>
      </c>
      <c r="AC175">
        <v>-8.2537071025474321E-2</v>
      </c>
      <c r="AD175">
        <v>9.0013839860574554E-2</v>
      </c>
      <c r="AE175">
        <v>9.4571952230842721E-2</v>
      </c>
      <c r="AF175">
        <v>2.5977994840143737E-3</v>
      </c>
      <c r="AG175">
        <v>-0.14043347131870304</v>
      </c>
      <c r="AH175">
        <v>-0.33142206655982531</v>
      </c>
      <c r="AI175">
        <v>-0.32015537992254428</v>
      </c>
      <c r="AJ175">
        <v>-0.3092976090471195</v>
      </c>
    </row>
    <row r="176" spans="4:36">
      <c r="D176">
        <v>10.332835876506437</v>
      </c>
      <c r="E176">
        <v>14.03265047489748</v>
      </c>
      <c r="F176">
        <v>-110.94263428034657</v>
      </c>
      <c r="G176">
        <v>-110.94263428034657</v>
      </c>
      <c r="H176">
        <v>-110.94263428034657</v>
      </c>
      <c r="I176">
        <v>-110.94263428034657</v>
      </c>
      <c r="J176">
        <v>-110.94263428034657</v>
      </c>
      <c r="K176">
        <v>-110.94263428034657</v>
      </c>
      <c r="L176">
        <v>-110.94263428034657</v>
      </c>
      <c r="M176">
        <v>-110.94263428034657</v>
      </c>
      <c r="AA176">
        <v>1.4901068607241238E-2</v>
      </c>
      <c r="AB176">
        <v>4.7881636320021688E-2</v>
      </c>
      <c r="AC176">
        <v>-8.7011049122597009E-2</v>
      </c>
      <c r="AD176">
        <v>4.354958250097412E-2</v>
      </c>
      <c r="AE176">
        <v>0.14120805023626776</v>
      </c>
      <c r="AF176">
        <v>-6.1106013618765033E-2</v>
      </c>
      <c r="AG176">
        <v>-0.34700316275911153</v>
      </c>
      <c r="AH176">
        <v>-0.3353919434644419</v>
      </c>
      <c r="AI176">
        <v>-0.32399030093983217</v>
      </c>
      <c r="AJ176">
        <v>-0.31300247229764072</v>
      </c>
    </row>
    <row r="177" spans="4:36">
      <c r="D177">
        <v>9.8417539579062634</v>
      </c>
      <c r="E177">
        <v>-108.61335642785713</v>
      </c>
      <c r="F177">
        <v>-108.61335642785713</v>
      </c>
      <c r="G177">
        <v>-108.61335642785713</v>
      </c>
      <c r="H177">
        <v>-108.61335642785713</v>
      </c>
      <c r="I177">
        <v>-108.61335642785713</v>
      </c>
      <c r="J177">
        <v>-108.61335642785713</v>
      </c>
      <c r="K177">
        <v>-108.61335642785713</v>
      </c>
      <c r="L177">
        <v>-108.61335642785713</v>
      </c>
      <c r="M177">
        <v>-108.61335642785713</v>
      </c>
      <c r="AA177">
        <v>2.75754947984512E-2</v>
      </c>
      <c r="AB177">
        <v>4.3221350191772763E-2</v>
      </c>
      <c r="AC177">
        <v>-5.9514245557542172E-2</v>
      </c>
      <c r="AD177">
        <v>-3.2724537790193601E-3</v>
      </c>
      <c r="AE177">
        <v>8.5490720288975655E-2</v>
      </c>
      <c r="AF177">
        <v>-0.36299617120486333</v>
      </c>
      <c r="AG177">
        <v>-0.35144020271415066</v>
      </c>
      <c r="AH177">
        <v>-0.33968051375272773</v>
      </c>
      <c r="AI177">
        <v>-0.32813308136547664</v>
      </c>
      <c r="AJ177">
        <v>-0.3170047541920416</v>
      </c>
    </row>
    <row r="178" spans="4:36">
      <c r="AA178">
        <v>4.5157356795525308E-2</v>
      </c>
      <c r="AB178">
        <v>5.4137209339937035E-2</v>
      </c>
      <c r="AC178">
        <v>-8.0523452167058598E-2</v>
      </c>
      <c r="AD178">
        <v>8.0047018939313729E-3</v>
      </c>
      <c r="AE178">
        <v>-0.36247672480606941</v>
      </c>
      <c r="AF178">
        <v>-0.35226148671871355</v>
      </c>
      <c r="AG178">
        <v>-0.34104725647628031</v>
      </c>
      <c r="AH178">
        <v>-0.32963533027565217</v>
      </c>
      <c r="AI178">
        <v>-0.31842938370322621</v>
      </c>
      <c r="AJ178">
        <v>-0.30763014837852598</v>
      </c>
    </row>
    <row r="179" spans="4:36">
      <c r="AA179">
        <v>4.7100633920791418E-2</v>
      </c>
      <c r="AB179">
        <v>4.6631085585463077E-2</v>
      </c>
      <c r="AC179">
        <v>-5.5978040498649545E-2</v>
      </c>
      <c r="AD179">
        <v>-0.37781738477277993</v>
      </c>
      <c r="AE179">
        <v>-0.37007232405373575</v>
      </c>
      <c r="AF179">
        <v>-0.35964302848510965</v>
      </c>
      <c r="AG179">
        <v>-0.34819380715783327</v>
      </c>
      <c r="AH179">
        <v>-0.33654274720838223</v>
      </c>
      <c r="AI179">
        <v>-0.32510198313312089</v>
      </c>
      <c r="AJ179">
        <v>-0.31407645282699381</v>
      </c>
    </row>
    <row r="180" spans="4:36">
      <c r="P180" t="s">
        <v>93</v>
      </c>
      <c r="AA180">
        <v>3.0464393515393512E-2</v>
      </c>
      <c r="AB180">
        <v>4.8736196962480202E-2</v>
      </c>
      <c r="AC180">
        <v>-0.39960155182089452</v>
      </c>
      <c r="AD180">
        <v>-0.39806322305659686</v>
      </c>
      <c r="AE180">
        <v>-0.38990313313790265</v>
      </c>
      <c r="AF180">
        <v>-0.37891497013753167</v>
      </c>
      <c r="AG180">
        <v>-0.36685222732392381</v>
      </c>
      <c r="AH180">
        <v>-0.35457683010181523</v>
      </c>
      <c r="AI180">
        <v>-0.34252299773312334</v>
      </c>
      <c r="AJ180">
        <v>-0.3309066499777002</v>
      </c>
    </row>
    <row r="181" spans="4:36">
      <c r="D181" cm="1">
        <f t="array" ref="D181:M190">_xlfn.ANCHORARRAY(AA157)+_xlfn.ANCHORARRAY(AA172)</f>
        <v>-2.2451239516877573E-2</v>
      </c>
      <c r="E181">
        <v>-0.13379981842328501</v>
      </c>
      <c r="F181">
        <v>-0.13622730179774373</v>
      </c>
      <c r="G181">
        <v>-4.0777587468236239E-2</v>
      </c>
      <c r="H181">
        <v>5.4378511988390797E-2</v>
      </c>
      <c r="I181">
        <v>-8.1121543853723999E-2</v>
      </c>
      <c r="J181">
        <v>-0.28071048378328933</v>
      </c>
      <c r="K181">
        <v>-0.49275195800934823</v>
      </c>
      <c r="L181">
        <v>-0.60557678197111364</v>
      </c>
      <c r="M181">
        <v>-0.95986097631584799</v>
      </c>
      <c r="P181">
        <f>SUM(_xlfn.ANCHORARRAY(D181))</f>
        <v>-23.590250197400302</v>
      </c>
      <c r="AA181">
        <v>2.9016532251038629E-2</v>
      </c>
      <c r="AB181">
        <v>-0.37722039333148738</v>
      </c>
      <c r="AC181">
        <v>-0.39121178308577703</v>
      </c>
      <c r="AD181">
        <v>-0.38970575205033514</v>
      </c>
      <c r="AE181">
        <v>-0.38171698595899756</v>
      </c>
      <c r="AF181">
        <v>-0.37095952312977659</v>
      </c>
      <c r="AG181">
        <v>-0.35915004165125664</v>
      </c>
      <c r="AH181">
        <v>-0.34713237051493506</v>
      </c>
      <c r="AI181">
        <v>-0.33533161240354864</v>
      </c>
      <c r="AJ181">
        <v>-0.32395915376910261</v>
      </c>
    </row>
    <row r="182" spans="4:36">
      <c r="D182">
        <v>-3.9534022491824854E-2</v>
      </c>
      <c r="E182">
        <v>-0.12678221769479453</v>
      </c>
      <c r="F182">
        <v>-0.18197181735803811</v>
      </c>
      <c r="G182">
        <v>-1.0445592835704169E-2</v>
      </c>
      <c r="H182">
        <v>0.10020523949665662</v>
      </c>
      <c r="I182">
        <v>-8.5885202394558519E-2</v>
      </c>
      <c r="J182">
        <v>-0.28532249144633171</v>
      </c>
      <c r="K182">
        <v>-0.58378192454959921</v>
      </c>
      <c r="L182">
        <v>-0.60988292644197317</v>
      </c>
      <c r="M182">
        <v>-0.30243174175636511</v>
      </c>
    </row>
    <row r="183" spans="4:36">
      <c r="D183">
        <v>-6.7947977637733692E-2</v>
      </c>
      <c r="E183">
        <v>-0.12969503389482648</v>
      </c>
      <c r="F183">
        <v>-0.16463227780670761</v>
      </c>
      <c r="G183">
        <v>2.1881563614984806E-2</v>
      </c>
      <c r="H183">
        <v>9.7257701558134638E-2</v>
      </c>
      <c r="I183">
        <v>-3.6664936108028241E-2</v>
      </c>
      <c r="J183">
        <v>-0.28809577220754612</v>
      </c>
      <c r="K183">
        <v>-0.58646240739269639</v>
      </c>
      <c r="L183">
        <v>-0.31563784894339914</v>
      </c>
      <c r="M183">
        <v>-0.30493328591444585</v>
      </c>
    </row>
    <row r="184" spans="4:36">
      <c r="D184">
        <v>-5.929138506649935E-2</v>
      </c>
      <c r="E184">
        <v>-0.13477688347240083</v>
      </c>
      <c r="F184">
        <v>-0.19026301133726653</v>
      </c>
      <c r="G184">
        <v>1.6631513388524838E-2</v>
      </c>
      <c r="H184">
        <v>9.2115274642355346E-2</v>
      </c>
      <c r="I184">
        <v>-4.166244029719765E-2</v>
      </c>
      <c r="J184">
        <v>-0.29293418105212676</v>
      </c>
      <c r="K184">
        <v>-0.33142206655982531</v>
      </c>
      <c r="L184">
        <v>-0.32015537992254428</v>
      </c>
      <c r="M184">
        <v>-0.3092976090471195</v>
      </c>
    </row>
    <row r="185" spans="4:36">
      <c r="D185">
        <v>-5.6468242348422702E-2</v>
      </c>
      <c r="E185">
        <v>-0.13909085316994199</v>
      </c>
      <c r="F185">
        <v>-0.19473698943438922</v>
      </c>
      <c r="G185">
        <v>-2.3161623382707434E-2</v>
      </c>
      <c r="H185">
        <v>0.13847840847128179</v>
      </c>
      <c r="I185">
        <v>-9.798954676977506E-2</v>
      </c>
      <c r="J185">
        <v>-0.34700316275911153</v>
      </c>
      <c r="K185">
        <v>-0.3353919434644419</v>
      </c>
      <c r="L185">
        <v>-0.32399030093983217</v>
      </c>
      <c r="M185">
        <v>-0.31300247229764072</v>
      </c>
    </row>
    <row r="186" spans="4:36">
      <c r="D186">
        <v>-4.745378082160577E-2</v>
      </c>
      <c r="E186">
        <v>-0.14375113929819092</v>
      </c>
      <c r="F186">
        <v>-0.17920973479286684</v>
      </c>
      <c r="G186">
        <v>-6.3312539074332763E-2</v>
      </c>
      <c r="H186">
        <v>8.3034042700488281E-2</v>
      </c>
      <c r="I186">
        <v>-0.36299617120486333</v>
      </c>
      <c r="J186">
        <v>-0.35144020271415066</v>
      </c>
      <c r="K186">
        <v>-0.33968051375272773</v>
      </c>
      <c r="L186">
        <v>-0.32813308136547664</v>
      </c>
      <c r="M186">
        <v>-0.3170047541920416</v>
      </c>
    </row>
    <row r="187" spans="4:36">
      <c r="D187">
        <v>-3.1701901156728177E-2</v>
      </c>
      <c r="E187">
        <v>-0.13283528015002663</v>
      </c>
      <c r="F187">
        <v>-0.18824939247885081</v>
      </c>
      <c r="G187">
        <v>-5.2035383401382029E-2</v>
      </c>
      <c r="H187">
        <v>-0.36247672480606941</v>
      </c>
      <c r="I187">
        <v>-0.35226148671871355</v>
      </c>
      <c r="J187">
        <v>-0.34104725647628031</v>
      </c>
      <c r="K187">
        <v>-0.32963533027565217</v>
      </c>
      <c r="L187">
        <v>-0.31842938370322621</v>
      </c>
      <c r="M187">
        <v>-0.30763014837852598</v>
      </c>
    </row>
    <row r="188" spans="4:36">
      <c r="D188">
        <v>-3.1588606363658581E-2</v>
      </c>
      <c r="E188">
        <v>-0.14034140390450059</v>
      </c>
      <c r="F188">
        <v>-0.17567352973397421</v>
      </c>
      <c r="G188">
        <v>-0.37781738477277993</v>
      </c>
      <c r="H188">
        <v>-0.37007232405373575</v>
      </c>
      <c r="I188">
        <v>-0.35964302848510965</v>
      </c>
      <c r="J188">
        <v>-0.34819380715783327</v>
      </c>
      <c r="K188">
        <v>-0.33654274720838223</v>
      </c>
      <c r="L188">
        <v>-0.32510198313312089</v>
      </c>
      <c r="M188">
        <v>-0.31407645282699381</v>
      </c>
    </row>
    <row r="189" spans="4:36">
      <c r="D189">
        <v>-4.8224846769056487E-2</v>
      </c>
      <c r="E189">
        <v>-0.1480769498690605</v>
      </c>
      <c r="F189">
        <v>-0.39960155182089452</v>
      </c>
      <c r="G189">
        <v>-0.39806322305659686</v>
      </c>
      <c r="H189">
        <v>-0.38990313313790265</v>
      </c>
      <c r="I189">
        <v>-0.37891497013753167</v>
      </c>
      <c r="J189">
        <v>-0.36685222732392381</v>
      </c>
      <c r="K189">
        <v>-0.35457683010181523</v>
      </c>
      <c r="L189">
        <v>-0.34252299773312334</v>
      </c>
      <c r="M189">
        <v>-0.3309066499777002</v>
      </c>
    </row>
    <row r="190" spans="4:36">
      <c r="D190">
        <v>-4.7842725701214853E-2</v>
      </c>
      <c r="E190">
        <v>-0.37722039333148738</v>
      </c>
      <c r="F190">
        <v>-0.39121178308577703</v>
      </c>
      <c r="G190">
        <v>-0.38970575205033514</v>
      </c>
      <c r="H190">
        <v>-0.38171698595899756</v>
      </c>
      <c r="I190">
        <v>-0.37095952312977659</v>
      </c>
      <c r="J190">
        <v>-0.35915004165125664</v>
      </c>
      <c r="K190">
        <v>-0.34713237051493506</v>
      </c>
      <c r="L190">
        <v>-0.33533161240354864</v>
      </c>
      <c r="M190">
        <v>-0.32395915376910261</v>
      </c>
    </row>
    <row r="193" spans="2:29">
      <c r="AA193" t="s">
        <v>242</v>
      </c>
    </row>
    <row r="194" spans="2:29">
      <c r="B194" t="s">
        <v>101</v>
      </c>
      <c r="D194" cm="1">
        <f t="array" ref="D194:N203">(B2:K11-D206:N215)^2/(D206:N215)</f>
        <v>1.2074590818542543</v>
      </c>
      <c r="E194">
        <v>0.24911160040772637</v>
      </c>
      <c r="F194">
        <v>1.7874615178734108E-3</v>
      </c>
      <c r="G194">
        <v>2.4617027566247535E-2</v>
      </c>
      <c r="H194">
        <v>0.17848648181391075</v>
      </c>
      <c r="I194">
        <v>9.6362762321304724E-2</v>
      </c>
      <c r="J194">
        <v>0.73658364004876997</v>
      </c>
      <c r="K194">
        <v>1.1933786126194199</v>
      </c>
      <c r="L194" t="e">
        <v>#DIV/0!</v>
      </c>
      <c r="M194">
        <v>2.0091749001066175</v>
      </c>
      <c r="N194" t="e">
        <v>#N/A</v>
      </c>
      <c r="P194" cm="1">
        <f t="array" ref="P194:Z203">IFERROR(_xlfn.ANCHORARRAY(D194),0)</f>
        <v>1.2074590818542543</v>
      </c>
      <c r="Q194">
        <v>0.24911160040772637</v>
      </c>
      <c r="R194">
        <v>1.7874615178734108E-3</v>
      </c>
      <c r="S194">
        <v>2.4617027566247535E-2</v>
      </c>
      <c r="T194">
        <v>0.17848648181391075</v>
      </c>
      <c r="U194">
        <v>9.6362762321304724E-2</v>
      </c>
      <c r="V194">
        <v>0.73658364004876997</v>
      </c>
      <c r="W194">
        <v>1.1933786126194199</v>
      </c>
      <c r="X194">
        <v>0</v>
      </c>
      <c r="Y194">
        <v>2.0091749001066175</v>
      </c>
      <c r="Z194">
        <v>0</v>
      </c>
      <c r="AA194">
        <f>SUM(_xlfn.ANCHORARRAY(P194))/52</f>
        <v>0.50646207808109789</v>
      </c>
      <c r="AC194">
        <f>SUM(_xlfn.ANCHORARRAY(P194))/52</f>
        <v>0.50646207808109789</v>
      </c>
    </row>
    <row r="195" spans="2:29">
      <c r="D195">
        <v>0.45592837360271593</v>
      </c>
      <c r="E195">
        <v>0.4740385063836392</v>
      </c>
      <c r="F195">
        <v>0.46686521548200938</v>
      </c>
      <c r="G195">
        <v>0.20714944890400952</v>
      </c>
      <c r="H195">
        <v>0.57990429447418879</v>
      </c>
      <c r="I195">
        <v>0.11660689732494801</v>
      </c>
      <c r="J195">
        <v>0.77965590977879839</v>
      </c>
      <c r="K195">
        <v>0.39927269715622171</v>
      </c>
      <c r="L195" t="e">
        <v>#DIV/0!</v>
      </c>
      <c r="M195">
        <v>3.7941235082036004</v>
      </c>
      <c r="N195" t="e">
        <v>#N/A</v>
      </c>
      <c r="P195">
        <v>0.45592837360271593</v>
      </c>
      <c r="Q195">
        <v>0.4740385063836392</v>
      </c>
      <c r="R195">
        <v>0.46686521548200938</v>
      </c>
      <c r="S195">
        <v>0.20714944890400952</v>
      </c>
      <c r="T195">
        <v>0.57990429447418879</v>
      </c>
      <c r="U195">
        <v>0.11660689732494801</v>
      </c>
      <c r="V195">
        <v>0.77965590977879839</v>
      </c>
      <c r="W195">
        <v>0.39927269715622171</v>
      </c>
      <c r="X195">
        <v>0</v>
      </c>
      <c r="Y195">
        <v>3.7941235082036004</v>
      </c>
      <c r="Z195">
        <v>0</v>
      </c>
    </row>
    <row r="196" spans="2:29">
      <c r="D196">
        <v>1.7071035407513514E-3</v>
      </c>
      <c r="E196">
        <v>0.42574636493520951</v>
      </c>
      <c r="F196">
        <v>0.1696188213149783</v>
      </c>
      <c r="G196">
        <v>0.58894862067268217</v>
      </c>
      <c r="H196">
        <v>0.54259485327756174</v>
      </c>
      <c r="I196">
        <v>2.7784496892847956E-3</v>
      </c>
      <c r="J196">
        <v>0.80588793189919372</v>
      </c>
      <c r="K196">
        <v>0.41781838321498793</v>
      </c>
      <c r="L196" t="e">
        <v>#DIV/0!</v>
      </c>
      <c r="M196" t="e">
        <v>#DIV/0!</v>
      </c>
      <c r="N196" t="e">
        <v>#N/A</v>
      </c>
      <c r="P196">
        <v>1.7071035407513514E-3</v>
      </c>
      <c r="Q196">
        <v>0.42574636493520951</v>
      </c>
      <c r="R196">
        <v>0.1696188213149783</v>
      </c>
      <c r="S196">
        <v>0.58894862067268217</v>
      </c>
      <c r="T196">
        <v>0.54259485327756174</v>
      </c>
      <c r="U196">
        <v>2.7784496892847956E-3</v>
      </c>
      <c r="V196">
        <v>0.80588793189919372</v>
      </c>
      <c r="W196">
        <v>0.41781838321498793</v>
      </c>
      <c r="X196">
        <v>0</v>
      </c>
      <c r="Y196">
        <v>0</v>
      </c>
      <c r="Z196">
        <v>0</v>
      </c>
    </row>
    <row r="197" spans="2:29">
      <c r="D197">
        <v>4.131083302863793E-2</v>
      </c>
      <c r="E197">
        <v>0.34856164999022149</v>
      </c>
      <c r="F197">
        <v>0.56415140611261361</v>
      </c>
      <c r="G197">
        <v>0.5184030770719481</v>
      </c>
      <c r="H197">
        <v>0.48118603104134738</v>
      </c>
      <c r="I197">
        <v>3.2042766890683213E-4</v>
      </c>
      <c r="J197">
        <v>0.85222922283805314</v>
      </c>
      <c r="K197" t="e">
        <v>#DIV/0!</v>
      </c>
      <c r="L197" t="e">
        <v>#DIV/0!</v>
      </c>
      <c r="M197" t="e">
        <v>#DIV/0!</v>
      </c>
      <c r="N197" t="e">
        <v>#N/A</v>
      </c>
      <c r="P197">
        <v>4.131083302863793E-2</v>
      </c>
      <c r="Q197">
        <v>0.34856164999022149</v>
      </c>
      <c r="R197">
        <v>0.56415140611261361</v>
      </c>
      <c r="S197">
        <v>0.5184030770719481</v>
      </c>
      <c r="T197">
        <v>0.48118603104134738</v>
      </c>
      <c r="U197">
        <v>3.2042766890683213E-4</v>
      </c>
      <c r="V197">
        <v>0.85222922283805314</v>
      </c>
      <c r="W197">
        <v>0</v>
      </c>
      <c r="X197">
        <v>0</v>
      </c>
      <c r="Y197">
        <v>0</v>
      </c>
      <c r="Z197">
        <v>0</v>
      </c>
    </row>
    <row r="198" spans="2:29">
      <c r="D198">
        <v>8.6307982902946237E-2</v>
      </c>
      <c r="E198">
        <v>0.28985340364407874</v>
      </c>
      <c r="F198">
        <v>0.61954825821014747</v>
      </c>
      <c r="G198">
        <v>0.11990706870349241</v>
      </c>
      <c r="H198">
        <v>1.0600742938029379</v>
      </c>
      <c r="I198">
        <v>0.17520629625663431</v>
      </c>
      <c r="J198" t="e">
        <v>#DIV/0!</v>
      </c>
      <c r="K198" t="e">
        <v>#DIV/0!</v>
      </c>
      <c r="L198" t="e">
        <v>#DIV/0!</v>
      </c>
      <c r="M198" t="e">
        <v>#DIV/0!</v>
      </c>
      <c r="N198" t="e">
        <v>#N/A</v>
      </c>
      <c r="P198">
        <v>8.6307982902946237E-2</v>
      </c>
      <c r="Q198">
        <v>0.28985340364407874</v>
      </c>
      <c r="R198">
        <v>0.61954825821014747</v>
      </c>
      <c r="S198">
        <v>0.11990706870349241</v>
      </c>
      <c r="T198">
        <v>1.0600742938029379</v>
      </c>
      <c r="U198">
        <v>0.17520629625663431</v>
      </c>
      <c r="V198">
        <v>0</v>
      </c>
      <c r="W198">
        <v>0</v>
      </c>
      <c r="X198">
        <v>0</v>
      </c>
      <c r="Y198">
        <v>0</v>
      </c>
      <c r="Z198">
        <v>0</v>
      </c>
    </row>
    <row r="199" spans="2:29">
      <c r="D199">
        <v>0.29183776053760246</v>
      </c>
      <c r="E199">
        <v>0.23319487156438384</v>
      </c>
      <c r="F199">
        <v>0.28618744274327784</v>
      </c>
      <c r="G199">
        <v>6.6854925622383474E-4</v>
      </c>
      <c r="H199">
        <v>0.38365151803946557</v>
      </c>
      <c r="I199" t="e">
        <v>#DIV/0!</v>
      </c>
      <c r="J199" t="e">
        <v>#DIV/0!</v>
      </c>
      <c r="K199" t="e">
        <v>#DIV/0!</v>
      </c>
      <c r="L199" t="e">
        <v>#DIV/0!</v>
      </c>
      <c r="M199" t="e">
        <v>#DIV/0!</v>
      </c>
      <c r="N199" t="e">
        <v>#N/A</v>
      </c>
      <c r="P199">
        <v>0.29183776053760246</v>
      </c>
      <c r="Q199">
        <v>0.23319487156438384</v>
      </c>
      <c r="R199">
        <v>0.28618744274327784</v>
      </c>
      <c r="S199">
        <v>6.6854925622383474E-4</v>
      </c>
      <c r="T199">
        <v>0.38365151803946557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</row>
    <row r="200" spans="2:29">
      <c r="D200">
        <v>0.80646802066441181</v>
      </c>
      <c r="E200">
        <v>0.37700849891352112</v>
      </c>
      <c r="F200">
        <v>0.53987103056350716</v>
      </c>
      <c r="G200">
        <v>4.1217126538566863E-3</v>
      </c>
      <c r="H200" t="e">
        <v>#DIV/0!</v>
      </c>
      <c r="I200" t="e">
        <v>#DIV/0!</v>
      </c>
      <c r="J200" t="e">
        <v>#DIV/0!</v>
      </c>
      <c r="K200" t="e">
        <v>#DIV/0!</v>
      </c>
      <c r="L200" t="e">
        <v>#DIV/0!</v>
      </c>
      <c r="M200" t="e">
        <v>#DIV/0!</v>
      </c>
      <c r="N200" t="e">
        <v>#N/A</v>
      </c>
      <c r="P200">
        <v>0.80646802066441181</v>
      </c>
      <c r="Q200">
        <v>0.37700849891352112</v>
      </c>
      <c r="R200">
        <v>0.53987103056350716</v>
      </c>
      <c r="S200">
        <v>4.1217126538566863E-3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</row>
    <row r="201" spans="2:29">
      <c r="D201">
        <v>0.85936388129898789</v>
      </c>
      <c r="E201">
        <v>0.27397053417385714</v>
      </c>
      <c r="F201">
        <v>0.25554921690008892</v>
      </c>
      <c r="G201" t="e">
        <v>#DIV/0!</v>
      </c>
      <c r="H201" t="e">
        <v>#DIV/0!</v>
      </c>
      <c r="I201" t="e">
        <v>#DIV/0!</v>
      </c>
      <c r="J201" t="e">
        <v>#DIV/0!</v>
      </c>
      <c r="K201" t="e">
        <v>#DIV/0!</v>
      </c>
      <c r="L201" t="e">
        <v>#DIV/0!</v>
      </c>
      <c r="M201" t="e">
        <v>#DIV/0!</v>
      </c>
      <c r="N201" t="e">
        <v>#N/A</v>
      </c>
      <c r="P201">
        <v>0.85936388129898789</v>
      </c>
      <c r="Q201">
        <v>0.27397053417385714</v>
      </c>
      <c r="R201">
        <v>0.25554921690008892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</row>
    <row r="202" spans="2:29">
      <c r="D202">
        <v>0.34122433162636795</v>
      </c>
      <c r="E202">
        <v>0.2840442185273927</v>
      </c>
      <c r="F202" t="e">
        <v>#DIV/0!</v>
      </c>
      <c r="G202" t="e">
        <v>#DIV/0!</v>
      </c>
      <c r="H202" t="e">
        <v>#DIV/0!</v>
      </c>
      <c r="I202" t="e">
        <v>#DIV/0!</v>
      </c>
      <c r="J202" t="e">
        <v>#DIV/0!</v>
      </c>
      <c r="K202" t="e">
        <v>#DIV/0!</v>
      </c>
      <c r="L202" t="e">
        <v>#DIV/0!</v>
      </c>
      <c r="M202" t="e">
        <v>#DIV/0!</v>
      </c>
      <c r="N202" t="e">
        <v>#N/A</v>
      </c>
      <c r="P202">
        <v>0.34122433162636795</v>
      </c>
      <c r="Q202">
        <v>0.2840442185273927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</row>
    <row r="203" spans="2:29">
      <c r="D203">
        <v>0.31619957337128335</v>
      </c>
      <c r="E203" t="e">
        <v>#DIV/0!</v>
      </c>
      <c r="F203" t="e">
        <v>#DIV/0!</v>
      </c>
      <c r="G203" t="e">
        <v>#DIV/0!</v>
      </c>
      <c r="H203" t="e">
        <v>#DIV/0!</v>
      </c>
      <c r="I203" t="e">
        <v>#DIV/0!</v>
      </c>
      <c r="J203" t="e">
        <v>#DIV/0!</v>
      </c>
      <c r="K203" t="e">
        <v>#DIV/0!</v>
      </c>
      <c r="L203" t="e">
        <v>#DIV/0!</v>
      </c>
      <c r="M203" t="e">
        <v>#DIV/0!</v>
      </c>
      <c r="N203" t="e">
        <v>#N/A</v>
      </c>
      <c r="P203">
        <v>0.31619957337128335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</row>
    <row r="206" spans="2:29">
      <c r="B206" t="s">
        <v>105</v>
      </c>
      <c r="D206" s="107">
        <v>35.456858141743652</v>
      </c>
      <c r="E206" s="107">
        <v>16.003347900279035</v>
      </c>
      <c r="F206" s="107">
        <v>11.141118106140954</v>
      </c>
      <c r="G206" s="107">
        <v>8.5414531776046143</v>
      </c>
      <c r="H206" s="76">
        <v>6.8909710637456634</v>
      </c>
      <c r="I206" s="107">
        <v>5.7439796688109395</v>
      </c>
      <c r="J206" s="107">
        <v>4.8997583671102767</v>
      </c>
      <c r="K206" s="107">
        <v>4.252827994192824</v>
      </c>
      <c r="L206" s="107"/>
      <c r="M206" s="107">
        <v>3.7419333698146056</v>
      </c>
      <c r="N206" s="107">
        <v>3.3288886291518711</v>
      </c>
      <c r="P206" s="107"/>
      <c r="AA206" s="151"/>
    </row>
    <row r="207" spans="2:29">
      <c r="D207" s="107">
        <v>35.95138814812595</v>
      </c>
      <c r="E207" s="107">
        <v>16.226552553878779</v>
      </c>
      <c r="F207" s="107">
        <v>11.296507429868125</v>
      </c>
      <c r="G207" s="107">
        <v>8.6605840063302963</v>
      </c>
      <c r="H207" s="76">
        <v>6.9870820037085668</v>
      </c>
      <c r="I207" s="107">
        <v>5.8240930925926317</v>
      </c>
      <c r="J207" s="107">
        <v>4.9680971219675776</v>
      </c>
      <c r="K207" s="107">
        <v>4.3121437701903291</v>
      </c>
      <c r="L207" s="107"/>
      <c r="M207" s="107">
        <v>3.7941235082036004</v>
      </c>
      <c r="N207" s="107">
        <v>0</v>
      </c>
    </row>
    <row r="208" spans="2:29">
      <c r="D208" s="107">
        <v>36.248757678435652</v>
      </c>
      <c r="E208" s="107">
        <v>16.360769410585721</v>
      </c>
      <c r="F208" s="107">
        <v>11.38994574425864</v>
      </c>
      <c r="G208" s="107">
        <v>8.7322194543847385</v>
      </c>
      <c r="H208" s="76">
        <v>7.0448751905840652</v>
      </c>
      <c r="I208" s="107">
        <v>5.8722666935753951</v>
      </c>
      <c r="J208" s="107">
        <v>5.0091904088694781</v>
      </c>
      <c r="K208" s="107">
        <v>4.3478113823082847</v>
      </c>
      <c r="L208" s="107"/>
      <c r="M208" s="107">
        <v>0</v>
      </c>
      <c r="N208" s="107">
        <v>0</v>
      </c>
    </row>
    <row r="209" spans="1:21">
      <c r="D209" s="107">
        <v>36.767563918929397</v>
      </c>
      <c r="E209" s="107">
        <v>16.594931070546291</v>
      </c>
      <c r="F209" s="107">
        <v>11.55296305324967</v>
      </c>
      <c r="G209" s="107">
        <v>8.8571983567373227</v>
      </c>
      <c r="H209" s="76">
        <v>7.1457041691879004</v>
      </c>
      <c r="I209" s="107">
        <v>5.956312845818645</v>
      </c>
      <c r="J209" s="107">
        <v>5.0808838794980984</v>
      </c>
      <c r="K209" s="107">
        <v>0</v>
      </c>
      <c r="L209" s="107"/>
      <c r="M209" s="107">
        <v>0</v>
      </c>
      <c r="N209" s="107">
        <v>0</v>
      </c>
    </row>
    <row r="210" spans="1:21">
      <c r="D210" s="107">
        <v>37.207977269663324</v>
      </c>
      <c r="E210" s="107">
        <v>16.793710331910816</v>
      </c>
      <c r="F210" s="107">
        <v>11.691348048796447</v>
      </c>
      <c r="G210" s="107">
        <v>8.9632926417709129</v>
      </c>
      <c r="H210" s="76">
        <v>7.2312976429204667</v>
      </c>
      <c r="I210" s="107">
        <v>6.0276594192340225</v>
      </c>
      <c r="J210" s="107">
        <v>0</v>
      </c>
      <c r="K210" s="107">
        <v>0</v>
      </c>
      <c r="L210" s="107"/>
      <c r="M210" s="107">
        <v>0</v>
      </c>
      <c r="N210" s="107">
        <v>0</v>
      </c>
    </row>
    <row r="211" spans="1:21">
      <c r="D211" s="107">
        <v>37.683746079604369</v>
      </c>
      <c r="E211" s="107">
        <v>17.008447175066824</v>
      </c>
      <c r="F211" s="107">
        <v>11.840842301264658</v>
      </c>
      <c r="G211" s="107">
        <v>9.0779039532760315</v>
      </c>
      <c r="H211" s="76">
        <v>7.3237623810320676</v>
      </c>
      <c r="I211" s="107">
        <v>0</v>
      </c>
      <c r="J211" s="107">
        <v>0</v>
      </c>
      <c r="K211" s="107">
        <v>0</v>
      </c>
      <c r="L211" s="107"/>
      <c r="M211" s="107">
        <v>0</v>
      </c>
      <c r="N211" s="107">
        <v>0</v>
      </c>
    </row>
    <row r="212" spans="1:21">
      <c r="D212" s="107">
        <v>36.56934555279431</v>
      </c>
      <c r="E212" s="107">
        <v>16.505465798107217</v>
      </c>
      <c r="F212" s="107">
        <v>11.490679637751064</v>
      </c>
      <c r="G212" s="107">
        <v>8.8094481334514381</v>
      </c>
      <c r="H212" s="107">
        <v>0</v>
      </c>
      <c r="I212" s="107">
        <v>0</v>
      </c>
      <c r="J212" s="107">
        <v>0</v>
      </c>
      <c r="K212" s="107">
        <v>0</v>
      </c>
      <c r="L212" s="107"/>
      <c r="M212" s="107">
        <v>0</v>
      </c>
      <c r="N212" s="107">
        <v>0</v>
      </c>
    </row>
    <row r="213" spans="1:21">
      <c r="D213" s="107">
        <v>37.335646047583488</v>
      </c>
      <c r="E213" s="107">
        <v>16.851333256674547</v>
      </c>
      <c r="F213" s="107">
        <v>11.731463643009254</v>
      </c>
      <c r="G213" s="107">
        <v>0</v>
      </c>
      <c r="H213" s="107">
        <v>0</v>
      </c>
      <c r="I213" s="107">
        <v>0</v>
      </c>
      <c r="J213" s="107">
        <v>0</v>
      </c>
      <c r="K213" s="107">
        <v>0</v>
      </c>
      <c r="L213" s="107"/>
      <c r="M213" s="107">
        <v>0</v>
      </c>
      <c r="N213" s="107">
        <v>0</v>
      </c>
    </row>
    <row r="214" spans="1:21">
      <c r="D214" s="107">
        <v>39.336325430179386</v>
      </c>
      <c r="E214" s="107">
        <v>17.754333970065538</v>
      </c>
      <c r="F214" s="107">
        <v>0</v>
      </c>
      <c r="G214" s="107">
        <v>0</v>
      </c>
      <c r="H214" s="107">
        <v>0</v>
      </c>
      <c r="I214" s="107">
        <v>0</v>
      </c>
      <c r="J214" s="107">
        <v>0</v>
      </c>
      <c r="K214" s="107">
        <v>0</v>
      </c>
      <c r="L214" s="107"/>
      <c r="M214" s="107">
        <v>0</v>
      </c>
      <c r="N214" s="107">
        <v>0</v>
      </c>
    </row>
    <row r="215" spans="1:21">
      <c r="D215" s="107">
        <v>38.510446071741754</v>
      </c>
      <c r="E215" s="107">
        <v>0</v>
      </c>
      <c r="F215" s="107">
        <v>0</v>
      </c>
      <c r="G215" s="107">
        <v>0</v>
      </c>
      <c r="H215" s="107">
        <v>0</v>
      </c>
      <c r="I215" s="107">
        <v>0</v>
      </c>
      <c r="J215" s="107">
        <v>0</v>
      </c>
      <c r="K215" s="107">
        <v>0</v>
      </c>
      <c r="L215" s="107"/>
      <c r="M215" s="107">
        <v>0</v>
      </c>
      <c r="N215" s="107">
        <v>0</v>
      </c>
    </row>
    <row r="216" spans="1:21">
      <c r="T216" t="s">
        <v>257</v>
      </c>
      <c r="U216" s="44">
        <f>N222*AA194</f>
        <v>129.56224575973386</v>
      </c>
    </row>
    <row r="218" spans="1:21">
      <c r="T218" t="s">
        <v>258</v>
      </c>
      <c r="U218" s="160">
        <f>N222*AK32</f>
        <v>9.4657362380101931E-2</v>
      </c>
    </row>
    <row r="220" spans="1:21">
      <c r="A220" t="s">
        <v>227</v>
      </c>
      <c r="B220" s="107">
        <v>0</v>
      </c>
      <c r="C220" s="107">
        <v>0</v>
      </c>
      <c r="D220" s="107">
        <v>0</v>
      </c>
      <c r="E220" s="107">
        <v>0</v>
      </c>
      <c r="F220" s="107">
        <v>0</v>
      </c>
      <c r="G220" s="107">
        <v>0</v>
      </c>
      <c r="H220" s="107">
        <v>0</v>
      </c>
      <c r="I220" s="107">
        <v>0</v>
      </c>
      <c r="J220" s="107">
        <v>0</v>
      </c>
      <c r="K220" s="107">
        <v>0</v>
      </c>
      <c r="L220" s="107"/>
      <c r="M220" s="107"/>
      <c r="N220" s="107" t="s">
        <v>256</v>
      </c>
    </row>
    <row r="221" spans="1:21">
      <c r="B221" s="107">
        <v>0</v>
      </c>
      <c r="C221" s="107">
        <v>0</v>
      </c>
      <c r="D221" s="107">
        <v>0</v>
      </c>
      <c r="E221" s="107">
        <v>0</v>
      </c>
      <c r="F221" s="107">
        <v>0</v>
      </c>
      <c r="G221" s="107">
        <v>0</v>
      </c>
      <c r="H221" s="107">
        <v>0</v>
      </c>
      <c r="I221" s="107">
        <v>0</v>
      </c>
      <c r="J221" s="107">
        <v>0</v>
      </c>
      <c r="K221" s="107">
        <v>3.3753178787046481</v>
      </c>
      <c r="L221" s="107"/>
      <c r="M221" s="107"/>
      <c r="N221" s="107"/>
      <c r="T221" t="s">
        <v>259</v>
      </c>
      <c r="U221" s="160">
        <f>SUM(U218,U216)</f>
        <v>129.65690312211396</v>
      </c>
    </row>
    <row r="222" spans="1:21">
      <c r="B222" s="107">
        <v>0</v>
      </c>
      <c r="C222" s="107">
        <v>0</v>
      </c>
      <c r="D222" s="107">
        <v>0</v>
      </c>
      <c r="E222" s="107">
        <v>0</v>
      </c>
      <c r="F222" s="107">
        <v>0</v>
      </c>
      <c r="G222" s="107">
        <v>0</v>
      </c>
      <c r="H222" s="107">
        <v>0</v>
      </c>
      <c r="I222" s="107">
        <v>0</v>
      </c>
      <c r="J222" s="107">
        <v>3.8255063499710142</v>
      </c>
      <c r="K222" s="107">
        <v>3.4032365973950327</v>
      </c>
      <c r="L222" s="107"/>
      <c r="M222" s="107"/>
      <c r="N222" s="44">
        <f>SUM(B220:K229)</f>
        <v>255.81825642429942</v>
      </c>
    </row>
    <row r="223" spans="1:21">
      <c r="B223" s="107">
        <v>0</v>
      </c>
      <c r="C223" s="107">
        <v>0</v>
      </c>
      <c r="D223" s="107">
        <v>0</v>
      </c>
      <c r="E223" s="107">
        <v>0</v>
      </c>
      <c r="F223" s="107">
        <v>0</v>
      </c>
      <c r="G223" s="107">
        <v>0</v>
      </c>
      <c r="H223" s="107">
        <v>0</v>
      </c>
      <c r="I223" s="107">
        <v>4.4100389404950082</v>
      </c>
      <c r="J223" s="107">
        <v>3.8802584765133843</v>
      </c>
      <c r="K223" s="107">
        <v>3.4519450359094819</v>
      </c>
      <c r="L223" s="107"/>
      <c r="M223" s="107"/>
      <c r="N223" s="107"/>
    </row>
    <row r="224" spans="1:21">
      <c r="B224" s="107">
        <v>0</v>
      </c>
      <c r="C224" s="107">
        <v>0</v>
      </c>
      <c r="D224" s="107">
        <v>0</v>
      </c>
      <c r="E224" s="107">
        <v>0</v>
      </c>
      <c r="F224" s="107">
        <v>0</v>
      </c>
      <c r="G224" s="107">
        <v>0</v>
      </c>
      <c r="H224" s="107">
        <v>5.1417442916535974</v>
      </c>
      <c r="I224" s="107">
        <v>4.4628637626924483</v>
      </c>
      <c r="J224" s="107">
        <v>3.9267374230414442</v>
      </c>
      <c r="K224" s="107">
        <v>3.4932935104281184</v>
      </c>
      <c r="L224" s="107"/>
      <c r="M224" s="107"/>
      <c r="N224" s="107"/>
    </row>
    <row r="225" spans="2:14">
      <c r="B225" s="107">
        <v>0</v>
      </c>
      <c r="C225" s="107">
        <v>0</v>
      </c>
      <c r="D225" s="107">
        <v>0</v>
      </c>
      <c r="E225" s="107">
        <v>0</v>
      </c>
      <c r="F225" s="107">
        <v>0</v>
      </c>
      <c r="G225" s="107">
        <v>6.1047335457804577</v>
      </c>
      <c r="H225" s="107">
        <v>5.2074904499285255</v>
      </c>
      <c r="I225" s="107">
        <v>4.519929250717146</v>
      </c>
      <c r="J225" s="107">
        <v>3.976947601820354</v>
      </c>
      <c r="K225" s="107">
        <v>3.5379613536754388</v>
      </c>
      <c r="L225" s="107"/>
      <c r="M225" s="107"/>
      <c r="N225" s="107"/>
    </row>
    <row r="226" spans="2:14">
      <c r="B226" s="107">
        <v>0</v>
      </c>
      <c r="C226" s="107">
        <v>0</v>
      </c>
      <c r="D226" s="107">
        <v>0</v>
      </c>
      <c r="E226" s="107">
        <v>0</v>
      </c>
      <c r="F226" s="107">
        <v>7.1071808172349602</v>
      </c>
      <c r="G226" s="107">
        <v>5.9242016457649536</v>
      </c>
      <c r="H226" s="107">
        <v>5.0534922224566658</v>
      </c>
      <c r="I226" s="107">
        <v>4.3862638893302224</v>
      </c>
      <c r="J226" s="107">
        <v>3.8593395356476732</v>
      </c>
      <c r="K226" s="107">
        <v>3.4333351843970226</v>
      </c>
      <c r="L226" s="107"/>
      <c r="M226" s="107"/>
      <c r="N226" s="107"/>
    </row>
    <row r="227" spans="2:14">
      <c r="B227" s="107">
        <v>0</v>
      </c>
      <c r="C227" s="107">
        <v>0</v>
      </c>
      <c r="D227" s="107">
        <v>0</v>
      </c>
      <c r="E227" s="107">
        <v>8.9940476760857919</v>
      </c>
      <c r="F227" s="107">
        <v>7.2561098203241929</v>
      </c>
      <c r="G227" s="107">
        <v>6.0483416483752457</v>
      </c>
      <c r="H227" s="107">
        <v>5.1593867505633062</v>
      </c>
      <c r="I227" s="107">
        <v>4.4781768327493818</v>
      </c>
      <c r="J227" s="107">
        <v>3.9402109253600406</v>
      </c>
      <c r="K227" s="107">
        <v>3.5052797710668133</v>
      </c>
      <c r="L227" s="107"/>
      <c r="M227" s="107"/>
      <c r="N227" s="107"/>
    </row>
    <row r="228" spans="2:14">
      <c r="B228" s="107">
        <v>0</v>
      </c>
      <c r="C228" s="107">
        <v>0</v>
      </c>
      <c r="D228" s="107">
        <v>12.360109452655319</v>
      </c>
      <c r="E228" s="107">
        <v>9.4760054739687121</v>
      </c>
      <c r="F228" s="107">
        <v>7.6449379471194936</v>
      </c>
      <c r="G228" s="107">
        <v>6.37244993940035</v>
      </c>
      <c r="H228" s="107">
        <v>5.4358592317287577</v>
      </c>
      <c r="I228" s="107">
        <v>4.7181457902834696</v>
      </c>
      <c r="J228" s="107">
        <v>4.1513522767484732</v>
      </c>
      <c r="K228" s="107">
        <v>3.6931147681970629</v>
      </c>
      <c r="L228" s="107"/>
      <c r="M228" s="107"/>
      <c r="N228" s="107"/>
    </row>
    <row r="229" spans="2:14">
      <c r="B229" s="107">
        <v>0</v>
      </c>
      <c r="C229" s="107">
        <v>17.381575767861026</v>
      </c>
      <c r="D229" s="107">
        <v>12.100604805148356</v>
      </c>
      <c r="E229" s="107">
        <v>9.277053557748582</v>
      </c>
      <c r="F229" s="107">
        <v>7.484429908353408</v>
      </c>
      <c r="G229" s="107">
        <v>6.2386582135572901</v>
      </c>
      <c r="H229" s="107">
        <v>5.321731542226444</v>
      </c>
      <c r="I229" s="107">
        <v>4.6190867354357845</v>
      </c>
      <c r="J229" s="107">
        <v>4.0641932420019469</v>
      </c>
      <c r="K229" s="107">
        <v>3.6155765837825347</v>
      </c>
      <c r="L229" s="107"/>
      <c r="M229" s="107"/>
      <c r="N229" s="107"/>
    </row>
  </sheetData>
  <mergeCells count="1">
    <mergeCell ref="CT1:DC1"/>
  </mergeCells>
  <conditionalFormatting sqref="B220:L229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3549C-D187-4E57-84FF-E5742B8F3AA6}">
  <dimension ref="A1:CL52"/>
  <sheetViews>
    <sheetView workbookViewId="0">
      <selection activeCell="P2" sqref="P2"/>
    </sheetView>
  </sheetViews>
  <sheetFormatPr defaultRowHeight="15"/>
  <cols>
    <col min="1" max="1" width="17.85546875" customWidth="1"/>
    <col min="2" max="2" width="11.28515625" bestFit="1" customWidth="1"/>
    <col min="3" max="3" width="12.140625" bestFit="1" customWidth="1"/>
    <col min="4" max="4" width="12" bestFit="1" customWidth="1"/>
    <col min="5" max="11" width="9.28515625" bestFit="1" customWidth="1"/>
    <col min="13" max="13" width="9.28515625" bestFit="1" customWidth="1"/>
  </cols>
  <sheetData>
    <row r="1" spans="1:90" ht="18" customHeight="1">
      <c r="A1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N1" t="s">
        <v>13</v>
      </c>
      <c r="P1" s="4" cm="1">
        <f t="array" ref="P1:Y1">B24:K24-A24:J24</f>
        <v>0.3867080993455061</v>
      </c>
      <c r="Q1">
        <v>0.18115131760435532</v>
      </c>
      <c r="R1">
        <v>0.11590843647349591</v>
      </c>
      <c r="S1">
        <v>8.2227278977069052E-2</v>
      </c>
      <c r="T1" s="10">
        <v>6.1990380757915853E-2</v>
      </c>
      <c r="U1">
        <v>4.87011736492442E-2</v>
      </c>
      <c r="V1">
        <v>3.9432016859584196E-2</v>
      </c>
      <c r="W1">
        <v>3.2674718855840834E-2</v>
      </c>
      <c r="X1">
        <v>2.7578124000452342E-2</v>
      </c>
      <c r="Y1">
        <v>2.3628453476536193E-2</v>
      </c>
      <c r="AN1" s="5" t="s">
        <v>14</v>
      </c>
      <c r="BA1" s="5" t="s">
        <v>15</v>
      </c>
      <c r="BM1" t="s">
        <v>16</v>
      </c>
      <c r="BY1" t="s">
        <v>17</v>
      </c>
    </row>
    <row r="2" spans="1:90">
      <c r="A2">
        <v>2000</v>
      </c>
      <c r="B2">
        <v>38.670621364211755</v>
      </c>
      <c r="C2">
        <v>18.115043425680192</v>
      </c>
      <c r="D2">
        <v>11.590787126958169</v>
      </c>
      <c r="E2">
        <v>8.2226878012468489</v>
      </c>
      <c r="F2">
        <v>6.1990078474433119</v>
      </c>
      <c r="G2">
        <v>4.8700936167876847</v>
      </c>
      <c r="H2">
        <v>3.9431824577374641</v>
      </c>
      <c r="I2">
        <v>3.2674559524220541</v>
      </c>
      <c r="J2">
        <v>2.7577989521340101</v>
      </c>
      <c r="K2">
        <v>2.3628338257188943</v>
      </c>
      <c r="L2" cm="1">
        <f t="array" ref="L2:L11">M2:M11/K23</f>
        <v>134.43721722364845</v>
      </c>
      <c r="M2">
        <v>99.999512370340383</v>
      </c>
      <c r="O2">
        <f>SUM(P2:Y2)</f>
        <v>99.999512370340369</v>
      </c>
      <c r="P2" cm="1">
        <f t="array" ref="P2:Y11">_xlfn.ANCHORARRAY(P1)*M2:M11</f>
        <v>38.670621364211755</v>
      </c>
      <c r="Q2">
        <v>18.115043425680188</v>
      </c>
      <c r="R2">
        <v>11.590787126958167</v>
      </c>
      <c r="S2">
        <v>8.2226878012468472</v>
      </c>
      <c r="T2" s="10">
        <v>6.1990078474433172</v>
      </c>
      <c r="U2">
        <v>4.8700936167876909</v>
      </c>
      <c r="V2">
        <v>3.9431824577374601</v>
      </c>
      <c r="W2">
        <v>3.2674559524220497</v>
      </c>
      <c r="X2">
        <v>2.7577989521340149</v>
      </c>
      <c r="Y2">
        <v>2.3628338257188934</v>
      </c>
      <c r="AB2">
        <v>1</v>
      </c>
      <c r="AC2">
        <v>1</v>
      </c>
      <c r="AD2">
        <v>1</v>
      </c>
      <c r="AE2">
        <v>1</v>
      </c>
      <c r="AF2">
        <v>1</v>
      </c>
      <c r="AG2">
        <v>1</v>
      </c>
      <c r="AH2">
        <v>1</v>
      </c>
      <c r="AI2">
        <v>1</v>
      </c>
      <c r="AJ2">
        <v>1</v>
      </c>
      <c r="AK2">
        <v>1</v>
      </c>
      <c r="AP2" s="4" cm="1">
        <f t="array" ref="AP2:AY11">LN(P2:Y11)</f>
        <v>3.6550801738690026</v>
      </c>
      <c r="AQ2">
        <v>2.896742721566369</v>
      </c>
      <c r="AR2">
        <v>2.4502105693646699</v>
      </c>
      <c r="AS2">
        <v>2.1068971387408131</v>
      </c>
      <c r="AT2">
        <v>1.8243892546398259</v>
      </c>
      <c r="AU2">
        <v>1.5831131600694259</v>
      </c>
      <c r="AV2">
        <v>1.3719881276614248</v>
      </c>
      <c r="AW2">
        <v>1.1840116859118497</v>
      </c>
      <c r="AX2">
        <v>1.0144328804609726</v>
      </c>
      <c r="AY2">
        <v>0.85986167229518395</v>
      </c>
      <c r="BB2" cm="1">
        <f t="array" ref="BB2:BK11">_xlfn.ANCHORARRAY(AP2)*B2:K11</f>
        <v>141.34422145952547</v>
      </c>
      <c r="BC2">
        <v>52.474620194197797</v>
      </c>
      <c r="BD2">
        <v>28.399869125728863</v>
      </c>
      <c r="BE2">
        <v>17.324357401205972</v>
      </c>
      <c r="BF2">
        <v>11.309403306303535</v>
      </c>
      <c r="BG2">
        <v>7.7099092955066917</v>
      </c>
      <c r="BH2">
        <v>5.4099995172185986</v>
      </c>
      <c r="BI2">
        <v>3.8687060308699448</v>
      </c>
      <c r="BJ2">
        <v>2.7976019347455559</v>
      </c>
      <c r="BK2">
        <v>2.0317102447382758</v>
      </c>
      <c r="BN2" cm="1">
        <f t="array" ref="BN2:BW11">_xlfn.ANCHORARRAY(BB2)-_xlfn.ANCHORARRAY(P2)</f>
        <v>102.67360009531372</v>
      </c>
      <c r="BO2">
        <v>34.359576768517613</v>
      </c>
      <c r="BP2">
        <v>16.809081998770694</v>
      </c>
      <c r="BQ2">
        <v>9.1016695999591253</v>
      </c>
      <c r="BR2">
        <v>5.1103954588602178</v>
      </c>
      <c r="BS2">
        <v>2.8398156787190008</v>
      </c>
      <c r="BT2">
        <v>1.4668170594811385</v>
      </c>
      <c r="BU2">
        <v>0.60125007844789513</v>
      </c>
      <c r="BV2">
        <v>3.9802982611540916E-2</v>
      </c>
      <c r="BW2">
        <v>-0.33112358098061767</v>
      </c>
      <c r="BZ2" cm="1">
        <f t="array" ref="BZ2:CI11">_xlfn.ANCHORARRAY(BN2)*AB2:AK11</f>
        <v>102.67360009531372</v>
      </c>
      <c r="CA2">
        <v>34.359576768517613</v>
      </c>
      <c r="CB2">
        <v>16.809081998770694</v>
      </c>
      <c r="CC2">
        <v>9.1016695999591253</v>
      </c>
      <c r="CD2">
        <v>5.1103954588602178</v>
      </c>
      <c r="CE2">
        <v>2.8398156787190008</v>
      </c>
      <c r="CF2">
        <v>1.4668170594811385</v>
      </c>
      <c r="CG2">
        <v>0.60125007844789513</v>
      </c>
      <c r="CH2">
        <v>3.9802982611540916E-2</v>
      </c>
      <c r="CI2">
        <v>-0.33112358098061767</v>
      </c>
      <c r="CL2">
        <f>SUM(_xlfn.ANCHORARRAY(BZ2))</f>
        <v>1688.1284929063781</v>
      </c>
    </row>
    <row r="3" spans="1:90">
      <c r="A3">
        <v>2001</v>
      </c>
      <c r="B3">
        <v>39.210532126747047</v>
      </c>
      <c r="C3">
        <v>18.367961702249971</v>
      </c>
      <c r="D3">
        <v>11.752615163212376</v>
      </c>
      <c r="E3">
        <v>8.3374911709431387</v>
      </c>
      <c r="F3">
        <v>6.2855570399777037</v>
      </c>
      <c r="G3">
        <v>4.9380887993189759</v>
      </c>
      <c r="H3">
        <v>3.9982363092781839</v>
      </c>
      <c r="I3">
        <v>3.3130754582015811</v>
      </c>
      <c r="J3">
        <v>2.7963027382806729</v>
      </c>
      <c r="L3">
        <v>136.31420026409987</v>
      </c>
      <c r="M3">
        <v>101.395683703315</v>
      </c>
      <c r="O3">
        <f t="shared" ref="O3:O11" si="0">SUM(P3:Y3)</f>
        <v>101.395683703315</v>
      </c>
      <c r="P3">
        <v>39.210532126747047</v>
      </c>
      <c r="Q3">
        <v>18.367961702249971</v>
      </c>
      <c r="R3">
        <v>11.752615163212372</v>
      </c>
      <c r="S3">
        <v>8.337491170943137</v>
      </c>
      <c r="T3" s="10">
        <v>6.2855570399777001</v>
      </c>
      <c r="U3">
        <v>4.9380887993189839</v>
      </c>
      <c r="V3">
        <v>3.9982363092781834</v>
      </c>
      <c r="W3">
        <v>3.3130754582015798</v>
      </c>
      <c r="X3">
        <v>2.7963027382806658</v>
      </c>
      <c r="Y3">
        <v>2.3958231951053577</v>
      </c>
      <c r="AB3">
        <v>1</v>
      </c>
      <c r="AC3">
        <v>1</v>
      </c>
      <c r="AD3">
        <v>1</v>
      </c>
      <c r="AE3">
        <v>1</v>
      </c>
      <c r="AF3">
        <v>1</v>
      </c>
      <c r="AG3">
        <v>1</v>
      </c>
      <c r="AH3">
        <v>1</v>
      </c>
      <c r="AI3">
        <v>1</v>
      </c>
      <c r="AJ3">
        <v>1</v>
      </c>
      <c r="AK3">
        <v>0</v>
      </c>
      <c r="AP3">
        <v>3.6689453874120259</v>
      </c>
      <c r="AQ3">
        <v>2.9106079351093928</v>
      </c>
      <c r="AR3">
        <v>2.4640757829076936</v>
      </c>
      <c r="AS3">
        <v>2.1207623522838364</v>
      </c>
      <c r="AT3">
        <v>1.8382544681828492</v>
      </c>
      <c r="AU3">
        <v>1.5969783736124492</v>
      </c>
      <c r="AV3">
        <v>1.3858533412044483</v>
      </c>
      <c r="AW3">
        <v>1.1978768994548732</v>
      </c>
      <c r="AX3">
        <v>1.0282980940039961</v>
      </c>
      <c r="AY3">
        <v>0.87372688583820735</v>
      </c>
      <c r="BB3">
        <v>143.86130098439963</v>
      </c>
      <c r="BC3">
        <v>53.461935082354195</v>
      </c>
      <c r="BD3">
        <v>28.959334409505367</v>
      </c>
      <c r="BE3">
        <v>17.681837387835088</v>
      </c>
      <c r="BF3">
        <v>11.554453313757177</v>
      </c>
      <c r="BG3">
        <v>7.8860210194902702</v>
      </c>
      <c r="BH3">
        <v>5.5409691481381129</v>
      </c>
      <c r="BI3">
        <v>3.9686565575305432</v>
      </c>
      <c r="BJ3">
        <v>2.875432776032171</v>
      </c>
      <c r="BK3">
        <v>0</v>
      </c>
      <c r="BN3">
        <v>104.65076885765259</v>
      </c>
      <c r="BO3">
        <v>35.093973380104224</v>
      </c>
      <c r="BP3">
        <v>17.206719246292995</v>
      </c>
      <c r="BQ3">
        <v>9.3443462168919513</v>
      </c>
      <c r="BR3">
        <v>5.2688962737794771</v>
      </c>
      <c r="BS3">
        <v>2.9479322201712863</v>
      </c>
      <c r="BT3">
        <v>1.5427328388599295</v>
      </c>
      <c r="BU3">
        <v>0.65558109932896347</v>
      </c>
      <c r="BV3">
        <v>7.9130037751505178E-2</v>
      </c>
      <c r="BW3">
        <v>-2.3958231951053577</v>
      </c>
      <c r="BZ3">
        <v>104.65076885765259</v>
      </c>
      <c r="CA3">
        <v>35.093973380104224</v>
      </c>
      <c r="CB3">
        <v>17.206719246292995</v>
      </c>
      <c r="CC3">
        <v>9.3443462168919513</v>
      </c>
      <c r="CD3">
        <v>5.2688962737794771</v>
      </c>
      <c r="CE3">
        <v>2.9479322201712863</v>
      </c>
      <c r="CF3">
        <v>1.5427328388599295</v>
      </c>
      <c r="CG3">
        <v>0.65558109932896347</v>
      </c>
      <c r="CH3">
        <v>7.9130037751505178E-2</v>
      </c>
      <c r="CI3">
        <v>0</v>
      </c>
    </row>
    <row r="4" spans="1:90">
      <c r="A4">
        <v>2002</v>
      </c>
      <c r="B4">
        <v>39.535157150156728</v>
      </c>
      <c r="C4">
        <v>18.520030538712241</v>
      </c>
      <c r="D4">
        <v>11.849915372251886</v>
      </c>
      <c r="E4">
        <v>8.4065174789207049</v>
      </c>
      <c r="F4">
        <v>6.3375953314920821</v>
      </c>
      <c r="G4">
        <v>4.9789713659440906</v>
      </c>
      <c r="H4">
        <v>4.0313378124993449</v>
      </c>
      <c r="I4">
        <v>3.3405044967746989</v>
      </c>
      <c r="L4">
        <v>137.44274910166126</v>
      </c>
      <c r="M4">
        <v>102.23514122685562</v>
      </c>
      <c r="O4">
        <f t="shared" si="0"/>
        <v>102.23514122685562</v>
      </c>
      <c r="P4">
        <v>39.535157150156728</v>
      </c>
      <c r="Q4">
        <v>18.520030538712241</v>
      </c>
      <c r="R4">
        <v>11.849915372251877</v>
      </c>
      <c r="S4">
        <v>8.4065174789207102</v>
      </c>
      <c r="T4" s="10">
        <v>6.3375953314920803</v>
      </c>
      <c r="U4">
        <v>4.9789713659441004</v>
      </c>
      <c r="V4">
        <v>4.0313378124993422</v>
      </c>
      <c r="W4">
        <v>3.34050449677469</v>
      </c>
      <c r="X4">
        <v>2.8194534019579818</v>
      </c>
      <c r="Y4">
        <v>2.4156582781458651</v>
      </c>
      <c r="AB4">
        <v>1</v>
      </c>
      <c r="AC4">
        <v>1</v>
      </c>
      <c r="AD4">
        <v>1</v>
      </c>
      <c r="AE4">
        <v>1</v>
      </c>
      <c r="AF4">
        <v>1</v>
      </c>
      <c r="AG4">
        <v>1</v>
      </c>
      <c r="AH4">
        <v>1</v>
      </c>
      <c r="AI4">
        <v>1</v>
      </c>
      <c r="AJ4">
        <v>0</v>
      </c>
      <c r="AK4">
        <v>0</v>
      </c>
      <c r="AP4">
        <v>3.6771903304778517</v>
      </c>
      <c r="AQ4">
        <v>2.9188528781752181</v>
      </c>
      <c r="AR4">
        <v>2.4723207259735189</v>
      </c>
      <c r="AS4">
        <v>2.1290072953496622</v>
      </c>
      <c r="AT4">
        <v>1.8464994112486748</v>
      </c>
      <c r="AU4">
        <v>1.605223316678275</v>
      </c>
      <c r="AV4">
        <v>1.3940982842702738</v>
      </c>
      <c r="AW4">
        <v>1.2061218425206988</v>
      </c>
      <c r="AX4">
        <v>1.0365430370698216</v>
      </c>
      <c r="AY4">
        <v>0.8819718289040327</v>
      </c>
      <c r="BB4">
        <v>145.37829758647862</v>
      </c>
      <c r="BC4">
        <v>54.057244441813161</v>
      </c>
      <c r="BD4">
        <v>29.296791375850542</v>
      </c>
      <c r="BE4">
        <v>17.897537041106631</v>
      </c>
      <c r="BF4">
        <v>11.702366048332479</v>
      </c>
      <c r="BG4">
        <v>7.9923609296869342</v>
      </c>
      <c r="BH4">
        <v>5.6200811277192155</v>
      </c>
      <c r="BI4">
        <v>4.0290554385985793</v>
      </c>
      <c r="BJ4">
        <v>0</v>
      </c>
      <c r="BK4">
        <v>0</v>
      </c>
      <c r="BN4">
        <v>105.8431404363219</v>
      </c>
      <c r="BO4">
        <v>35.53721390310092</v>
      </c>
      <c r="BP4">
        <v>17.446876003598668</v>
      </c>
      <c r="BQ4">
        <v>9.4910195621859206</v>
      </c>
      <c r="BR4">
        <v>5.3647707168403986</v>
      </c>
      <c r="BS4">
        <v>3.0133895637428338</v>
      </c>
      <c r="BT4">
        <v>1.5887433152198733</v>
      </c>
      <c r="BU4">
        <v>0.68855094182388932</v>
      </c>
      <c r="BV4">
        <v>-2.8194534019579818</v>
      </c>
      <c r="BW4">
        <v>-2.4156582781458651</v>
      </c>
      <c r="BZ4">
        <v>105.8431404363219</v>
      </c>
      <c r="CA4">
        <v>35.53721390310092</v>
      </c>
      <c r="CB4">
        <v>17.446876003598668</v>
      </c>
      <c r="CC4">
        <v>9.4910195621859206</v>
      </c>
      <c r="CD4">
        <v>5.3647707168403986</v>
      </c>
      <c r="CE4">
        <v>3.0133895637428338</v>
      </c>
      <c r="CF4">
        <v>1.5887433152198733</v>
      </c>
      <c r="CG4">
        <v>0.68855094182388932</v>
      </c>
      <c r="CH4">
        <v>0</v>
      </c>
      <c r="CI4">
        <v>0</v>
      </c>
    </row>
    <row r="5" spans="1:90">
      <c r="A5">
        <v>2003</v>
      </c>
      <c r="B5">
        <v>40.101001757580818</v>
      </c>
      <c r="C5">
        <v>18.785097384655415</v>
      </c>
      <c r="D5">
        <v>12.019516587857368</v>
      </c>
      <c r="E5">
        <v>8.5268352650520995</v>
      </c>
      <c r="F5">
        <v>6.42830179128282</v>
      </c>
      <c r="G5">
        <v>5.0502326002737874</v>
      </c>
      <c r="H5">
        <v>4.0890360974269413</v>
      </c>
      <c r="L5">
        <v>139.40989035048287</v>
      </c>
      <c r="M5">
        <v>103.69837566229094</v>
      </c>
      <c r="O5">
        <f t="shared" si="0"/>
        <v>103.69837566229093</v>
      </c>
      <c r="P5">
        <v>40.101001757580818</v>
      </c>
      <c r="Q5">
        <v>18.785097384655415</v>
      </c>
      <c r="R5">
        <v>12.019516587857364</v>
      </c>
      <c r="S5">
        <v>8.5268352650521049</v>
      </c>
      <c r="T5" s="10">
        <v>6.4283017912828102</v>
      </c>
      <c r="U5">
        <v>5.0502326002737901</v>
      </c>
      <c r="V5">
        <v>4.089036097426952</v>
      </c>
      <c r="W5">
        <v>3.3883152705727242</v>
      </c>
      <c r="X5">
        <v>2.8598066626601488</v>
      </c>
      <c r="Y5">
        <v>2.4502322449288148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0</v>
      </c>
      <c r="AJ5">
        <v>0</v>
      </c>
      <c r="AK5">
        <v>0</v>
      </c>
      <c r="AP5">
        <v>3.6914013154862975</v>
      </c>
      <c r="AQ5">
        <v>2.9330638631836639</v>
      </c>
      <c r="AR5">
        <v>2.4865317109819647</v>
      </c>
      <c r="AS5">
        <v>2.1432182803581075</v>
      </c>
      <c r="AT5">
        <v>1.8607103962571205</v>
      </c>
      <c r="AU5">
        <v>1.6194343016867205</v>
      </c>
      <c r="AV5">
        <v>1.4083092692787196</v>
      </c>
      <c r="AW5">
        <v>1.2203328275291443</v>
      </c>
      <c r="AX5">
        <v>1.0507540220782672</v>
      </c>
      <c r="AY5">
        <v>0.89618281391247845</v>
      </c>
      <c r="BB5">
        <v>148.02889064025214</v>
      </c>
      <c r="BC5">
        <v>55.097890305318757</v>
      </c>
      <c r="BD5">
        <v>29.886909146381086</v>
      </c>
      <c r="BE5">
        <v>18.274869213661827</v>
      </c>
      <c r="BF5">
        <v>11.961207973318214</v>
      </c>
      <c r="BG5">
        <v>8.1785199043798915</v>
      </c>
      <c r="BH5">
        <v>5.7586274384216427</v>
      </c>
      <c r="BI5">
        <v>0</v>
      </c>
      <c r="BJ5">
        <v>0</v>
      </c>
      <c r="BK5">
        <v>0</v>
      </c>
      <c r="BN5">
        <v>107.92788888267133</v>
      </c>
      <c r="BO5">
        <v>36.312792920663341</v>
      </c>
      <c r="BP5">
        <v>17.867392558523722</v>
      </c>
      <c r="BQ5">
        <v>9.7480339486097218</v>
      </c>
      <c r="BR5">
        <v>5.5329061820354033</v>
      </c>
      <c r="BS5">
        <v>3.1282873041061015</v>
      </c>
      <c r="BT5">
        <v>1.6695913409946908</v>
      </c>
      <c r="BU5">
        <v>-3.3883152705727242</v>
      </c>
      <c r="BV5">
        <v>-2.8598066626601488</v>
      </c>
      <c r="BW5">
        <v>-2.4502322449288148</v>
      </c>
      <c r="BZ5">
        <v>107.92788888267133</v>
      </c>
      <c r="CA5">
        <v>36.312792920663341</v>
      </c>
      <c r="CB5">
        <v>17.867392558523722</v>
      </c>
      <c r="CC5">
        <v>9.7480339486097218</v>
      </c>
      <c r="CD5">
        <v>5.5329061820354033</v>
      </c>
      <c r="CE5">
        <v>3.1282873041061015</v>
      </c>
      <c r="CF5">
        <v>1.6695913409946908</v>
      </c>
      <c r="CG5">
        <v>0</v>
      </c>
      <c r="CH5">
        <v>0</v>
      </c>
      <c r="CI5">
        <v>0</v>
      </c>
    </row>
    <row r="6" spans="1:90">
      <c r="A6">
        <v>2004</v>
      </c>
      <c r="B6">
        <v>40.581380798989059</v>
      </c>
      <c r="C6">
        <v>19.010128348444127</v>
      </c>
      <c r="D6">
        <v>12.163501117011279</v>
      </c>
      <c r="E6">
        <v>8.6289801684546035</v>
      </c>
      <c r="F6">
        <v>6.5053078838250116</v>
      </c>
      <c r="G6">
        <v>5.1107304878346582</v>
      </c>
      <c r="L6">
        <v>141.07991320662592</v>
      </c>
      <c r="M6">
        <v>104.94060214324976</v>
      </c>
      <c r="O6">
        <f t="shared" si="0"/>
        <v>104.94060214324975</v>
      </c>
      <c r="P6">
        <v>40.581380798989059</v>
      </c>
      <c r="Q6">
        <v>19.010128348444127</v>
      </c>
      <c r="R6">
        <v>12.163501117011274</v>
      </c>
      <c r="S6">
        <v>8.6289801684546088</v>
      </c>
      <c r="T6" s="10">
        <v>6.5053078838250133</v>
      </c>
      <c r="U6">
        <v>5.1107304878346547</v>
      </c>
      <c r="V6">
        <v>4.1380195929675416</v>
      </c>
      <c r="W6">
        <v>3.428904671593334</v>
      </c>
      <c r="X6">
        <v>2.8940649385886767</v>
      </c>
      <c r="Y6">
        <v>2.4795841355414714</v>
      </c>
      <c r="AB6">
        <v>1</v>
      </c>
      <c r="AC6">
        <v>1</v>
      </c>
      <c r="AD6">
        <v>1</v>
      </c>
      <c r="AE6">
        <v>1</v>
      </c>
      <c r="AF6">
        <v>1</v>
      </c>
      <c r="AG6">
        <v>1</v>
      </c>
      <c r="AH6">
        <v>0</v>
      </c>
      <c r="AI6">
        <v>0</v>
      </c>
      <c r="AJ6">
        <v>0</v>
      </c>
      <c r="AK6">
        <v>0</v>
      </c>
      <c r="AP6">
        <v>3.7033093604079608</v>
      </c>
      <c r="AQ6">
        <v>2.9449719081053272</v>
      </c>
      <c r="AR6">
        <v>2.498439755903628</v>
      </c>
      <c r="AS6">
        <v>2.1551263252797712</v>
      </c>
      <c r="AT6">
        <v>1.8726184411787838</v>
      </c>
      <c r="AU6">
        <v>1.6313423466083838</v>
      </c>
      <c r="AV6">
        <v>1.4202173142003829</v>
      </c>
      <c r="AW6">
        <v>1.2322408724508078</v>
      </c>
      <c r="AX6">
        <v>1.0626620669999307</v>
      </c>
      <c r="AY6">
        <v>0.90809085883414187</v>
      </c>
      <c r="BB6">
        <v>150.28540737117606</v>
      </c>
      <c r="BC6">
        <v>55.984293955644674</v>
      </c>
      <c r="BD6">
        <v>30.389774761719167</v>
      </c>
      <c r="BE6">
        <v>18.596542321353592</v>
      </c>
      <c r="BF6">
        <v>12.181959508796446</v>
      </c>
      <c r="BG6">
        <v>8.3373510669072015</v>
      </c>
      <c r="BH6">
        <v>0</v>
      </c>
      <c r="BI6">
        <v>0</v>
      </c>
      <c r="BJ6">
        <v>0</v>
      </c>
      <c r="BK6">
        <v>0</v>
      </c>
      <c r="BN6">
        <v>109.704026572187</v>
      </c>
      <c r="BO6">
        <v>36.974165607200547</v>
      </c>
      <c r="BP6">
        <v>18.226273644707895</v>
      </c>
      <c r="BQ6">
        <v>9.9675621528989833</v>
      </c>
      <c r="BR6">
        <v>5.6766516249714325</v>
      </c>
      <c r="BS6">
        <v>3.2266205790725468</v>
      </c>
      <c r="BT6">
        <v>-4.1380195929675416</v>
      </c>
      <c r="BU6">
        <v>-3.428904671593334</v>
      </c>
      <c r="BV6">
        <v>-2.8940649385886767</v>
      </c>
      <c r="BW6">
        <v>-2.4795841355414714</v>
      </c>
      <c r="BZ6">
        <v>109.704026572187</v>
      </c>
      <c r="CA6">
        <v>36.974165607200547</v>
      </c>
      <c r="CB6">
        <v>18.226273644707895</v>
      </c>
      <c r="CC6">
        <v>9.9675621528989833</v>
      </c>
      <c r="CD6">
        <v>5.6766516249714325</v>
      </c>
      <c r="CE6">
        <v>3.2266205790725468</v>
      </c>
      <c r="CF6">
        <v>0</v>
      </c>
      <c r="CG6">
        <v>0</v>
      </c>
      <c r="CH6">
        <v>0</v>
      </c>
      <c r="CI6">
        <v>0</v>
      </c>
    </row>
    <row r="7" spans="1:90">
      <c r="A7">
        <v>2005</v>
      </c>
      <c r="B7">
        <v>41.100112542196293</v>
      </c>
      <c r="C7">
        <v>19.253125427957677</v>
      </c>
      <c r="D7">
        <v>12.318981142917323</v>
      </c>
      <c r="E7">
        <v>8.7392801591585965</v>
      </c>
      <c r="F7">
        <v>6.5884620208266824</v>
      </c>
      <c r="L7">
        <v>142.88326804247274</v>
      </c>
      <c r="M7">
        <v>106.28200601889957</v>
      </c>
      <c r="O7">
        <f t="shared" si="0"/>
        <v>106.28200601889955</v>
      </c>
      <c r="P7">
        <v>41.100112542196293</v>
      </c>
      <c r="Q7">
        <v>19.253125427957681</v>
      </c>
      <c r="R7">
        <v>12.31898114291733</v>
      </c>
      <c r="S7">
        <v>8.7392801591585858</v>
      </c>
      <c r="T7" s="10">
        <v>6.5884620208266886</v>
      </c>
      <c r="U7">
        <v>5.176058430916445</v>
      </c>
      <c r="V7">
        <v>4.1909138532076771</v>
      </c>
      <c r="W7">
        <v>3.4727346661023266</v>
      </c>
      <c r="X7">
        <v>2.9310583410060342</v>
      </c>
      <c r="Y7">
        <v>2.5112794346105081</v>
      </c>
      <c r="AB7">
        <v>1</v>
      </c>
      <c r="AC7">
        <v>1</v>
      </c>
      <c r="AD7">
        <v>1</v>
      </c>
      <c r="AE7">
        <v>1</v>
      </c>
      <c r="AF7">
        <v>1</v>
      </c>
      <c r="AG7">
        <v>0</v>
      </c>
      <c r="AH7">
        <v>0</v>
      </c>
      <c r="AI7">
        <v>0</v>
      </c>
      <c r="AJ7">
        <v>0</v>
      </c>
      <c r="AK7">
        <v>0</v>
      </c>
      <c r="AP7">
        <v>3.7160108597513912</v>
      </c>
      <c r="AQ7">
        <v>2.9576734074487576</v>
      </c>
      <c r="AR7">
        <v>2.5111412552470584</v>
      </c>
      <c r="AS7">
        <v>2.1678278246232012</v>
      </c>
      <c r="AT7">
        <v>1.8853199405222141</v>
      </c>
      <c r="AU7">
        <v>1.6440438459518143</v>
      </c>
      <c r="AV7">
        <v>1.4329188135438133</v>
      </c>
      <c r="AW7">
        <v>1.2449423717942381</v>
      </c>
      <c r="AX7">
        <v>1.0753635663433607</v>
      </c>
      <c r="AY7">
        <v>0.9207923581775721</v>
      </c>
      <c r="BB7">
        <v>152.72846454380579</v>
      </c>
      <c r="BC7">
        <v>56.944457088545903</v>
      </c>
      <c r="BD7">
        <v>30.934701770590252</v>
      </c>
      <c r="BE7">
        <v>18.945254696201484</v>
      </c>
      <c r="BF7">
        <v>12.421358825237828</v>
      </c>
      <c r="BG7">
        <v>0</v>
      </c>
      <c r="BH7">
        <v>0</v>
      </c>
      <c r="BI7">
        <v>0</v>
      </c>
      <c r="BJ7">
        <v>0</v>
      </c>
      <c r="BK7">
        <v>0</v>
      </c>
      <c r="BN7">
        <v>111.6283520016095</v>
      </c>
      <c r="BO7">
        <v>37.691331660588219</v>
      </c>
      <c r="BP7">
        <v>18.615720627672921</v>
      </c>
      <c r="BQ7">
        <v>10.205974537042898</v>
      </c>
      <c r="BR7">
        <v>5.8328968044111393</v>
      </c>
      <c r="BS7">
        <v>-5.176058430916445</v>
      </c>
      <c r="BT7">
        <v>-4.1909138532076771</v>
      </c>
      <c r="BU7">
        <v>-3.4727346661023266</v>
      </c>
      <c r="BV7">
        <v>-2.9310583410060342</v>
      </c>
      <c r="BW7">
        <v>-2.5112794346105081</v>
      </c>
      <c r="BZ7">
        <v>111.6283520016095</v>
      </c>
      <c r="CA7">
        <v>37.691331660588219</v>
      </c>
      <c r="CB7">
        <v>18.615720627672921</v>
      </c>
      <c r="CC7">
        <v>10.205974537042898</v>
      </c>
      <c r="CD7">
        <v>5.8328968044111393</v>
      </c>
      <c r="CE7">
        <v>0</v>
      </c>
      <c r="CF7">
        <v>0</v>
      </c>
      <c r="CG7">
        <v>0</v>
      </c>
      <c r="CH7">
        <v>0</v>
      </c>
      <c r="CI7">
        <v>0</v>
      </c>
    </row>
    <row r="8" spans="1:90">
      <c r="A8">
        <v>2006</v>
      </c>
      <c r="B8">
        <v>39.882471957963752</v>
      </c>
      <c r="C8">
        <v>18.682728281956386</v>
      </c>
      <c r="D8">
        <v>11.954016414886205</v>
      </c>
      <c r="E8">
        <v>8.4803684058672815</v>
      </c>
      <c r="L8">
        <v>138.65017827178974</v>
      </c>
      <c r="M8">
        <v>103.13327294014232</v>
      </c>
      <c r="O8">
        <f t="shared" si="0"/>
        <v>103.13327294014232</v>
      </c>
      <c r="P8">
        <v>39.882471957963752</v>
      </c>
      <c r="Q8">
        <v>18.682728281956386</v>
      </c>
      <c r="R8">
        <v>11.954016414886201</v>
      </c>
      <c r="S8">
        <v>8.4803684058672886</v>
      </c>
      <c r="T8">
        <v>6.3932708583694824</v>
      </c>
      <c r="U8">
        <v>5.022711434472769</v>
      </c>
      <c r="V8">
        <v>4.0667529573597907</v>
      </c>
      <c r="W8">
        <v>3.3698506980018474</v>
      </c>
      <c r="X8">
        <v>2.8442221897157411</v>
      </c>
      <c r="Y8">
        <v>2.436879741549062</v>
      </c>
      <c r="AB8">
        <v>1</v>
      </c>
      <c r="AC8">
        <v>1</v>
      </c>
      <c r="AD8">
        <v>1</v>
      </c>
      <c r="AE8">
        <v>1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P8">
        <v>3.6859369280764582</v>
      </c>
      <c r="AQ8">
        <v>2.9275994757738246</v>
      </c>
      <c r="AR8">
        <v>2.4810673235721254</v>
      </c>
      <c r="AS8">
        <v>2.1377538929482682</v>
      </c>
      <c r="AT8">
        <v>1.8552460088472811</v>
      </c>
      <c r="AU8">
        <v>1.6139699142768811</v>
      </c>
      <c r="AV8">
        <v>1.4028448818688803</v>
      </c>
      <c r="AW8">
        <v>1.2148684401193051</v>
      </c>
      <c r="AX8">
        <v>1.0452896346684279</v>
      </c>
      <c r="AY8">
        <v>0.89071842650263922</v>
      </c>
      <c r="BB8">
        <v>147.00427617283239</v>
      </c>
      <c r="BC8">
        <v>54.695545524280327</v>
      </c>
      <c r="BD8">
        <v>29.658719512418969</v>
      </c>
      <c r="BE8">
        <v>18.128940573278282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N8">
        <v>107.12180421486863</v>
      </c>
      <c r="BO8">
        <v>36.012817242323941</v>
      </c>
      <c r="BP8">
        <v>17.704703097532768</v>
      </c>
      <c r="BQ8">
        <v>9.6485721674109932</v>
      </c>
      <c r="BR8">
        <v>-6.3932708583694824</v>
      </c>
      <c r="BS8">
        <v>-5.022711434472769</v>
      </c>
      <c r="BT8">
        <v>-4.0667529573597907</v>
      </c>
      <c r="BU8">
        <v>-3.3698506980018474</v>
      </c>
      <c r="BV8">
        <v>-2.8442221897157411</v>
      </c>
      <c r="BW8">
        <v>-2.436879741549062</v>
      </c>
      <c r="BZ8">
        <v>107.12180421486863</v>
      </c>
      <c r="CA8">
        <v>36.012817242323941</v>
      </c>
      <c r="CB8">
        <v>17.704703097532768</v>
      </c>
      <c r="CC8">
        <v>9.6485721674109932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</row>
    <row r="9" spans="1:90">
      <c r="A9">
        <v>2007</v>
      </c>
      <c r="B9">
        <v>40.719917095527585</v>
      </c>
      <c r="C9">
        <v>19.075024927275692</v>
      </c>
      <c r="D9">
        <v>12.205024750867885</v>
      </c>
      <c r="L9">
        <v>141.56153034992701</v>
      </c>
      <c r="M9">
        <v>105.29884728156725</v>
      </c>
      <c r="O9">
        <f t="shared" si="0"/>
        <v>105.29884728156722</v>
      </c>
      <c r="P9">
        <v>40.719917095527585</v>
      </c>
      <c r="Q9">
        <v>19.075024927275695</v>
      </c>
      <c r="R9">
        <v>12.205024750867885</v>
      </c>
      <c r="S9">
        <v>8.6584376913852186</v>
      </c>
      <c r="T9">
        <v>6.5275156363539866</v>
      </c>
      <c r="U9">
        <v>5.1281774465248517</v>
      </c>
      <c r="V9">
        <v>4.1521459213015408</v>
      </c>
      <c r="W9">
        <v>3.4406102307693298</v>
      </c>
      <c r="X9">
        <v>2.9039446674357556</v>
      </c>
      <c r="Y9">
        <v>2.4880489141254012</v>
      </c>
      <c r="AB9">
        <v>1</v>
      </c>
      <c r="AC9">
        <v>1</v>
      </c>
      <c r="AD9">
        <v>1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P9">
        <v>3.7067173362757444</v>
      </c>
      <c r="AQ9">
        <v>2.9483798839731108</v>
      </c>
      <c r="AR9">
        <v>2.5018477317714116</v>
      </c>
      <c r="AS9">
        <v>2.1585343011475548</v>
      </c>
      <c r="AT9">
        <v>1.8760264170465675</v>
      </c>
      <c r="AU9">
        <v>1.6347503224761675</v>
      </c>
      <c r="AV9">
        <v>1.4236252900681665</v>
      </c>
      <c r="AW9">
        <v>1.2356488483185915</v>
      </c>
      <c r="AX9">
        <v>1.0660700428677143</v>
      </c>
      <c r="AY9">
        <v>0.9114988347019255</v>
      </c>
      <c r="BB9">
        <v>150.93722262970314</v>
      </c>
      <c r="BC9">
        <v>56.240419781865299</v>
      </c>
      <c r="BD9">
        <v>30.535113489172758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N9">
        <v>110.21730553417555</v>
      </c>
      <c r="BO9">
        <v>37.165394854589607</v>
      </c>
      <c r="BP9">
        <v>18.330088738304873</v>
      </c>
      <c r="BQ9">
        <v>-8.6584376913852186</v>
      </c>
      <c r="BR9">
        <v>-6.5275156363539866</v>
      </c>
      <c r="BS9">
        <v>-5.1281774465248517</v>
      </c>
      <c r="BT9">
        <v>-4.1521459213015408</v>
      </c>
      <c r="BU9">
        <v>-3.4406102307693298</v>
      </c>
      <c r="BV9">
        <v>-2.9039446674357556</v>
      </c>
      <c r="BW9">
        <v>-2.4880489141254012</v>
      </c>
      <c r="BZ9">
        <v>110.21730553417555</v>
      </c>
      <c r="CA9">
        <v>37.165394854589607</v>
      </c>
      <c r="CB9">
        <v>18.330088738304873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</row>
    <row r="10" spans="1:90">
      <c r="A10">
        <v>2008</v>
      </c>
      <c r="B10">
        <v>42.902544638862423</v>
      </c>
      <c r="C10">
        <v>20.097464995078376</v>
      </c>
      <c r="L10">
        <v>149.14936739030048</v>
      </c>
      <c r="M10">
        <v>110.94296889947204</v>
      </c>
      <c r="O10">
        <f t="shared" si="0"/>
        <v>110.94296889947202</v>
      </c>
      <c r="P10">
        <v>42.902544638862423</v>
      </c>
      <c r="Q10">
        <v>20.097464995078372</v>
      </c>
      <c r="R10">
        <v>12.859226062865487</v>
      </c>
      <c r="S10">
        <v>9.122538454241182</v>
      </c>
      <c r="T10">
        <v>6.8773968844918878</v>
      </c>
      <c r="U10">
        <v>5.4030527935358865</v>
      </c>
      <c r="V10">
        <v>4.3747050200963065</v>
      </c>
      <c r="W10">
        <v>3.6250303178225423</v>
      </c>
      <c r="X10">
        <v>3.0595989532879675</v>
      </c>
      <c r="Y10">
        <v>2.6214107791899766</v>
      </c>
      <c r="AB10">
        <v>1</v>
      </c>
      <c r="AC10">
        <v>1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P10">
        <v>3.7589311397660699</v>
      </c>
      <c r="AQ10">
        <v>3.0005936874634362</v>
      </c>
      <c r="AR10">
        <v>2.5540615352617371</v>
      </c>
      <c r="AS10">
        <v>2.2107481046378803</v>
      </c>
      <c r="AT10">
        <v>1.9282402205368929</v>
      </c>
      <c r="AU10">
        <v>1.6869641259664931</v>
      </c>
      <c r="AV10">
        <v>1.4758390935584922</v>
      </c>
      <c r="AW10">
        <v>1.2878626518089169</v>
      </c>
      <c r="AX10">
        <v>1.1182838463580398</v>
      </c>
      <c r="AY10">
        <v>0.96371263819225095</v>
      </c>
      <c r="BB10">
        <v>161.26771101822382</v>
      </c>
      <c r="BC10">
        <v>60.304326598249553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N10">
        <v>118.3651663793614</v>
      </c>
      <c r="BO10">
        <v>40.206861603171177</v>
      </c>
      <c r="BP10">
        <v>-12.859226062865487</v>
      </c>
      <c r="BQ10">
        <v>-9.122538454241182</v>
      </c>
      <c r="BR10">
        <v>-6.8773968844918878</v>
      </c>
      <c r="BS10">
        <v>-5.4030527935358865</v>
      </c>
      <c r="BT10">
        <v>-4.3747050200963065</v>
      </c>
      <c r="BU10">
        <v>-3.6250303178225423</v>
      </c>
      <c r="BV10">
        <v>-3.0595989532879675</v>
      </c>
      <c r="BW10">
        <v>-2.6214107791899766</v>
      </c>
      <c r="BZ10">
        <v>118.3651663793614</v>
      </c>
      <c r="CA10">
        <v>40.206861603171177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</row>
    <row r="11" spans="1:90">
      <c r="A11">
        <v>2009</v>
      </c>
      <c r="B11">
        <v>42.000672985648187</v>
      </c>
      <c r="L11">
        <v>146.01403852632671</v>
      </c>
      <c r="M11">
        <v>108.61079211098316</v>
      </c>
      <c r="O11">
        <f t="shared" si="0"/>
        <v>108.61079211098316</v>
      </c>
      <c r="P11">
        <v>42.000672985648187</v>
      </c>
      <c r="Q11">
        <v>19.674988096957318</v>
      </c>
      <c r="R11">
        <v>12.588907097731962</v>
      </c>
      <c r="S11">
        <v>8.9307699028302618</v>
      </c>
      <c r="T11">
        <v>6.7328243573786892</v>
      </c>
      <c r="U11">
        <v>5.2894730467789524</v>
      </c>
      <c r="V11">
        <v>4.2827425856530823</v>
      </c>
      <c r="W11">
        <v>3.5488270969365501</v>
      </c>
      <c r="X11">
        <v>2.9952818926240443</v>
      </c>
      <c r="Y11">
        <v>2.5663050484441094</v>
      </c>
      <c r="AB11">
        <v>1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P11">
        <v>3.7376856416228077</v>
      </c>
      <c r="AQ11">
        <v>2.9793481893201741</v>
      </c>
      <c r="AR11">
        <v>2.5328160371184749</v>
      </c>
      <c r="AS11">
        <v>2.1895026064946181</v>
      </c>
      <c r="AT11">
        <v>1.906994722393631</v>
      </c>
      <c r="AU11">
        <v>1.665718627823231</v>
      </c>
      <c r="AV11">
        <v>1.45459359541523</v>
      </c>
      <c r="AW11">
        <v>1.2666171536656547</v>
      </c>
      <c r="AX11">
        <v>1.0970383482147776</v>
      </c>
      <c r="AY11">
        <v>0.94246714004898891</v>
      </c>
      <c r="BB11">
        <v>156.98531235695216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N11">
        <v>114.98463937130398</v>
      </c>
      <c r="BO11">
        <v>-19.674988096957318</v>
      </c>
      <c r="BP11">
        <v>-12.588907097731962</v>
      </c>
      <c r="BQ11">
        <v>-8.9307699028302618</v>
      </c>
      <c r="BR11">
        <v>-6.7328243573786892</v>
      </c>
      <c r="BS11">
        <v>-5.2894730467789524</v>
      </c>
      <c r="BT11">
        <v>-4.2827425856530823</v>
      </c>
      <c r="BU11">
        <v>-3.5488270969365501</v>
      </c>
      <c r="BV11">
        <v>-2.9952818926240443</v>
      </c>
      <c r="BW11">
        <v>-2.5663050484441094</v>
      </c>
      <c r="BZ11">
        <v>114.98463937130398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</row>
    <row r="13" spans="1:90">
      <c r="M13" t="s">
        <v>18</v>
      </c>
      <c r="AB13" t="s">
        <v>19</v>
      </c>
    </row>
    <row r="14" spans="1:90">
      <c r="A14" s="6"/>
      <c r="P14" t="s">
        <v>20</v>
      </c>
    </row>
    <row r="17" spans="1:48">
      <c r="Z17" s="5" t="s">
        <v>21</v>
      </c>
      <c r="AK17" cm="1">
        <f t="array" ref="AK17:AT26">(B2:K11*(LN((B23:K23-A23:J23)*M2:M11))-((B23:K23-A23:J23)*M2:M11))*AB2:AK11</f>
        <v>101.13566926195224</v>
      </c>
      <c r="AL17">
        <v>33.639141387620967</v>
      </c>
      <c r="AM17">
        <v>16.348116328279154</v>
      </c>
      <c r="AN17">
        <v>8.774653258961143</v>
      </c>
      <c r="AO17">
        <v>4.8638608812271862</v>
      </c>
      <c r="AP17">
        <v>2.6461320276580897</v>
      </c>
      <c r="AQ17">
        <v>1.3099966705298254</v>
      </c>
      <c r="AR17">
        <v>0.47130333648705847</v>
      </c>
      <c r="AS17">
        <v>-6.9874697525869278E-2</v>
      </c>
      <c r="AT17">
        <v>-0.42509349577607924</v>
      </c>
      <c r="AV17" cm="1">
        <f t="array" ref="AV17">SUM((B2:K11*(LN((B23:K23-A23:J23)*M2:M11))-((B23:K23-A23:J23)*M2:M11))*AB2:AK11)</f>
        <v>1655.2387121457227</v>
      </c>
    </row>
    <row r="18" spans="1:48">
      <c r="AK18">
        <v>103.09136577016966</v>
      </c>
      <c r="AL18">
        <v>34.363479437898363</v>
      </c>
      <c r="AM18">
        <v>16.739317673871827</v>
      </c>
      <c r="AN18">
        <v>9.0127641452229561</v>
      </c>
      <c r="AO18">
        <v>5.0189196342631472</v>
      </c>
      <c r="AP18">
        <v>2.7515444003112752</v>
      </c>
      <c r="AQ18">
        <v>1.3837229579172079</v>
      </c>
      <c r="AR18">
        <v>0.52382006936172942</v>
      </c>
      <c r="AS18">
        <v>-3.2078938181711258E-2</v>
      </c>
      <c r="AT18">
        <v>0</v>
      </c>
    </row>
    <row r="19" spans="1:48">
      <c r="O19" cm="1">
        <f t="array" ref="O19:Y28">M2:M11*_xlfn.ANCHORARRAY(A24)</f>
        <v>0</v>
      </c>
      <c r="P19">
        <v>38.670621364211755</v>
      </c>
      <c r="Q19">
        <v>56.785664789891946</v>
      </c>
      <c r="R19">
        <v>68.376451916850115</v>
      </c>
      <c r="S19">
        <v>76.599139718096964</v>
      </c>
      <c r="T19">
        <v>82.798147565540276</v>
      </c>
      <c r="U19">
        <v>87.668241182327961</v>
      </c>
      <c r="V19">
        <v>91.611423640065425</v>
      </c>
      <c r="W19">
        <v>94.878879592487479</v>
      </c>
      <c r="X19">
        <v>97.636678544621489</v>
      </c>
      <c r="Y19">
        <v>99.999512370340383</v>
      </c>
      <c r="AK19">
        <v>104.27082700979682</v>
      </c>
      <c r="AL19">
        <v>34.800672182397108</v>
      </c>
      <c r="AM19">
        <v>16.975604801306162</v>
      </c>
      <c r="AN19">
        <v>9.1566923138529148</v>
      </c>
      <c r="AO19">
        <v>5.1127245141721973</v>
      </c>
      <c r="AP19">
        <v>2.8153758439737535</v>
      </c>
      <c r="AQ19">
        <v>1.4284169873042676</v>
      </c>
      <c r="AR19">
        <v>0.55569905883534387</v>
      </c>
      <c r="AS19">
        <v>0</v>
      </c>
      <c r="AT19">
        <v>0</v>
      </c>
    </row>
    <row r="20" spans="1:48">
      <c r="O20">
        <v>0</v>
      </c>
      <c r="P20">
        <v>39.210532126747047</v>
      </c>
      <c r="Q20">
        <v>57.578493828997019</v>
      </c>
      <c r="R20">
        <v>69.331108992209394</v>
      </c>
      <c r="S20">
        <v>77.668600163152533</v>
      </c>
      <c r="T20">
        <v>83.954157203130237</v>
      </c>
      <c r="U20">
        <v>88.892246002449212</v>
      </c>
      <c r="V20">
        <v>92.890482311727396</v>
      </c>
      <c r="W20">
        <v>96.203557769928977</v>
      </c>
      <c r="X20">
        <v>98.99986050820965</v>
      </c>
      <c r="Y20">
        <v>101.395683703315</v>
      </c>
      <c r="Z20" t="s">
        <v>37</v>
      </c>
      <c r="AK20">
        <v>106.33307181286489</v>
      </c>
      <c r="AL20">
        <v>35.565709489976683</v>
      </c>
      <c r="AM20">
        <v>17.389376314914223</v>
      </c>
      <c r="AN20">
        <v>9.4089216612324655</v>
      </c>
      <c r="AO20">
        <v>5.2772525829412809</v>
      </c>
      <c r="AP20">
        <v>2.9274395246391727</v>
      </c>
      <c r="AQ20">
        <v>1.5069703519567215</v>
      </c>
      <c r="AR20">
        <v>0</v>
      </c>
      <c r="AS20">
        <v>0</v>
      </c>
      <c r="AT20">
        <v>0</v>
      </c>
    </row>
    <row r="21" spans="1:48">
      <c r="A21" s="5" t="s">
        <v>42</v>
      </c>
      <c r="O21">
        <v>0</v>
      </c>
      <c r="P21">
        <v>39.535157150156728</v>
      </c>
      <c r="Q21">
        <v>58.055187688868969</v>
      </c>
      <c r="R21">
        <v>69.905103061120855</v>
      </c>
      <c r="S21">
        <v>78.311620540041559</v>
      </c>
      <c r="T21">
        <v>84.649215871533642</v>
      </c>
      <c r="U21">
        <v>89.628187237477732</v>
      </c>
      <c r="V21">
        <v>93.659525049977077</v>
      </c>
      <c r="W21">
        <v>97.000029546751776</v>
      </c>
      <c r="X21">
        <v>99.819482948709748</v>
      </c>
      <c r="Y21">
        <v>102.23514122685562</v>
      </c>
      <c r="AK21">
        <v>108.09010482514964</v>
      </c>
      <c r="AL21">
        <v>36.218132693793869</v>
      </c>
      <c r="AM21">
        <v>17.742531135548454</v>
      </c>
      <c r="AN21">
        <v>9.6243875621277866</v>
      </c>
      <c r="AO21">
        <v>5.4179354931354187</v>
      </c>
      <c r="AP21">
        <v>3.0233667982704735</v>
      </c>
      <c r="AQ21">
        <v>0</v>
      </c>
      <c r="AR21">
        <v>0</v>
      </c>
      <c r="AS21">
        <v>0</v>
      </c>
      <c r="AT21">
        <v>0</v>
      </c>
    </row>
    <row r="22" spans="1:48">
      <c r="O22">
        <v>0</v>
      </c>
      <c r="P22">
        <v>40.101001757580818</v>
      </c>
      <c r="Q22">
        <v>58.886099142236233</v>
      </c>
      <c r="R22">
        <v>70.905615730093601</v>
      </c>
      <c r="S22">
        <v>79.4324509951457</v>
      </c>
      <c r="T22">
        <v>85.86075278642852</v>
      </c>
      <c r="U22">
        <v>90.910985386702308</v>
      </c>
      <c r="V22">
        <v>95.000021484129249</v>
      </c>
      <c r="W22">
        <v>98.388336754701982</v>
      </c>
      <c r="X22">
        <v>101.24814341736213</v>
      </c>
      <c r="Y22">
        <v>103.69837566229094</v>
      </c>
      <c r="AK22">
        <v>109.99380029017077</v>
      </c>
      <c r="AL22">
        <v>36.92563475193613</v>
      </c>
      <c r="AM22">
        <v>18.125794676991795</v>
      </c>
      <c r="AN22">
        <v>9.858413315009031</v>
      </c>
      <c r="AO22">
        <v>5.5708736320698291</v>
      </c>
      <c r="AP22">
        <v>0</v>
      </c>
      <c r="AQ22">
        <v>0</v>
      </c>
      <c r="AR22">
        <v>0</v>
      </c>
      <c r="AS22">
        <v>0</v>
      </c>
      <c r="AT22">
        <v>0</v>
      </c>
    </row>
    <row r="23" spans="1:48">
      <c r="A23" s="7" cm="1">
        <f t="array" ref="A23:K23">_xlfn.ANCHORARRAY(A26)</f>
        <v>0</v>
      </c>
      <c r="B23" s="7">
        <v>0.2876481837606002</v>
      </c>
      <c r="C23" s="8">
        <v>0.42239541968072619</v>
      </c>
      <c r="D23" s="8">
        <v>0.5086125206169636</v>
      </c>
      <c r="E23" s="8">
        <v>0.56977629632624249</v>
      </c>
      <c r="F23" s="8">
        <v>0.61588709789937168</v>
      </c>
      <c r="G23" s="8">
        <v>0.65211288207850904</v>
      </c>
      <c r="H23" s="8">
        <v>0.68144391510024749</v>
      </c>
      <c r="I23" s="8">
        <v>0.70574861300980285</v>
      </c>
      <c r="J23" s="8">
        <v>0.72626226993522225</v>
      </c>
      <c r="K23" s="8">
        <v>0.74383801179090281</v>
      </c>
      <c r="O23">
        <v>0</v>
      </c>
      <c r="P23">
        <v>40.581380798989059</v>
      </c>
      <c r="Q23">
        <v>59.591509147433186</v>
      </c>
      <c r="R23">
        <v>71.755010264444465</v>
      </c>
      <c r="S23">
        <v>80.383990432899068</v>
      </c>
      <c r="T23">
        <v>86.88929831672408</v>
      </c>
      <c r="U23">
        <v>92.000028804558738</v>
      </c>
      <c r="V23">
        <v>96.138048397526276</v>
      </c>
      <c r="W23">
        <v>99.56695306911962</v>
      </c>
      <c r="X23">
        <v>102.46101800770829</v>
      </c>
      <c r="Y23">
        <v>104.94060214324976</v>
      </c>
      <c r="AK23">
        <v>105.53567807644585</v>
      </c>
      <c r="AL23">
        <v>35.269805031438523</v>
      </c>
      <c r="AM23">
        <v>17.229291796177858</v>
      </c>
      <c r="AN23">
        <v>9.3113078672899192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</row>
    <row r="24" spans="1:48">
      <c r="A24" cm="1">
        <f t="array" ref="A24:K24">_xlfn.ANCHORARRAY(A23)/K23</f>
        <v>0</v>
      </c>
      <c r="B24">
        <v>0.3867080993455061</v>
      </c>
      <c r="C24">
        <v>0.56785941694986142</v>
      </c>
      <c r="D24">
        <v>0.68376785342335733</v>
      </c>
      <c r="E24">
        <v>0.76599513240042638</v>
      </c>
      <c r="F24">
        <v>0.82798551315834223</v>
      </c>
      <c r="G24">
        <v>0.87668668680758643</v>
      </c>
      <c r="H24">
        <v>0.91611870366717063</v>
      </c>
      <c r="I24">
        <v>0.94879342252301146</v>
      </c>
      <c r="J24">
        <v>0.97637154652346381</v>
      </c>
      <c r="K24">
        <v>1</v>
      </c>
      <c r="O24">
        <v>0</v>
      </c>
      <c r="P24">
        <v>41.100112542196293</v>
      </c>
      <c r="Q24">
        <v>60.35323797015397</v>
      </c>
      <c r="R24">
        <v>72.672219113071293</v>
      </c>
      <c r="S24">
        <v>81.411499272229889</v>
      </c>
      <c r="T24">
        <v>87.999961293056572</v>
      </c>
      <c r="U24">
        <v>93.176019723973013</v>
      </c>
      <c r="V24">
        <v>97.366933577180703</v>
      </c>
      <c r="W24">
        <v>100.83966824328303</v>
      </c>
      <c r="X24">
        <v>103.77072658428905</v>
      </c>
      <c r="Y24">
        <v>106.28200601889957</v>
      </c>
      <c r="AK24">
        <v>108.59787419783061</v>
      </c>
      <c r="AL24">
        <v>36.406781003870734</v>
      </c>
      <c r="AM24">
        <v>17.844694833988889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</row>
    <row r="25" spans="1:48">
      <c r="O25">
        <v>0</v>
      </c>
      <c r="P25">
        <v>39.882471957963752</v>
      </c>
      <c r="Q25">
        <v>58.565200239920138</v>
      </c>
      <c r="R25">
        <v>70.519216654806343</v>
      </c>
      <c r="S25">
        <v>78.999585060673624</v>
      </c>
      <c r="T25">
        <v>85.392855919043114</v>
      </c>
      <c r="U25">
        <v>90.415567353515883</v>
      </c>
      <c r="V25">
        <v>94.482320310875664</v>
      </c>
      <c r="W25">
        <v>97.852171008877519</v>
      </c>
      <c r="X25">
        <v>100.69639319859326</v>
      </c>
      <c r="Y25">
        <v>103.13327294014232</v>
      </c>
      <c r="AK25">
        <v>116.65893193310455</v>
      </c>
      <c r="AL25">
        <v>39.407585305093932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</row>
    <row r="26" spans="1:48">
      <c r="A26" s="11" cm="1">
        <f t="array" ref="A26:K26">(A1:K1)^B34/((A1:K1)^B34 +( B35 ^ B34))</f>
        <v>0</v>
      </c>
      <c r="B26" s="7">
        <v>0.2876481837606002</v>
      </c>
      <c r="C26" s="8">
        <v>0.42239541968072619</v>
      </c>
      <c r="D26" s="8">
        <v>0.5086125206169636</v>
      </c>
      <c r="E26" s="8">
        <v>0.56977629632624249</v>
      </c>
      <c r="F26" s="8">
        <v>0.61588709789937168</v>
      </c>
      <c r="G26" s="8">
        <v>0.65211288207850904</v>
      </c>
      <c r="H26" s="8">
        <v>0.68144391510024749</v>
      </c>
      <c r="I26" s="8">
        <v>0.70574861300980285</v>
      </c>
      <c r="J26" s="8">
        <v>0.72626226993522225</v>
      </c>
      <c r="K26" s="8">
        <v>0.74383801179090281</v>
      </c>
      <c r="O26">
        <v>0</v>
      </c>
      <c r="P26">
        <v>40.719917095527585</v>
      </c>
      <c r="Q26">
        <v>59.794942022803276</v>
      </c>
      <c r="R26">
        <v>71.999966773671161</v>
      </c>
      <c r="S26">
        <v>80.658404465056378</v>
      </c>
      <c r="T26">
        <v>87.185920101410375</v>
      </c>
      <c r="U26">
        <v>92.314097547935219</v>
      </c>
      <c r="V26">
        <v>96.466243469236758</v>
      </c>
      <c r="W26">
        <v>99.906853700006096</v>
      </c>
      <c r="X26">
        <v>102.81079836744185</v>
      </c>
      <c r="Y26">
        <v>105.29884728156725</v>
      </c>
      <c r="AK26">
        <v>113.3142723658661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</row>
    <row r="27" spans="1:48">
      <c r="O27">
        <v>0</v>
      </c>
      <c r="P27">
        <v>42.902544638862423</v>
      </c>
      <c r="Q27">
        <v>63.000009633940799</v>
      </c>
      <c r="R27">
        <v>75.85923569680628</v>
      </c>
      <c r="S27">
        <v>84.981774151047475</v>
      </c>
      <c r="T27">
        <v>91.859171035539362</v>
      </c>
      <c r="U27">
        <v>97.262223829075239</v>
      </c>
      <c r="V27">
        <v>101.63692884917155</v>
      </c>
      <c r="W27">
        <v>105.26195916699409</v>
      </c>
      <c r="X27">
        <v>108.32155812028206</v>
      </c>
      <c r="Y27">
        <v>110.94296889947204</v>
      </c>
    </row>
    <row r="28" spans="1:48">
      <c r="O28">
        <v>0</v>
      </c>
      <c r="P28">
        <v>42.000672985648187</v>
      </c>
      <c r="Q28">
        <v>61.675661082605501</v>
      </c>
      <c r="R28">
        <v>74.264568180337463</v>
      </c>
      <c r="S28">
        <v>83.195338083167726</v>
      </c>
      <c r="T28">
        <v>89.928162440546416</v>
      </c>
      <c r="U28">
        <v>95.217635487325367</v>
      </c>
      <c r="V28">
        <v>99.500378072978449</v>
      </c>
      <c r="W28">
        <v>103.049205169915</v>
      </c>
      <c r="X28">
        <v>106.04448706253905</v>
      </c>
      <c r="Y28">
        <v>108.61079211098316</v>
      </c>
    </row>
    <row r="31" spans="1:48">
      <c r="O31" cm="1">
        <f t="array" ref="O31:X40">P19:Y28-O19:X28</f>
        <v>38.670621364211755</v>
      </c>
      <c r="P31">
        <v>18.115043425680192</v>
      </c>
      <c r="Q31">
        <v>11.590787126958169</v>
      </c>
      <c r="R31">
        <v>8.2226878012468489</v>
      </c>
      <c r="S31">
        <v>6.1990078474433119</v>
      </c>
      <c r="T31">
        <v>4.8700936167876847</v>
      </c>
      <c r="U31">
        <v>3.9431824577374641</v>
      </c>
      <c r="V31">
        <v>3.2674559524220541</v>
      </c>
      <c r="W31">
        <v>2.7577989521340101</v>
      </c>
      <c r="X31">
        <v>2.3628338257188943</v>
      </c>
      <c r="Z31" cm="1">
        <f t="array" ref="Z31:AI40">_xlfn.ANCHORARRAY(O31)*AB2:AK11</f>
        <v>38.670621364211755</v>
      </c>
      <c r="AA31">
        <v>18.115043425680192</v>
      </c>
      <c r="AB31">
        <v>11.590787126958169</v>
      </c>
      <c r="AC31">
        <v>8.2226878012468489</v>
      </c>
      <c r="AD31">
        <v>6.1990078474433119</v>
      </c>
      <c r="AE31">
        <v>4.8700936167876847</v>
      </c>
      <c r="AF31">
        <v>3.9431824577374641</v>
      </c>
      <c r="AG31">
        <v>3.2674559524220541</v>
      </c>
      <c r="AH31">
        <v>2.7577989521340101</v>
      </c>
      <c r="AI31">
        <v>2.3628338257188943</v>
      </c>
    </row>
    <row r="32" spans="1:48">
      <c r="O32">
        <v>39.210532126747047</v>
      </c>
      <c r="P32">
        <v>18.367961702249971</v>
      </c>
      <c r="Q32">
        <v>11.752615163212376</v>
      </c>
      <c r="R32">
        <v>8.3374911709431387</v>
      </c>
      <c r="S32">
        <v>6.2855570399777037</v>
      </c>
      <c r="T32">
        <v>4.9380887993189759</v>
      </c>
      <c r="U32">
        <v>3.9982363092781839</v>
      </c>
      <c r="V32">
        <v>3.3130754582015811</v>
      </c>
      <c r="W32">
        <v>2.7963027382806729</v>
      </c>
      <c r="X32">
        <v>2.3958231951053506</v>
      </c>
      <c r="Z32">
        <v>39.210532126747047</v>
      </c>
      <c r="AA32">
        <v>18.367961702249971</v>
      </c>
      <c r="AB32">
        <v>11.752615163212376</v>
      </c>
      <c r="AC32">
        <v>8.3374911709431387</v>
      </c>
      <c r="AD32">
        <v>6.2855570399777037</v>
      </c>
      <c r="AE32">
        <v>4.9380887993189759</v>
      </c>
      <c r="AF32">
        <v>3.9982363092781839</v>
      </c>
      <c r="AG32">
        <v>3.3130754582015811</v>
      </c>
      <c r="AH32">
        <v>2.7963027382806729</v>
      </c>
      <c r="AI32">
        <v>0</v>
      </c>
    </row>
    <row r="33" spans="1:35">
      <c r="O33">
        <v>39.535157150156728</v>
      </c>
      <c r="P33">
        <v>18.520030538712241</v>
      </c>
      <c r="Q33">
        <v>11.849915372251886</v>
      </c>
      <c r="R33">
        <v>8.4065174789207049</v>
      </c>
      <c r="S33">
        <v>6.3375953314920821</v>
      </c>
      <c r="T33">
        <v>4.9789713659440906</v>
      </c>
      <c r="U33">
        <v>4.0313378124993449</v>
      </c>
      <c r="V33">
        <v>3.3405044967746989</v>
      </c>
      <c r="W33">
        <v>2.819453401957972</v>
      </c>
      <c r="X33">
        <v>2.4156582781458695</v>
      </c>
      <c r="Z33">
        <v>39.535157150156728</v>
      </c>
      <c r="AA33">
        <v>18.520030538712241</v>
      </c>
      <c r="AB33">
        <v>11.849915372251886</v>
      </c>
      <c r="AC33">
        <v>8.4065174789207049</v>
      </c>
      <c r="AD33">
        <v>6.3375953314920821</v>
      </c>
      <c r="AE33">
        <v>4.9789713659440906</v>
      </c>
      <c r="AF33">
        <v>4.0313378124993449</v>
      </c>
      <c r="AG33">
        <v>3.3405044967746989</v>
      </c>
      <c r="AH33">
        <v>0</v>
      </c>
      <c r="AI33">
        <v>0</v>
      </c>
    </row>
    <row r="34" spans="1:35">
      <c r="A34" t="s">
        <v>22</v>
      </c>
      <c r="B34">
        <v>0.85679658237556244</v>
      </c>
      <c r="O34">
        <v>40.101001757580818</v>
      </c>
      <c r="P34">
        <v>18.785097384655415</v>
      </c>
      <c r="Q34">
        <v>12.019516587857368</v>
      </c>
      <c r="R34">
        <v>8.5268352650520995</v>
      </c>
      <c r="S34">
        <v>6.42830179128282</v>
      </c>
      <c r="T34">
        <v>5.0502326002737874</v>
      </c>
      <c r="U34">
        <v>4.0890360974269413</v>
      </c>
      <c r="V34">
        <v>3.3883152705727326</v>
      </c>
      <c r="W34">
        <v>2.8598066626601479</v>
      </c>
      <c r="X34">
        <v>2.450232244928813</v>
      </c>
      <c r="Z34">
        <v>40.101001757580818</v>
      </c>
      <c r="AA34">
        <v>18.785097384655415</v>
      </c>
      <c r="AB34">
        <v>12.019516587857368</v>
      </c>
      <c r="AC34">
        <v>8.5268352650520995</v>
      </c>
      <c r="AD34">
        <v>6.42830179128282</v>
      </c>
      <c r="AE34">
        <v>5.0502326002737874</v>
      </c>
      <c r="AF34">
        <v>4.0890360974269413</v>
      </c>
      <c r="AG34">
        <v>0</v>
      </c>
      <c r="AH34">
        <v>0</v>
      </c>
      <c r="AI34">
        <v>0</v>
      </c>
    </row>
    <row r="35" spans="1:35">
      <c r="A35" t="s">
        <v>23</v>
      </c>
      <c r="B35">
        <v>2.8817573670925585</v>
      </c>
      <c r="O35">
        <v>40.581380798989059</v>
      </c>
      <c r="P35">
        <v>19.010128348444127</v>
      </c>
      <c r="Q35">
        <v>12.163501117011279</v>
      </c>
      <c r="R35">
        <v>8.6289801684546035</v>
      </c>
      <c r="S35">
        <v>6.5053078838250116</v>
      </c>
      <c r="T35">
        <v>5.1107304878346582</v>
      </c>
      <c r="U35">
        <v>4.1380195929675381</v>
      </c>
      <c r="V35">
        <v>3.4289046715933438</v>
      </c>
      <c r="W35">
        <v>2.8940649385886701</v>
      </c>
      <c r="X35">
        <v>2.4795841355414723</v>
      </c>
      <c r="Z35">
        <v>40.581380798989059</v>
      </c>
      <c r="AA35">
        <v>19.010128348444127</v>
      </c>
      <c r="AB35">
        <v>12.163501117011279</v>
      </c>
      <c r="AC35">
        <v>8.6289801684546035</v>
      </c>
      <c r="AD35">
        <v>6.5053078838250116</v>
      </c>
      <c r="AE35">
        <v>5.1107304878346582</v>
      </c>
      <c r="AF35">
        <v>0</v>
      </c>
      <c r="AG35">
        <v>0</v>
      </c>
      <c r="AH35">
        <v>0</v>
      </c>
      <c r="AI35">
        <v>0</v>
      </c>
    </row>
    <row r="36" spans="1:35">
      <c r="A36" t="s">
        <v>24</v>
      </c>
      <c r="B36" s="4" cm="1">
        <f t="array" ref="B36">SUM((B2:K11*(LN((B24:K24-A24:J24)*M2:M11))-((B24:K24-A24:J24)*M2:M11))*AB2:AK11)</f>
        <v>1688.1284929063781</v>
      </c>
      <c r="O36">
        <v>41.100112542196293</v>
      </c>
      <c r="P36">
        <v>19.253125427957677</v>
      </c>
      <c r="Q36">
        <v>12.318981142917323</v>
      </c>
      <c r="R36">
        <v>8.7392801591585965</v>
      </c>
      <c r="S36">
        <v>6.5884620208266824</v>
      </c>
      <c r="T36">
        <v>5.1760584309164415</v>
      </c>
      <c r="U36">
        <v>4.1909138532076895</v>
      </c>
      <c r="V36">
        <v>3.4727346661023262</v>
      </c>
      <c r="W36">
        <v>2.9310583410060218</v>
      </c>
      <c r="X36">
        <v>2.5112794346105147</v>
      </c>
      <c r="Z36">
        <v>41.100112542196293</v>
      </c>
      <c r="AA36">
        <v>19.253125427957677</v>
      </c>
      <c r="AB36">
        <v>12.318981142917323</v>
      </c>
      <c r="AC36">
        <v>8.7392801591585965</v>
      </c>
      <c r="AD36">
        <v>6.5884620208266824</v>
      </c>
      <c r="AE36">
        <v>0</v>
      </c>
      <c r="AF36">
        <v>0</v>
      </c>
      <c r="AG36">
        <v>0</v>
      </c>
      <c r="AH36">
        <v>0</v>
      </c>
      <c r="AI36">
        <v>0</v>
      </c>
    </row>
    <row r="37" spans="1:35">
      <c r="A37" s="5" t="s">
        <v>25</v>
      </c>
      <c r="O37">
        <v>39.882471957963752</v>
      </c>
      <c r="P37">
        <v>18.682728281956386</v>
      </c>
      <c r="Q37">
        <v>11.954016414886205</v>
      </c>
      <c r="R37">
        <v>8.4803684058672815</v>
      </c>
      <c r="S37">
        <v>6.3932708583694904</v>
      </c>
      <c r="T37">
        <v>5.0227114344727681</v>
      </c>
      <c r="U37">
        <v>4.0667529573597818</v>
      </c>
      <c r="V37">
        <v>3.369850698001855</v>
      </c>
      <c r="W37">
        <v>2.8442221897157367</v>
      </c>
      <c r="X37">
        <v>2.4368797415490633</v>
      </c>
      <c r="Z37">
        <v>39.882471957963752</v>
      </c>
      <c r="AA37">
        <v>18.682728281956386</v>
      </c>
      <c r="AB37">
        <v>11.954016414886205</v>
      </c>
      <c r="AC37">
        <v>8.4803684058672815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</row>
    <row r="38" spans="1:35">
      <c r="O38">
        <v>40.719917095527585</v>
      </c>
      <c r="P38">
        <v>19.075024927275692</v>
      </c>
      <c r="Q38">
        <v>12.205024750867885</v>
      </c>
      <c r="R38">
        <v>8.6584376913852168</v>
      </c>
      <c r="S38">
        <v>6.5275156363539963</v>
      </c>
      <c r="T38">
        <v>5.1281774465248446</v>
      </c>
      <c r="U38">
        <v>4.152145921301539</v>
      </c>
      <c r="V38">
        <v>3.4406102307693374</v>
      </c>
      <c r="W38">
        <v>2.9039446674357521</v>
      </c>
      <c r="X38">
        <v>2.4880489141254003</v>
      </c>
      <c r="Z38">
        <v>40.719917095527585</v>
      </c>
      <c r="AA38">
        <v>19.075024927275692</v>
      </c>
      <c r="AB38">
        <v>12.205024750867885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</row>
    <row r="39" spans="1:35">
      <c r="G39" s="9"/>
      <c r="O39">
        <v>42.902544638862423</v>
      </c>
      <c r="P39">
        <v>20.097464995078376</v>
      </c>
      <c r="Q39">
        <v>12.859226062865481</v>
      </c>
      <c r="R39">
        <v>9.1225384542411945</v>
      </c>
      <c r="S39">
        <v>6.8773968844918869</v>
      </c>
      <c r="T39">
        <v>5.4030527935358776</v>
      </c>
      <c r="U39">
        <v>4.3747050200963145</v>
      </c>
      <c r="V39">
        <v>3.6250303178225352</v>
      </c>
      <c r="W39">
        <v>3.0595989532879742</v>
      </c>
      <c r="X39">
        <v>2.6214107791899721</v>
      </c>
      <c r="Z39">
        <v>42.902544638862423</v>
      </c>
      <c r="AA39">
        <v>20.097464995078376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</row>
    <row r="40" spans="1:35">
      <c r="G40" s="9"/>
      <c r="O40">
        <v>42.000672985648187</v>
      </c>
      <c r="P40">
        <v>19.674988096957314</v>
      </c>
      <c r="Q40">
        <v>12.588907097731962</v>
      </c>
      <c r="R40">
        <v>8.9307699028302636</v>
      </c>
      <c r="S40">
        <v>6.7328243573786892</v>
      </c>
      <c r="T40">
        <v>5.2894730467789515</v>
      </c>
      <c r="U40">
        <v>4.2827425856530823</v>
      </c>
      <c r="V40">
        <v>3.5488270969365487</v>
      </c>
      <c r="W40">
        <v>2.9952818926240496</v>
      </c>
      <c r="X40">
        <v>2.5663050484441072</v>
      </c>
      <c r="Z40">
        <v>42.000672985648187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</row>
    <row r="41" spans="1:35">
      <c r="G41" s="9"/>
    </row>
    <row r="42" spans="1:35">
      <c r="G42" s="9"/>
    </row>
    <row r="43" spans="1:35">
      <c r="G43" s="9"/>
      <c r="Z43">
        <v>38.670621364211755</v>
      </c>
      <c r="AA43">
        <v>18.115043425680192</v>
      </c>
      <c r="AB43">
        <v>11.590787126958169</v>
      </c>
      <c r="AC43">
        <v>8.2226878012468489</v>
      </c>
      <c r="AD43">
        <v>6.1990078474433119</v>
      </c>
      <c r="AE43">
        <v>4.8700936167876847</v>
      </c>
      <c r="AF43">
        <v>3.9431824577374641</v>
      </c>
      <c r="AG43">
        <v>3.2674559524220541</v>
      </c>
      <c r="AH43">
        <v>2.7577989521340101</v>
      </c>
      <c r="AI43">
        <v>2.3628338257188943</v>
      </c>
    </row>
    <row r="44" spans="1:35">
      <c r="G44" s="9"/>
      <c r="Z44">
        <v>39.210532126747047</v>
      </c>
      <c r="AA44">
        <v>18.367961702249971</v>
      </c>
      <c r="AB44">
        <v>11.752615163212376</v>
      </c>
      <c r="AC44">
        <v>8.3374911709431387</v>
      </c>
      <c r="AD44">
        <v>6.2855570399777037</v>
      </c>
      <c r="AE44">
        <v>4.9380887993189759</v>
      </c>
      <c r="AF44">
        <v>3.9982363092781839</v>
      </c>
      <c r="AG44">
        <v>3.3130754582015811</v>
      </c>
      <c r="AH44">
        <v>2.7963027382806729</v>
      </c>
      <c r="AI44">
        <v>0</v>
      </c>
    </row>
    <row r="45" spans="1:35">
      <c r="G45" s="9"/>
      <c r="Z45">
        <v>39.535157150156728</v>
      </c>
      <c r="AA45">
        <v>18.520030538712241</v>
      </c>
      <c r="AB45">
        <v>11.849915372251886</v>
      </c>
      <c r="AC45">
        <v>8.4065174789207049</v>
      </c>
      <c r="AD45">
        <v>6.3375953314920821</v>
      </c>
      <c r="AE45">
        <v>4.9789713659440906</v>
      </c>
      <c r="AF45">
        <v>4.0313378124993449</v>
      </c>
      <c r="AG45">
        <v>3.3405044967746989</v>
      </c>
      <c r="AH45">
        <v>0</v>
      </c>
      <c r="AI45">
        <v>0</v>
      </c>
    </row>
    <row r="46" spans="1:35">
      <c r="G46" s="9"/>
      <c r="Z46">
        <v>40.101001757580818</v>
      </c>
      <c r="AA46">
        <v>18.785097384655415</v>
      </c>
      <c r="AB46">
        <v>12.019516587857368</v>
      </c>
      <c r="AC46">
        <v>8.5268352650520995</v>
      </c>
      <c r="AD46">
        <v>6.42830179128282</v>
      </c>
      <c r="AE46">
        <v>5.0502326002737874</v>
      </c>
      <c r="AF46">
        <v>4.0890360974269413</v>
      </c>
      <c r="AG46">
        <v>0</v>
      </c>
      <c r="AH46">
        <v>0</v>
      </c>
      <c r="AI46">
        <v>0</v>
      </c>
    </row>
    <row r="47" spans="1:35">
      <c r="G47" s="9"/>
      <c r="Z47">
        <v>40.581380798989059</v>
      </c>
      <c r="AA47">
        <v>19.010128348444127</v>
      </c>
      <c r="AB47">
        <v>12.163501117011279</v>
      </c>
      <c r="AC47">
        <v>8.6289801684546035</v>
      </c>
      <c r="AD47">
        <v>6.5053078838250116</v>
      </c>
      <c r="AE47">
        <v>5.1107304878346582</v>
      </c>
      <c r="AF47">
        <v>0</v>
      </c>
      <c r="AG47">
        <v>0</v>
      </c>
      <c r="AH47">
        <v>0</v>
      </c>
      <c r="AI47">
        <v>0</v>
      </c>
    </row>
    <row r="48" spans="1:35">
      <c r="G48" s="9"/>
      <c r="Z48">
        <v>41.100112542196293</v>
      </c>
      <c r="AA48">
        <v>19.253125427957677</v>
      </c>
      <c r="AB48">
        <v>12.318981142917323</v>
      </c>
      <c r="AC48">
        <v>8.7392801591585965</v>
      </c>
      <c r="AD48">
        <v>6.5884620208266824</v>
      </c>
      <c r="AE48">
        <v>0</v>
      </c>
      <c r="AF48">
        <v>0</v>
      </c>
      <c r="AG48">
        <v>0</v>
      </c>
      <c r="AH48">
        <v>0</v>
      </c>
      <c r="AI48">
        <v>0</v>
      </c>
    </row>
    <row r="49" spans="26:35">
      <c r="Z49">
        <v>39.882471957963752</v>
      </c>
      <c r="AA49">
        <v>18.682728281956386</v>
      </c>
      <c r="AB49">
        <v>11.954016414886205</v>
      </c>
      <c r="AC49">
        <v>8.4803684058672815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</row>
    <row r="50" spans="26:35">
      <c r="Z50">
        <v>40.719917095527585</v>
      </c>
      <c r="AA50">
        <v>19.075024927275692</v>
      </c>
      <c r="AB50">
        <v>12.205024750867885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</row>
    <row r="51" spans="26:35">
      <c r="Z51">
        <v>42.902544638862423</v>
      </c>
      <c r="AA51">
        <v>20.097464995078376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</row>
    <row r="52" spans="26:35">
      <c r="Z52">
        <v>42.000672985648187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1068D-0DB8-4E8A-AA7C-D48D02C72C29}">
  <dimension ref="A1:CL52"/>
  <sheetViews>
    <sheetView workbookViewId="0">
      <selection activeCell="BR30" sqref="BR30"/>
    </sheetView>
  </sheetViews>
  <sheetFormatPr defaultRowHeight="15"/>
  <cols>
    <col min="1" max="1" width="17.85546875" customWidth="1"/>
    <col min="2" max="2" width="11.28515625" bestFit="1" customWidth="1"/>
    <col min="3" max="3" width="12.140625" bestFit="1" customWidth="1"/>
    <col min="4" max="4" width="12" bestFit="1" customWidth="1"/>
    <col min="5" max="11" width="9.28515625" bestFit="1" customWidth="1"/>
    <col min="13" max="13" width="9.28515625" bestFit="1" customWidth="1"/>
  </cols>
  <sheetData>
    <row r="1" spans="1:90" ht="18" customHeight="1">
      <c r="A1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N1" t="s">
        <v>13</v>
      </c>
      <c r="P1" s="4" cm="1">
        <f t="array" ref="P1:Y1">B24:K24-A24:J24</f>
        <v>0.3867080993455061</v>
      </c>
      <c r="Q1">
        <v>0.18115131760435532</v>
      </c>
      <c r="R1">
        <v>0.11590843647349591</v>
      </c>
      <c r="S1">
        <v>8.2227278977069052E-2</v>
      </c>
      <c r="T1" s="10">
        <v>6.1990380757915853E-2</v>
      </c>
      <c r="U1">
        <v>4.87011736492442E-2</v>
      </c>
      <c r="V1">
        <v>3.9432016859584196E-2</v>
      </c>
      <c r="W1">
        <v>3.2674718855840834E-2</v>
      </c>
      <c r="X1">
        <v>2.7578124000452342E-2</v>
      </c>
      <c r="Y1">
        <v>2.3628453476536193E-2</v>
      </c>
      <c r="AN1" s="5" t="s">
        <v>14</v>
      </c>
      <c r="BA1" s="5" t="s">
        <v>15</v>
      </c>
      <c r="BM1" t="s">
        <v>16</v>
      </c>
      <c r="BY1" t="s">
        <v>17</v>
      </c>
    </row>
    <row r="2" spans="1:90">
      <c r="A2">
        <v>2000</v>
      </c>
      <c r="B2">
        <v>28.764678110274083</v>
      </c>
      <c r="C2">
        <v>13.474657885263817</v>
      </c>
      <c r="D2">
        <v>8.6216680516081539</v>
      </c>
      <c r="E2">
        <v>6.1163477456567605</v>
      </c>
      <c r="F2">
        <v>4.6110576723184451</v>
      </c>
      <c r="G2">
        <v>3.6225607531469279</v>
      </c>
      <c r="H2">
        <v>2.9330889994921989</v>
      </c>
      <c r="I2">
        <v>2.4304579392639596</v>
      </c>
      <c r="J2">
        <v>2.0513556894743914</v>
      </c>
      <c r="K2">
        <v>1.7575656151150412</v>
      </c>
      <c r="M2">
        <v>99.999512370340398</v>
      </c>
      <c r="O2">
        <f>SUM(P2:Y2)</f>
        <v>99.999512370340398</v>
      </c>
      <c r="P2" cm="1">
        <f t="array" ref="P2:Y11">_xlfn.ANCHORARRAY(P1)*M2:M11</f>
        <v>38.670621364211762</v>
      </c>
      <c r="Q2">
        <v>18.115043425680192</v>
      </c>
      <c r="R2">
        <v>11.590787126958169</v>
      </c>
      <c r="S2">
        <v>8.2226878012468472</v>
      </c>
      <c r="T2" s="10">
        <v>6.1990078474433172</v>
      </c>
      <c r="U2">
        <v>4.8700936167876909</v>
      </c>
      <c r="V2">
        <v>3.943182457737461</v>
      </c>
      <c r="W2">
        <v>3.2674559524220501</v>
      </c>
      <c r="X2">
        <v>2.7577989521340154</v>
      </c>
      <c r="Y2">
        <v>2.3628338257188934</v>
      </c>
      <c r="AB2">
        <v>1</v>
      </c>
      <c r="AC2">
        <v>1</v>
      </c>
      <c r="AD2">
        <v>1</v>
      </c>
      <c r="AE2">
        <v>1</v>
      </c>
      <c r="AF2">
        <v>1</v>
      </c>
      <c r="AG2">
        <v>1</v>
      </c>
      <c r="AH2">
        <v>1</v>
      </c>
      <c r="AI2">
        <v>1</v>
      </c>
      <c r="AJ2">
        <v>1</v>
      </c>
      <c r="AK2">
        <v>1</v>
      </c>
      <c r="AP2" s="4" cm="1">
        <f t="array" ref="AP2:AY11">LN(P2:Y11)</f>
        <v>3.6550801738690031</v>
      </c>
      <c r="AQ2">
        <v>2.8967427215663695</v>
      </c>
      <c r="AR2">
        <v>2.4502105693646703</v>
      </c>
      <c r="AS2">
        <v>2.1068971387408131</v>
      </c>
      <c r="AT2">
        <v>1.8243892546398259</v>
      </c>
      <c r="AU2">
        <v>1.5831131600694259</v>
      </c>
      <c r="AV2">
        <v>1.371988127661425</v>
      </c>
      <c r="AW2">
        <v>1.1840116859118499</v>
      </c>
      <c r="AX2">
        <v>1.0144328804609728</v>
      </c>
      <c r="AY2">
        <v>0.85986167229518395</v>
      </c>
      <c r="BB2" cm="1">
        <f t="array" ref="BB2:BK11">_xlfn.ANCHORARRAY(AP2)*B2:K11</f>
        <v>105.13720466858651</v>
      </c>
      <c r="BC2">
        <v>39.032617154734851</v>
      </c>
      <c r="BD2">
        <v>21.124902185604004</v>
      </c>
      <c r="BE2">
        <v>12.88651556486805</v>
      </c>
      <c r="BF2">
        <v>8.4123640699022992</v>
      </c>
      <c r="BG2">
        <v>5.734923601457913</v>
      </c>
      <c r="BH2">
        <v>4.0241632846776243</v>
      </c>
      <c r="BI2">
        <v>2.8776906022057611</v>
      </c>
      <c r="BJ2">
        <v>2.0809626609235119</v>
      </c>
      <c r="BK2">
        <v>1.511263308981333</v>
      </c>
      <c r="BN2" cm="1">
        <f t="array" ref="BN2:BW11">_xlfn.ANCHORARRAY(BB2)-_xlfn.ANCHORARRAY(P2)</f>
        <v>66.466583304374751</v>
      </c>
      <c r="BO2">
        <v>20.917573729054659</v>
      </c>
      <c r="BP2">
        <v>9.5341150586458348</v>
      </c>
      <c r="BQ2">
        <v>4.6638277636212031</v>
      </c>
      <c r="BR2">
        <v>2.213356222458982</v>
      </c>
      <c r="BS2">
        <v>0.8648299846702221</v>
      </c>
      <c r="BT2">
        <v>8.0980826940163286E-2</v>
      </c>
      <c r="BU2">
        <v>-0.389765350216289</v>
      </c>
      <c r="BV2">
        <v>-0.67683629121050348</v>
      </c>
      <c r="BW2">
        <v>-0.85157051673756046</v>
      </c>
      <c r="BZ2" cm="1">
        <f t="array" ref="BZ2:CI11">_xlfn.ANCHORARRAY(BN2)*AB2:AK11</f>
        <v>66.466583304374751</v>
      </c>
      <c r="CA2">
        <v>20.917573729054659</v>
      </c>
      <c r="CB2">
        <v>9.5341150586458348</v>
      </c>
      <c r="CC2">
        <v>4.6638277636212031</v>
      </c>
      <c r="CD2">
        <v>2.213356222458982</v>
      </c>
      <c r="CE2">
        <v>0.8648299846702221</v>
      </c>
      <c r="CF2">
        <v>8.0980826940163286E-2</v>
      </c>
      <c r="CG2">
        <v>-0.389765350216289</v>
      </c>
      <c r="CH2">
        <v>-0.67683629121050348</v>
      </c>
      <c r="CI2">
        <v>-0.85157051673756046</v>
      </c>
      <c r="CL2">
        <f>SUM(_xlfn.ANCHORARRAY(BZ2))</f>
        <v>1043.8482676130643</v>
      </c>
    </row>
    <row r="3" spans="1:90">
      <c r="A3">
        <v>2001</v>
      </c>
      <c r="B3">
        <v>29.166284258422849</v>
      </c>
      <c r="C3">
        <v>13.662788113253058</v>
      </c>
      <c r="D3">
        <v>8.7420418963475157</v>
      </c>
      <c r="E3">
        <v>6.2017428559185461</v>
      </c>
      <c r="F3">
        <v>4.6754362516153236</v>
      </c>
      <c r="G3">
        <v>3.67313815453236</v>
      </c>
      <c r="H3">
        <v>2.9740401469636879</v>
      </c>
      <c r="I3">
        <v>2.4643914617418972</v>
      </c>
      <c r="J3">
        <v>2.079996269208138</v>
      </c>
      <c r="M3">
        <v>101.395683703315</v>
      </c>
      <c r="O3">
        <f t="shared" ref="O3:O11" si="0">SUM(P3:Y3)</f>
        <v>101.395683703315</v>
      </c>
      <c r="P3">
        <v>39.210532126747047</v>
      </c>
      <c r="Q3">
        <v>18.367961702249971</v>
      </c>
      <c r="R3">
        <v>11.752615163212372</v>
      </c>
      <c r="S3">
        <v>8.337491170943137</v>
      </c>
      <c r="T3" s="10">
        <v>6.2855570399777001</v>
      </c>
      <c r="U3">
        <v>4.9380887993189839</v>
      </c>
      <c r="V3">
        <v>3.9982363092781834</v>
      </c>
      <c r="W3">
        <v>3.3130754582015798</v>
      </c>
      <c r="X3">
        <v>2.7963027382806658</v>
      </c>
      <c r="Y3">
        <v>2.3958231951053577</v>
      </c>
      <c r="AB3">
        <v>1</v>
      </c>
      <c r="AC3">
        <v>1</v>
      </c>
      <c r="AD3">
        <v>1</v>
      </c>
      <c r="AE3">
        <v>1</v>
      </c>
      <c r="AF3">
        <v>1</v>
      </c>
      <c r="AG3">
        <v>1</v>
      </c>
      <c r="AH3">
        <v>1</v>
      </c>
      <c r="AI3">
        <v>1</v>
      </c>
      <c r="AJ3">
        <v>1</v>
      </c>
      <c r="AK3" s="70">
        <v>0</v>
      </c>
      <c r="AP3">
        <v>3.6689453874120259</v>
      </c>
      <c r="AQ3">
        <v>2.9106079351093928</v>
      </c>
      <c r="AR3">
        <v>2.4640757829076936</v>
      </c>
      <c r="AS3">
        <v>2.1207623522838364</v>
      </c>
      <c r="AT3">
        <v>1.8382544681828492</v>
      </c>
      <c r="AU3">
        <v>1.5969783736124492</v>
      </c>
      <c r="AV3">
        <v>1.3858533412044483</v>
      </c>
      <c r="AW3">
        <v>1.1978768994548732</v>
      </c>
      <c r="AX3">
        <v>1.0282980940039961</v>
      </c>
      <c r="AY3">
        <v>0.87372688583820735</v>
      </c>
      <c r="BB3">
        <v>107.0095040978885</v>
      </c>
      <c r="BC3">
        <v>39.767019498152635</v>
      </c>
      <c r="BD3">
        <v>21.541053729954363</v>
      </c>
      <c r="BE3">
        <v>13.152422767377294</v>
      </c>
      <c r="BF3">
        <v>8.5946415802359404</v>
      </c>
      <c r="BG3">
        <v>5.8659221960789214</v>
      </c>
      <c r="BH3">
        <v>4.1215834745457949</v>
      </c>
      <c r="BI3">
        <v>2.9520376032344466</v>
      </c>
      <c r="BJ3">
        <v>2.1388561991621509</v>
      </c>
      <c r="BK3">
        <v>0</v>
      </c>
      <c r="BN3">
        <v>67.798971971141441</v>
      </c>
      <c r="BO3">
        <v>21.399057795902664</v>
      </c>
      <c r="BP3">
        <v>9.7884385667419913</v>
      </c>
      <c r="BQ3">
        <v>4.8149315964341568</v>
      </c>
      <c r="BR3">
        <v>2.3090845402582403</v>
      </c>
      <c r="BS3">
        <v>0.92783339675993748</v>
      </c>
      <c r="BT3">
        <v>0.12334716526761147</v>
      </c>
      <c r="BU3">
        <v>-0.36103785496713314</v>
      </c>
      <c r="BV3">
        <v>-0.65744653911851492</v>
      </c>
      <c r="BW3">
        <v>-2.3958231951053577</v>
      </c>
      <c r="BZ3">
        <v>67.798971971141441</v>
      </c>
      <c r="CA3">
        <v>21.399057795902664</v>
      </c>
      <c r="CB3">
        <v>9.7884385667419913</v>
      </c>
      <c r="CC3">
        <v>4.8149315964341568</v>
      </c>
      <c r="CD3">
        <v>2.3090845402582403</v>
      </c>
      <c r="CE3">
        <v>0.92783339675993748</v>
      </c>
      <c r="CF3">
        <v>0.12334716526761147</v>
      </c>
      <c r="CG3">
        <v>-0.36103785496713314</v>
      </c>
      <c r="CH3">
        <v>-0.65744653911851492</v>
      </c>
      <c r="CI3">
        <v>0</v>
      </c>
    </row>
    <row r="4" spans="1:90">
      <c r="A4">
        <v>2002</v>
      </c>
      <c r="B4">
        <v>29.407752690413478</v>
      </c>
      <c r="C4">
        <v>13.775902694222513</v>
      </c>
      <c r="D4">
        <v>8.8144174903862975</v>
      </c>
      <c r="E4">
        <v>6.2530872476058477</v>
      </c>
      <c r="F4">
        <v>4.7141443109123813</v>
      </c>
      <c r="G4">
        <v>3.7035481616076922</v>
      </c>
      <c r="H4">
        <v>2.9986623033070003</v>
      </c>
      <c r="I4">
        <v>2.4847942232594562</v>
      </c>
      <c r="M4">
        <v>102.23514122685562</v>
      </c>
      <c r="O4">
        <f t="shared" si="0"/>
        <v>102.23514122685562</v>
      </c>
      <c r="P4">
        <v>39.535157150156728</v>
      </c>
      <c r="Q4">
        <v>18.520030538712241</v>
      </c>
      <c r="R4">
        <v>11.849915372251877</v>
      </c>
      <c r="S4">
        <v>8.4065174789207102</v>
      </c>
      <c r="T4" s="10">
        <v>6.3375953314920803</v>
      </c>
      <c r="U4">
        <v>4.9789713659441004</v>
      </c>
      <c r="V4">
        <v>4.0313378124993422</v>
      </c>
      <c r="W4">
        <v>3.34050449677469</v>
      </c>
      <c r="X4">
        <v>2.8194534019579818</v>
      </c>
      <c r="Y4">
        <v>2.4156582781458651</v>
      </c>
      <c r="AB4">
        <v>1</v>
      </c>
      <c r="AC4">
        <v>1</v>
      </c>
      <c r="AD4">
        <v>1</v>
      </c>
      <c r="AE4">
        <v>1</v>
      </c>
      <c r="AF4">
        <v>1</v>
      </c>
      <c r="AG4">
        <v>1</v>
      </c>
      <c r="AH4">
        <v>1</v>
      </c>
      <c r="AI4">
        <v>1</v>
      </c>
      <c r="AJ4" s="70">
        <v>0</v>
      </c>
      <c r="AK4" s="70">
        <v>0</v>
      </c>
      <c r="AP4">
        <v>3.6771903304778517</v>
      </c>
      <c r="AQ4">
        <v>2.9188528781752181</v>
      </c>
      <c r="AR4">
        <v>2.4723207259735189</v>
      </c>
      <c r="AS4">
        <v>2.1290072953496622</v>
      </c>
      <c r="AT4">
        <v>1.8464994112486748</v>
      </c>
      <c r="AU4">
        <v>1.605223316678275</v>
      </c>
      <c r="AV4">
        <v>1.3940982842702738</v>
      </c>
      <c r="AW4">
        <v>1.2061218425206988</v>
      </c>
      <c r="AX4">
        <v>1.0365430370698216</v>
      </c>
      <c r="AY4">
        <v>0.8819718289040327</v>
      </c>
      <c r="BB4">
        <v>108.13790383427246</v>
      </c>
      <c r="BC4">
        <v>40.209833228493125</v>
      </c>
      <c r="BD4">
        <v>21.792067048865533</v>
      </c>
      <c r="BE4">
        <v>13.312868368610788</v>
      </c>
      <c r="BF4">
        <v>8.7046646946410018</v>
      </c>
      <c r="BG4">
        <v>5.9450218634536274</v>
      </c>
      <c r="BH4">
        <v>4.1804299721462366</v>
      </c>
      <c r="BI4">
        <v>2.9969645868424837</v>
      </c>
      <c r="BJ4">
        <v>0</v>
      </c>
      <c r="BK4">
        <v>0</v>
      </c>
      <c r="BN4">
        <v>68.602746684115743</v>
      </c>
      <c r="BO4">
        <v>21.689802689780883</v>
      </c>
      <c r="BP4">
        <v>9.9421516766136566</v>
      </c>
      <c r="BQ4">
        <v>4.9063508896900778</v>
      </c>
      <c r="BR4">
        <v>2.3670693631489215</v>
      </c>
      <c r="BS4">
        <v>0.96605049750952698</v>
      </c>
      <c r="BT4">
        <v>0.14909215964689437</v>
      </c>
      <c r="BU4">
        <v>-0.34353990993220629</v>
      </c>
      <c r="BV4">
        <v>-2.8194534019579818</v>
      </c>
      <c r="BW4">
        <v>-2.4156582781458651</v>
      </c>
      <c r="BZ4">
        <v>68.602746684115743</v>
      </c>
      <c r="CA4">
        <v>21.689802689780883</v>
      </c>
      <c r="CB4">
        <v>9.9421516766136566</v>
      </c>
      <c r="CC4">
        <v>4.9063508896900778</v>
      </c>
      <c r="CD4">
        <v>2.3670693631489215</v>
      </c>
      <c r="CE4">
        <v>0.96605049750952698</v>
      </c>
      <c r="CF4">
        <v>0.14909215964689437</v>
      </c>
      <c r="CG4">
        <v>-0.34353990993220629</v>
      </c>
      <c r="CH4">
        <v>0</v>
      </c>
      <c r="CI4">
        <v>0</v>
      </c>
    </row>
    <row r="5" spans="1:90">
      <c r="A5">
        <v>2003</v>
      </c>
      <c r="B5">
        <v>29.828649418182415</v>
      </c>
      <c r="C5">
        <v>13.973069489900567</v>
      </c>
      <c r="D5">
        <v>8.9405733213996044</v>
      </c>
      <c r="E5">
        <v>6.3425841904249083</v>
      </c>
      <c r="F5">
        <v>4.7816152236197098</v>
      </c>
      <c r="G5">
        <v>3.7565549764692534</v>
      </c>
      <c r="H5">
        <v>3.0415804808512945</v>
      </c>
      <c r="M5">
        <v>103.69837566229094</v>
      </c>
      <c r="O5">
        <f t="shared" si="0"/>
        <v>103.69837566229093</v>
      </c>
      <c r="P5">
        <v>40.101001757580818</v>
      </c>
      <c r="Q5">
        <v>18.785097384655415</v>
      </c>
      <c r="R5">
        <v>12.019516587857364</v>
      </c>
      <c r="S5">
        <v>8.5268352650521049</v>
      </c>
      <c r="T5" s="10">
        <v>6.4283017912828102</v>
      </c>
      <c r="U5">
        <v>5.0502326002737901</v>
      </c>
      <c r="V5">
        <v>4.089036097426952</v>
      </c>
      <c r="W5">
        <v>3.3883152705727242</v>
      </c>
      <c r="X5">
        <v>2.8598066626601488</v>
      </c>
      <c r="Y5">
        <v>2.4502322449288148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 s="70">
        <v>0</v>
      </c>
      <c r="AJ5" s="70">
        <v>0</v>
      </c>
      <c r="AK5" s="70">
        <v>0</v>
      </c>
      <c r="AP5">
        <v>3.6914013154862975</v>
      </c>
      <c r="AQ5">
        <v>2.9330638631836639</v>
      </c>
      <c r="AR5">
        <v>2.4865317109819647</v>
      </c>
      <c r="AS5">
        <v>2.1432182803581075</v>
      </c>
      <c r="AT5">
        <v>1.8607103962571205</v>
      </c>
      <c r="AU5">
        <v>1.6194343016867205</v>
      </c>
      <c r="AV5">
        <v>1.4083092692787196</v>
      </c>
      <c r="AW5">
        <v>1.2203328275291443</v>
      </c>
      <c r="AX5">
        <v>1.0507540220782672</v>
      </c>
      <c r="AY5">
        <v>0.89618281391247845</v>
      </c>
      <c r="BB5">
        <v>110.10951570145815</v>
      </c>
      <c r="BC5">
        <v>40.983905178581544</v>
      </c>
      <c r="BD5">
        <v>22.231019078019465</v>
      </c>
      <c r="BE5">
        <v>13.593542381628991</v>
      </c>
      <c r="BF5">
        <v>8.8972011574905103</v>
      </c>
      <c r="BG5">
        <v>6.0834939850662604</v>
      </c>
      <c r="BH5">
        <v>4.2834859844401034</v>
      </c>
      <c r="BI5">
        <v>0</v>
      </c>
      <c r="BJ5">
        <v>0</v>
      </c>
      <c r="BK5">
        <v>0</v>
      </c>
      <c r="BN5">
        <v>70.008513943877333</v>
      </c>
      <c r="BO5">
        <v>22.198807793926129</v>
      </c>
      <c r="BP5">
        <v>10.211502490162101</v>
      </c>
      <c r="BQ5">
        <v>5.066707116576886</v>
      </c>
      <c r="BR5">
        <v>2.4688993662077001</v>
      </c>
      <c r="BS5">
        <v>1.0332613847924703</v>
      </c>
      <c r="BT5">
        <v>0.19444988701315147</v>
      </c>
      <c r="BU5">
        <v>-3.3883152705727242</v>
      </c>
      <c r="BV5">
        <v>-2.8598066626601488</v>
      </c>
      <c r="BW5">
        <v>-2.4502322449288148</v>
      </c>
      <c r="BZ5">
        <v>70.008513943877333</v>
      </c>
      <c r="CA5">
        <v>22.198807793926129</v>
      </c>
      <c r="CB5">
        <v>10.211502490162101</v>
      </c>
      <c r="CC5">
        <v>5.066707116576886</v>
      </c>
      <c r="CD5">
        <v>2.4688993662077001</v>
      </c>
      <c r="CE5">
        <v>1.0332613847924703</v>
      </c>
      <c r="CF5">
        <v>0.19444988701315147</v>
      </c>
      <c r="CG5">
        <v>0</v>
      </c>
      <c r="CH5">
        <v>0</v>
      </c>
      <c r="CI5">
        <v>0</v>
      </c>
    </row>
    <row r="6" spans="1:90">
      <c r="A6">
        <v>2004</v>
      </c>
      <c r="B6">
        <v>30.185973609249544</v>
      </c>
      <c r="C6">
        <v>14.140456074596557</v>
      </c>
      <c r="D6">
        <v>9.0476744872940955</v>
      </c>
      <c r="E6">
        <v>6.4185634522863992</v>
      </c>
      <c r="F6">
        <v>4.8388952823920874</v>
      </c>
      <c r="G6">
        <v>3.8015556048700887</v>
      </c>
      <c r="M6">
        <v>104.94060214324976</v>
      </c>
      <c r="O6">
        <f t="shared" si="0"/>
        <v>104.94060214324975</v>
      </c>
      <c r="P6">
        <v>40.581380798989059</v>
      </c>
      <c r="Q6">
        <v>19.010128348444127</v>
      </c>
      <c r="R6">
        <v>12.163501117011274</v>
      </c>
      <c r="S6">
        <v>8.6289801684546088</v>
      </c>
      <c r="T6" s="10">
        <v>6.5053078838250133</v>
      </c>
      <c r="U6">
        <v>5.1107304878346547</v>
      </c>
      <c r="V6">
        <v>4.1380195929675416</v>
      </c>
      <c r="W6">
        <v>3.428904671593334</v>
      </c>
      <c r="X6">
        <v>2.8940649385886767</v>
      </c>
      <c r="Y6">
        <v>2.4795841355414714</v>
      </c>
      <c r="AB6">
        <v>1</v>
      </c>
      <c r="AC6">
        <v>1</v>
      </c>
      <c r="AD6">
        <v>1</v>
      </c>
      <c r="AE6">
        <v>1</v>
      </c>
      <c r="AF6">
        <v>1</v>
      </c>
      <c r="AG6">
        <v>1</v>
      </c>
      <c r="AH6" s="71">
        <v>0</v>
      </c>
      <c r="AI6" s="71">
        <v>0</v>
      </c>
      <c r="AJ6" s="71">
        <v>0</v>
      </c>
      <c r="AK6" s="71">
        <v>0</v>
      </c>
      <c r="AP6">
        <v>3.7033093604079608</v>
      </c>
      <c r="AQ6">
        <v>2.9449719081053272</v>
      </c>
      <c r="AR6">
        <v>2.498439755903628</v>
      </c>
      <c r="AS6">
        <v>2.1551263252797712</v>
      </c>
      <c r="AT6">
        <v>1.8726184411787838</v>
      </c>
      <c r="AU6">
        <v>1.6313423466083838</v>
      </c>
      <c r="AV6">
        <v>1.4202173142003829</v>
      </c>
      <c r="AW6">
        <v>1.2322408724508078</v>
      </c>
      <c r="AX6">
        <v>1.0626620669999307</v>
      </c>
      <c r="AY6">
        <v>0.90809085883414187</v>
      </c>
      <c r="BB6">
        <v>111.78799862016152</v>
      </c>
      <c r="BC6">
        <v>41.643245907484186</v>
      </c>
      <c r="BD6">
        <v>22.605069637530544</v>
      </c>
      <c r="BE6">
        <v>13.832815066501031</v>
      </c>
      <c r="BF6">
        <v>9.0614045407404422</v>
      </c>
      <c r="BG6">
        <v>6.2016386412110247</v>
      </c>
      <c r="BH6">
        <v>0</v>
      </c>
      <c r="BI6">
        <v>0</v>
      </c>
      <c r="BJ6">
        <v>0</v>
      </c>
      <c r="BK6">
        <v>0</v>
      </c>
      <c r="BN6">
        <v>71.206617821172458</v>
      </c>
      <c r="BO6">
        <v>22.633117559040059</v>
      </c>
      <c r="BP6">
        <v>10.441568520519271</v>
      </c>
      <c r="BQ6">
        <v>5.2038348980464217</v>
      </c>
      <c r="BR6">
        <v>2.5560966569154289</v>
      </c>
      <c r="BS6">
        <v>1.09090815337637</v>
      </c>
      <c r="BT6">
        <v>-4.1380195929675416</v>
      </c>
      <c r="BU6">
        <v>-3.428904671593334</v>
      </c>
      <c r="BV6">
        <v>-2.8940649385886767</v>
      </c>
      <c r="BW6">
        <v>-2.4795841355414714</v>
      </c>
      <c r="BZ6">
        <v>71.206617821172458</v>
      </c>
      <c r="CA6">
        <v>22.633117559040059</v>
      </c>
      <c r="CB6">
        <v>10.441568520519271</v>
      </c>
      <c r="CC6">
        <v>5.2038348980464217</v>
      </c>
      <c r="CD6">
        <v>2.5560966569154289</v>
      </c>
      <c r="CE6">
        <v>1.09090815337637</v>
      </c>
      <c r="CF6">
        <v>0</v>
      </c>
      <c r="CG6">
        <v>0</v>
      </c>
      <c r="CH6">
        <v>0</v>
      </c>
      <c r="CI6">
        <v>0</v>
      </c>
    </row>
    <row r="7" spans="1:90">
      <c r="A7">
        <v>2005</v>
      </c>
      <c r="B7">
        <v>30.57182599776964</v>
      </c>
      <c r="C7">
        <v>14.321206539092909</v>
      </c>
      <c r="D7">
        <v>9.1633264406372561</v>
      </c>
      <c r="E7">
        <v>6.5006087780722055</v>
      </c>
      <c r="F7">
        <v>4.9007484903316012</v>
      </c>
      <c r="M7">
        <v>106.28200601889957</v>
      </c>
      <c r="O7">
        <f t="shared" si="0"/>
        <v>106.28200601889955</v>
      </c>
      <c r="P7">
        <v>41.100112542196293</v>
      </c>
      <c r="Q7">
        <v>19.253125427957681</v>
      </c>
      <c r="R7">
        <v>12.31898114291733</v>
      </c>
      <c r="S7">
        <v>8.7392801591585858</v>
      </c>
      <c r="T7" s="10">
        <v>6.5884620208266886</v>
      </c>
      <c r="U7">
        <v>5.176058430916445</v>
      </c>
      <c r="V7">
        <v>4.1909138532076771</v>
      </c>
      <c r="W7">
        <v>3.4727346661023266</v>
      </c>
      <c r="X7">
        <v>2.9310583410060342</v>
      </c>
      <c r="Y7">
        <v>2.5112794346105081</v>
      </c>
      <c r="AB7">
        <v>1</v>
      </c>
      <c r="AC7">
        <v>1</v>
      </c>
      <c r="AD7">
        <v>1</v>
      </c>
      <c r="AE7">
        <v>1</v>
      </c>
      <c r="AF7">
        <v>1</v>
      </c>
      <c r="AG7" s="70">
        <v>0</v>
      </c>
      <c r="AH7" s="70">
        <v>0</v>
      </c>
      <c r="AI7" s="70">
        <v>0</v>
      </c>
      <c r="AJ7" s="70">
        <v>0</v>
      </c>
      <c r="AK7" s="70">
        <v>0</v>
      </c>
      <c r="AP7">
        <v>3.7160108597513912</v>
      </c>
      <c r="AQ7">
        <v>2.9576734074487576</v>
      </c>
      <c r="AR7">
        <v>2.5111412552470584</v>
      </c>
      <c r="AS7">
        <v>2.1678278246232012</v>
      </c>
      <c r="AT7">
        <v>1.8853199405222141</v>
      </c>
      <c r="AU7">
        <v>1.6440438459518143</v>
      </c>
      <c r="AV7">
        <v>1.4329188135438133</v>
      </c>
      <c r="AW7">
        <v>1.2449423717942381</v>
      </c>
      <c r="AX7">
        <v>1.0753635663433607</v>
      </c>
      <c r="AY7">
        <v>0.9207923581775721</v>
      </c>
      <c r="BB7">
        <v>113.6052374101419</v>
      </c>
      <c r="BC7">
        <v>42.357451743256355</v>
      </c>
      <c r="BD7">
        <v>23.010407060380398</v>
      </c>
      <c r="BE7">
        <v>14.092200586094755</v>
      </c>
      <c r="BF7">
        <v>9.2394788523063056</v>
      </c>
      <c r="BG7">
        <v>0</v>
      </c>
      <c r="BH7">
        <v>0</v>
      </c>
      <c r="BI7">
        <v>0</v>
      </c>
      <c r="BJ7">
        <v>0</v>
      </c>
      <c r="BK7">
        <v>0</v>
      </c>
      <c r="BN7">
        <v>72.505124867945597</v>
      </c>
      <c r="BO7">
        <v>23.104326315298675</v>
      </c>
      <c r="BP7">
        <v>10.691425917463068</v>
      </c>
      <c r="BQ7">
        <v>5.3529204269361692</v>
      </c>
      <c r="BR7">
        <v>2.651016831479617</v>
      </c>
      <c r="BS7">
        <v>-5.176058430916445</v>
      </c>
      <c r="BT7">
        <v>-4.1909138532076771</v>
      </c>
      <c r="BU7">
        <v>-3.4727346661023266</v>
      </c>
      <c r="BV7">
        <v>-2.9310583410060342</v>
      </c>
      <c r="BW7">
        <v>-2.5112794346105081</v>
      </c>
      <c r="BZ7">
        <v>72.505124867945597</v>
      </c>
      <c r="CA7">
        <v>23.104326315298675</v>
      </c>
      <c r="CB7">
        <v>10.691425917463068</v>
      </c>
      <c r="CC7">
        <v>5.3529204269361692</v>
      </c>
      <c r="CD7">
        <v>2.651016831479617</v>
      </c>
      <c r="CE7">
        <v>0</v>
      </c>
      <c r="CF7">
        <v>0</v>
      </c>
      <c r="CG7">
        <v>0</v>
      </c>
      <c r="CH7">
        <v>0</v>
      </c>
      <c r="CI7">
        <v>0</v>
      </c>
    </row>
    <row r="8" spans="1:90">
      <c r="A8">
        <v>2006</v>
      </c>
      <c r="B8">
        <v>29.666098646518194</v>
      </c>
      <c r="C8">
        <v>13.896923460080103</v>
      </c>
      <c r="D8">
        <v>8.8918518029647728</v>
      </c>
      <c r="E8">
        <v>6.3080203742747045</v>
      </c>
      <c r="M8">
        <v>103.13327294014232</v>
      </c>
      <c r="O8">
        <f t="shared" si="0"/>
        <v>103.13327294014232</v>
      </c>
      <c r="P8">
        <v>39.882471957963752</v>
      </c>
      <c r="Q8">
        <v>18.682728281956386</v>
      </c>
      <c r="R8">
        <v>11.954016414886201</v>
      </c>
      <c r="S8">
        <v>8.4803684058672886</v>
      </c>
      <c r="T8">
        <v>6.3932708583694824</v>
      </c>
      <c r="U8">
        <v>5.022711434472769</v>
      </c>
      <c r="V8">
        <v>4.0667529573597907</v>
      </c>
      <c r="W8">
        <v>3.3698506980018474</v>
      </c>
      <c r="X8">
        <v>2.8442221897157411</v>
      </c>
      <c r="Y8">
        <v>2.436879741549062</v>
      </c>
      <c r="AB8">
        <v>1</v>
      </c>
      <c r="AC8">
        <v>1</v>
      </c>
      <c r="AD8">
        <v>1</v>
      </c>
      <c r="AE8">
        <v>1</v>
      </c>
      <c r="AF8" s="71">
        <v>0</v>
      </c>
      <c r="AG8" s="71">
        <v>0</v>
      </c>
      <c r="AH8" s="71">
        <v>0</v>
      </c>
      <c r="AI8" s="71">
        <v>0</v>
      </c>
      <c r="AJ8" s="71">
        <v>0</v>
      </c>
      <c r="AK8" s="71">
        <v>0</v>
      </c>
      <c r="AP8">
        <v>3.6859369280764582</v>
      </c>
      <c r="AQ8">
        <v>2.9275994757738246</v>
      </c>
      <c r="AR8">
        <v>2.4810673235721254</v>
      </c>
      <c r="AS8">
        <v>2.1377538929482682</v>
      </c>
      <c r="AT8">
        <v>1.8552460088472811</v>
      </c>
      <c r="AU8">
        <v>1.6139699142768811</v>
      </c>
      <c r="AV8">
        <v>1.4028448818688803</v>
      </c>
      <c r="AW8">
        <v>1.2148684401193051</v>
      </c>
      <c r="AX8">
        <v>1.0452896346684279</v>
      </c>
      <c r="AY8">
        <v>0.89071842650263922</v>
      </c>
      <c r="BB8">
        <v>109.34736851316045</v>
      </c>
      <c r="BC8">
        <v>40.684625836599473</v>
      </c>
      <c r="BD8">
        <v>22.061282954381788</v>
      </c>
      <c r="BE8">
        <v>13.484995111902741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N8">
        <v>69.464896555196702</v>
      </c>
      <c r="BO8">
        <v>22.001897554643087</v>
      </c>
      <c r="BP8">
        <v>10.107266539495587</v>
      </c>
      <c r="BQ8">
        <v>5.0046267060354523</v>
      </c>
      <c r="BR8">
        <v>-6.3932708583694824</v>
      </c>
      <c r="BS8">
        <v>-5.022711434472769</v>
      </c>
      <c r="BT8">
        <v>-4.0667529573597907</v>
      </c>
      <c r="BU8">
        <v>-3.3698506980018474</v>
      </c>
      <c r="BV8">
        <v>-2.8442221897157411</v>
      </c>
      <c r="BW8">
        <v>-2.436879741549062</v>
      </c>
      <c r="BZ8">
        <v>69.464896555196702</v>
      </c>
      <c r="CA8">
        <v>22.001897554643087</v>
      </c>
      <c r="CB8">
        <v>10.107266539495587</v>
      </c>
      <c r="CC8">
        <v>5.0046267060354523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</row>
    <row r="9" spans="1:90">
      <c r="A9">
        <v>2007</v>
      </c>
      <c r="B9">
        <v>30.289022172627632</v>
      </c>
      <c r="C9">
        <v>14.18872861676666</v>
      </c>
      <c r="D9">
        <v>9.0785613445443332</v>
      </c>
      <c r="M9">
        <v>105.29884728156725</v>
      </c>
      <c r="O9">
        <f t="shared" si="0"/>
        <v>105.29884728156722</v>
      </c>
      <c r="P9">
        <v>40.719917095527585</v>
      </c>
      <c r="Q9">
        <v>19.075024927275695</v>
      </c>
      <c r="R9">
        <v>12.205024750867885</v>
      </c>
      <c r="S9">
        <v>8.6584376913852186</v>
      </c>
      <c r="T9">
        <v>6.5275156363539866</v>
      </c>
      <c r="U9">
        <v>5.1281774465248517</v>
      </c>
      <c r="V9">
        <v>4.1521459213015408</v>
      </c>
      <c r="W9">
        <v>3.4406102307693298</v>
      </c>
      <c r="X9">
        <v>2.9039446674357556</v>
      </c>
      <c r="Y9">
        <v>2.4880489141254012</v>
      </c>
      <c r="AB9">
        <v>1</v>
      </c>
      <c r="AC9">
        <v>1</v>
      </c>
      <c r="AD9">
        <v>1</v>
      </c>
      <c r="AE9" s="70">
        <v>0</v>
      </c>
      <c r="AF9" s="70">
        <v>0</v>
      </c>
      <c r="AG9" s="70">
        <v>0</v>
      </c>
      <c r="AH9" s="70">
        <v>0</v>
      </c>
      <c r="AI9" s="70">
        <v>0</v>
      </c>
      <c r="AJ9" s="70">
        <v>0</v>
      </c>
      <c r="AK9" s="70">
        <v>0</v>
      </c>
      <c r="AP9">
        <v>3.7067173362757444</v>
      </c>
      <c r="AQ9">
        <v>2.9483798839731108</v>
      </c>
      <c r="AR9">
        <v>2.5018477317714116</v>
      </c>
      <c r="AS9">
        <v>2.1585343011475548</v>
      </c>
      <c r="AT9">
        <v>1.8760264170465675</v>
      </c>
      <c r="AU9">
        <v>1.6347503224761675</v>
      </c>
      <c r="AV9">
        <v>1.4236252900681665</v>
      </c>
      <c r="AW9">
        <v>1.2356488483185915</v>
      </c>
      <c r="AX9">
        <v>1.0660700428677143</v>
      </c>
      <c r="AY9">
        <v>0.9114988347019255</v>
      </c>
      <c r="BB9">
        <v>112.27284358611925</v>
      </c>
      <c r="BC9">
        <v>41.833762032828446</v>
      </c>
      <c r="BD9">
        <v>22.713178107595859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N9">
        <v>71.552926490591659</v>
      </c>
      <c r="BO9">
        <v>22.758737105552751</v>
      </c>
      <c r="BP9">
        <v>10.508153356727973</v>
      </c>
      <c r="BQ9">
        <v>-8.6584376913852186</v>
      </c>
      <c r="BR9">
        <v>-6.5275156363539866</v>
      </c>
      <c r="BS9">
        <v>-5.1281774465248517</v>
      </c>
      <c r="BT9">
        <v>-4.1521459213015408</v>
      </c>
      <c r="BU9">
        <v>-3.4406102307693298</v>
      </c>
      <c r="BV9">
        <v>-2.9039446674357556</v>
      </c>
      <c r="BW9">
        <v>-2.4880489141254012</v>
      </c>
      <c r="BZ9">
        <v>71.552926490591659</v>
      </c>
      <c r="CA9">
        <v>22.758737105552751</v>
      </c>
      <c r="CB9">
        <v>10.508153356727973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</row>
    <row r="10" spans="1:90">
      <c r="A10">
        <v>2008</v>
      </c>
      <c r="B10">
        <v>31.912543504941883</v>
      </c>
      <c r="C10">
        <v>14.949258403976362</v>
      </c>
      <c r="M10">
        <v>110.94296889947204</v>
      </c>
      <c r="O10">
        <f t="shared" si="0"/>
        <v>110.94296889947202</v>
      </c>
      <c r="P10">
        <v>42.902544638862423</v>
      </c>
      <c r="Q10">
        <v>20.097464995078372</v>
      </c>
      <c r="R10">
        <v>12.859226062865487</v>
      </c>
      <c r="S10">
        <v>9.122538454241182</v>
      </c>
      <c r="T10">
        <v>6.8773968844918878</v>
      </c>
      <c r="U10">
        <v>5.4030527935358865</v>
      </c>
      <c r="V10">
        <v>4.3747050200963065</v>
      </c>
      <c r="W10">
        <v>3.6250303178225423</v>
      </c>
      <c r="X10">
        <v>3.0595989532879675</v>
      </c>
      <c r="Y10">
        <v>2.6214107791899766</v>
      </c>
      <c r="AB10">
        <v>1</v>
      </c>
      <c r="AC10">
        <v>1</v>
      </c>
      <c r="AD10" s="70">
        <v>0</v>
      </c>
      <c r="AE10" s="70">
        <v>0</v>
      </c>
      <c r="AF10" s="70">
        <v>0</v>
      </c>
      <c r="AG10" s="70">
        <v>0</v>
      </c>
      <c r="AH10" s="70">
        <v>0</v>
      </c>
      <c r="AI10" s="70">
        <v>0</v>
      </c>
      <c r="AJ10" s="70">
        <v>0</v>
      </c>
      <c r="AK10" s="70">
        <v>0</v>
      </c>
      <c r="AP10">
        <v>3.7589311397660699</v>
      </c>
      <c r="AQ10">
        <v>3.0005936874634362</v>
      </c>
      <c r="AR10">
        <v>2.5540615352617371</v>
      </c>
      <c r="AS10">
        <v>2.2107481046378803</v>
      </c>
      <c r="AT10">
        <v>1.9282402205368929</v>
      </c>
      <c r="AU10">
        <v>1.6869641259664931</v>
      </c>
      <c r="AV10">
        <v>1.4758390935584922</v>
      </c>
      <c r="AW10">
        <v>1.2878626518089169</v>
      </c>
      <c r="AX10">
        <v>1.1182838463580398</v>
      </c>
      <c r="AY10">
        <v>0.96371263819225095</v>
      </c>
      <c r="BB10">
        <v>119.95705352986548</v>
      </c>
      <c r="BC10">
        <v>44.856650399231199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N10">
        <v>77.054508891003053</v>
      </c>
      <c r="BO10">
        <v>24.759185404152827</v>
      </c>
      <c r="BP10">
        <v>-12.859226062865487</v>
      </c>
      <c r="BQ10">
        <v>-9.122538454241182</v>
      </c>
      <c r="BR10">
        <v>-6.8773968844918878</v>
      </c>
      <c r="BS10">
        <v>-5.4030527935358865</v>
      </c>
      <c r="BT10">
        <v>-4.3747050200963065</v>
      </c>
      <c r="BU10">
        <v>-3.6250303178225423</v>
      </c>
      <c r="BV10">
        <v>-3.0595989532879675</v>
      </c>
      <c r="BW10">
        <v>-2.6214107791899766</v>
      </c>
      <c r="BZ10">
        <v>77.054508891003053</v>
      </c>
      <c r="CA10">
        <v>24.759185404152827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</row>
    <row r="11" spans="1:90">
      <c r="A11">
        <v>2009</v>
      </c>
      <c r="B11">
        <v>31.241697087524429</v>
      </c>
      <c r="M11">
        <v>108.61079211098316</v>
      </c>
      <c r="O11">
        <f t="shared" si="0"/>
        <v>108.61079211098316</v>
      </c>
      <c r="P11">
        <v>42.000672985648187</v>
      </c>
      <c r="Q11">
        <v>19.674988096957318</v>
      </c>
      <c r="R11">
        <v>12.588907097731962</v>
      </c>
      <c r="S11">
        <v>8.9307699028302618</v>
      </c>
      <c r="T11">
        <v>6.7328243573786892</v>
      </c>
      <c r="U11">
        <v>5.2894730467789524</v>
      </c>
      <c r="V11">
        <v>4.2827425856530823</v>
      </c>
      <c r="W11">
        <v>3.5488270969365501</v>
      </c>
      <c r="X11">
        <v>2.9952818926240443</v>
      </c>
      <c r="Y11">
        <v>2.5663050484441094</v>
      </c>
      <c r="AB11">
        <v>1</v>
      </c>
      <c r="AC11" s="70">
        <v>0</v>
      </c>
      <c r="AD11" s="70">
        <v>0</v>
      </c>
      <c r="AE11" s="70">
        <v>0</v>
      </c>
      <c r="AF11" s="70">
        <v>0</v>
      </c>
      <c r="AG11" s="70">
        <v>0</v>
      </c>
      <c r="AH11" s="70">
        <v>0</v>
      </c>
      <c r="AI11" s="70">
        <v>0</v>
      </c>
      <c r="AJ11" s="70">
        <v>0</v>
      </c>
      <c r="AK11" s="70">
        <v>0</v>
      </c>
      <c r="AP11">
        <v>3.7376856416228077</v>
      </c>
      <c r="AQ11">
        <v>2.9793481893201741</v>
      </c>
      <c r="AR11">
        <v>2.5328160371184749</v>
      </c>
      <c r="AS11">
        <v>2.1895026064946181</v>
      </c>
      <c r="AT11">
        <v>1.906994722393631</v>
      </c>
      <c r="AU11">
        <v>1.665718627823231</v>
      </c>
      <c r="AV11">
        <v>1.45459359541523</v>
      </c>
      <c r="AW11">
        <v>1.2666171536656547</v>
      </c>
      <c r="AX11">
        <v>1.0970383482147776</v>
      </c>
      <c r="AY11">
        <v>0.94246714004898891</v>
      </c>
      <c r="BB11">
        <v>116.77164262396914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N11">
        <v>74.770969638320963</v>
      </c>
      <c r="BO11">
        <v>-19.674988096957318</v>
      </c>
      <c r="BP11">
        <v>-12.588907097731962</v>
      </c>
      <c r="BQ11">
        <v>-8.9307699028302618</v>
      </c>
      <c r="BR11">
        <v>-6.7328243573786892</v>
      </c>
      <c r="BS11">
        <v>-5.2894730467789524</v>
      </c>
      <c r="BT11">
        <v>-4.2827425856530823</v>
      </c>
      <c r="BU11">
        <v>-3.5488270969365501</v>
      </c>
      <c r="BV11">
        <v>-2.9952818926240443</v>
      </c>
      <c r="BW11">
        <v>-2.5663050484441094</v>
      </c>
      <c r="BZ11">
        <v>74.770969638320963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</row>
    <row r="13" spans="1:90">
      <c r="M13" t="s">
        <v>18</v>
      </c>
      <c r="AB13" t="s">
        <v>19</v>
      </c>
    </row>
    <row r="14" spans="1:90">
      <c r="A14" s="6"/>
      <c r="P14" t="s">
        <v>20</v>
      </c>
    </row>
    <row r="17" spans="1:80">
      <c r="Z17" s="5" t="s">
        <v>21</v>
      </c>
      <c r="AK17" cm="1">
        <f t="array" ref="AK17:AT26">(B2:K11*(LN((B23:K23-A23:J23)*M2:M11))-((B23:K23-A23:J23)*M2:M11))*AB2:AK11</f>
        <v>67.860138010030369</v>
      </c>
      <c r="AL17">
        <v>21.570376893794474</v>
      </c>
      <c r="AM17">
        <v>9.9518067163747599</v>
      </c>
      <c r="AN17">
        <v>4.960144835194547</v>
      </c>
      <c r="AO17">
        <v>2.4367469064316873</v>
      </c>
      <c r="AP17">
        <v>1.0403312214550744</v>
      </c>
      <c r="AQ17">
        <v>0.22307940915545332</v>
      </c>
      <c r="AR17">
        <v>-0.27201760121750151</v>
      </c>
      <c r="AS17">
        <v>-0.57745480802194216</v>
      </c>
      <c r="AT17">
        <v>-0.76642220309913278</v>
      </c>
      <c r="AV17" cm="1">
        <f t="array" ref="AV17">SUM((B2:K11*(LN((B23:K23-A23:J23)*M2:M11))-((B23:K23-A23:J23)*M2:M11))*AB2:AK11)</f>
        <v>1073.6504588122707</v>
      </c>
      <c r="BF17" s="72" cm="1">
        <f t="array" ref="BF17:BO26">_xlfn.ANCHORARRAY(P2)*AB2:AK11</f>
        <v>38.670621364211762</v>
      </c>
      <c r="BG17" s="72">
        <v>18.115043425680192</v>
      </c>
      <c r="BH17" s="72">
        <v>11.590787126958169</v>
      </c>
      <c r="BI17" s="72">
        <v>8.2226878012468472</v>
      </c>
      <c r="BJ17" s="72">
        <v>6.1990078474433172</v>
      </c>
      <c r="BK17" s="72">
        <v>4.8700936167876909</v>
      </c>
      <c r="BL17" s="72">
        <v>3.943182457737461</v>
      </c>
      <c r="BM17" s="72">
        <v>3.2674559524220501</v>
      </c>
      <c r="BN17" s="72">
        <v>2.7577989521340154</v>
      </c>
      <c r="BO17" s="72">
        <v>2.3628338257188934</v>
      </c>
      <c r="BQ17" s="72">
        <f>SUM(_xlfn.ANCHORARRAY(BF17))</f>
        <v>826.9996484609801</v>
      </c>
    </row>
    <row r="18" spans="1:80">
      <c r="AK18">
        <v>69.211983182982465</v>
      </c>
      <c r="AL18">
        <v>22.060975255733343</v>
      </c>
      <c r="AM18">
        <v>10.211961944093549</v>
      </c>
      <c r="AN18">
        <v>5.1153857821893114</v>
      </c>
      <c r="AO18">
        <v>2.5355941561299478</v>
      </c>
      <c r="AP18">
        <v>1.1057849434502347</v>
      </c>
      <c r="AQ18">
        <v>0.2674296968266785</v>
      </c>
      <c r="AR18">
        <v>-0.2416461376351271</v>
      </c>
      <c r="AS18">
        <v>-0.55667751338532079</v>
      </c>
      <c r="AT18" s="70">
        <v>0</v>
      </c>
      <c r="BF18" s="72">
        <v>39.210532126747047</v>
      </c>
      <c r="BG18" s="72">
        <v>18.367961702249971</v>
      </c>
      <c r="BH18" s="72">
        <v>11.752615163212372</v>
      </c>
      <c r="BI18" s="72">
        <v>8.337491170943137</v>
      </c>
      <c r="BJ18" s="72">
        <v>6.2855570399777001</v>
      </c>
      <c r="BK18" s="72">
        <v>4.9380887993189839</v>
      </c>
      <c r="BL18" s="72">
        <v>3.9982363092781834</v>
      </c>
      <c r="BM18" s="72">
        <v>3.3130754582015798</v>
      </c>
      <c r="BN18" s="72">
        <v>2.7963027382806658</v>
      </c>
      <c r="BO18" s="72">
        <v>0</v>
      </c>
    </row>
    <row r="19" spans="1:80">
      <c r="O19" cm="1">
        <f t="array" ref="O19:Y28">M2:M11*_xlfn.ANCHORARRAY(A23)</f>
        <v>0</v>
      </c>
      <c r="P19">
        <v>28.764678110274087</v>
      </c>
      <c r="Q19">
        <v>42.2393359955379</v>
      </c>
      <c r="R19">
        <v>50.861004047146061</v>
      </c>
      <c r="S19">
        <v>56.977351792802821</v>
      </c>
      <c r="T19">
        <v>61.588409465121266</v>
      </c>
      <c r="U19">
        <v>65.210970218268187</v>
      </c>
      <c r="V19">
        <v>68.144059217760386</v>
      </c>
      <c r="W19">
        <v>70.57451715702436</v>
      </c>
      <c r="X19">
        <v>72.625872846498751</v>
      </c>
      <c r="Y19">
        <v>74.383438461613792</v>
      </c>
      <c r="AK19">
        <v>70.027456252822688</v>
      </c>
      <c r="AL19">
        <v>22.357200181614143</v>
      </c>
      <c r="AM19">
        <v>10.369181415109281</v>
      </c>
      <c r="AN19">
        <v>5.2092925435257227</v>
      </c>
      <c r="AO19">
        <v>2.5954542580685418</v>
      </c>
      <c r="AP19">
        <v>1.1454753097200028</v>
      </c>
      <c r="AQ19">
        <v>0.29436755426196726</v>
      </c>
      <c r="AR19">
        <v>-0.22315974544246853</v>
      </c>
      <c r="AS19" s="70">
        <v>0</v>
      </c>
      <c r="AT19" s="70">
        <v>0</v>
      </c>
      <c r="BF19" s="72">
        <v>39.535157150156728</v>
      </c>
      <c r="BG19" s="72">
        <v>18.520030538712241</v>
      </c>
      <c r="BH19" s="72">
        <v>11.849915372251877</v>
      </c>
      <c r="BI19" s="72">
        <v>8.4065174789207102</v>
      </c>
      <c r="BJ19" s="72">
        <v>6.3375953314920803</v>
      </c>
      <c r="BK19" s="72">
        <v>4.9789713659441004</v>
      </c>
      <c r="BL19" s="72">
        <v>4.0313378124993422</v>
      </c>
      <c r="BM19" s="72">
        <v>3.34050449677469</v>
      </c>
      <c r="BN19" s="72">
        <v>0</v>
      </c>
      <c r="BO19" s="72">
        <v>0</v>
      </c>
    </row>
    <row r="20" spans="1:80">
      <c r="O20">
        <v>0</v>
      </c>
      <c r="P20">
        <v>29.166284258422849</v>
      </c>
      <c r="Q20">
        <v>42.829072371675906</v>
      </c>
      <c r="R20">
        <v>51.571114268023422</v>
      </c>
      <c r="S20">
        <v>57.772857123941968</v>
      </c>
      <c r="T20">
        <v>62.448293375557292</v>
      </c>
      <c r="U20">
        <v>66.121431530089652</v>
      </c>
      <c r="V20">
        <v>69.095471677053339</v>
      </c>
      <c r="W20">
        <v>71.559863138795237</v>
      </c>
      <c r="X20">
        <v>73.639859408003375</v>
      </c>
      <c r="Y20">
        <v>75.421963770053082</v>
      </c>
      <c r="Z20" t="s">
        <v>37</v>
      </c>
      <c r="AK20">
        <v>71.45361458434698</v>
      </c>
      <c r="AL20">
        <v>22.87575737304028</v>
      </c>
      <c r="AM20">
        <v>10.644644066630688</v>
      </c>
      <c r="AN20">
        <v>5.3739846049846829</v>
      </c>
      <c r="AO20">
        <v>2.700553006480134</v>
      </c>
      <c r="AP20">
        <v>1.2152542040565617</v>
      </c>
      <c r="AQ20">
        <v>0.34180452715448206</v>
      </c>
      <c r="AR20" s="70">
        <v>0</v>
      </c>
      <c r="AS20" s="70">
        <v>0</v>
      </c>
      <c r="AT20" s="70">
        <v>0</v>
      </c>
      <c r="BF20" s="72">
        <v>40.101001757580818</v>
      </c>
      <c r="BG20" s="72">
        <v>18.785097384655415</v>
      </c>
      <c r="BH20" s="72">
        <v>12.019516587857364</v>
      </c>
      <c r="BI20" s="72">
        <v>8.5268352650521049</v>
      </c>
      <c r="BJ20" s="72">
        <v>6.4283017912828102</v>
      </c>
      <c r="BK20" s="72">
        <v>5.0502326002737901</v>
      </c>
      <c r="BL20" s="72">
        <v>4.089036097426952</v>
      </c>
      <c r="BM20" s="72">
        <v>0</v>
      </c>
      <c r="BN20" s="72">
        <v>0</v>
      </c>
      <c r="BO20" s="72">
        <v>0</v>
      </c>
    </row>
    <row r="21" spans="1:80">
      <c r="A21" s="5" t="s">
        <v>42</v>
      </c>
      <c r="O21">
        <v>0</v>
      </c>
      <c r="P21">
        <v>29.407752690413478</v>
      </c>
      <c r="Q21">
        <v>43.183655384635991</v>
      </c>
      <c r="R21">
        <v>51.998072875022288</v>
      </c>
      <c r="S21">
        <v>58.251160122628136</v>
      </c>
      <c r="T21">
        <v>62.965304433540517</v>
      </c>
      <c r="U21">
        <v>66.668852595148209</v>
      </c>
      <c r="V21">
        <v>69.66751489845521</v>
      </c>
      <c r="W21">
        <v>72.152309121714666</v>
      </c>
      <c r="X21">
        <v>74.249525734564187</v>
      </c>
      <c r="Y21">
        <v>76.04638418534644</v>
      </c>
      <c r="AK21">
        <v>72.66902965163689</v>
      </c>
      <c r="AL21">
        <v>23.318176471478665</v>
      </c>
      <c r="AM21">
        <v>10.879898798670572</v>
      </c>
      <c r="AN21">
        <v>5.5147933335342918</v>
      </c>
      <c r="AO21">
        <v>2.7905253289520457</v>
      </c>
      <c r="AP21">
        <v>1.275081106109186</v>
      </c>
      <c r="AQ21" s="70">
        <v>0</v>
      </c>
      <c r="AR21" s="70">
        <v>0</v>
      </c>
      <c r="AS21" s="70">
        <v>0</v>
      </c>
      <c r="AT21" s="70">
        <v>0</v>
      </c>
      <c r="BF21" s="72">
        <v>40.581380798989059</v>
      </c>
      <c r="BG21" s="72">
        <v>19.010128348444127</v>
      </c>
      <c r="BH21" s="72">
        <v>12.163501117011274</v>
      </c>
      <c r="BI21" s="72">
        <v>8.6289801684546088</v>
      </c>
      <c r="BJ21" s="72">
        <v>6.5053078838250133</v>
      </c>
      <c r="BK21" s="72">
        <v>5.1107304878346547</v>
      </c>
      <c r="BL21" s="72">
        <v>0</v>
      </c>
      <c r="BM21" s="72">
        <v>0</v>
      </c>
      <c r="BN21" s="72">
        <v>0</v>
      </c>
      <c r="BO21" s="72">
        <v>0</v>
      </c>
    </row>
    <row r="22" spans="1:80">
      <c r="O22">
        <v>0</v>
      </c>
      <c r="P22">
        <v>29.828649418182415</v>
      </c>
      <c r="Q22">
        <v>43.801718908082982</v>
      </c>
      <c r="R22">
        <v>52.742292229482587</v>
      </c>
      <c r="S22">
        <v>59.084876419907495</v>
      </c>
      <c r="T22">
        <v>63.866491643527205</v>
      </c>
      <c r="U22">
        <v>67.623046619996458</v>
      </c>
      <c r="V22">
        <v>70.664627100847753</v>
      </c>
      <c r="W22">
        <v>73.184984795031326</v>
      </c>
      <c r="X22">
        <v>75.31221769709083</v>
      </c>
      <c r="Y22">
        <v>77.134793578584635</v>
      </c>
      <c r="AK22">
        <v>73.986229986395031</v>
      </c>
      <c r="AL22">
        <v>23.798141997390061</v>
      </c>
      <c r="AM22">
        <v>11.135359155021099</v>
      </c>
      <c r="AN22">
        <v>5.6678536904887764</v>
      </c>
      <c r="AO22">
        <v>2.888442089421126</v>
      </c>
      <c r="AP22" s="70">
        <v>0</v>
      </c>
      <c r="AQ22" s="70">
        <v>0</v>
      </c>
      <c r="AR22" s="70">
        <v>0</v>
      </c>
      <c r="AS22" s="70">
        <v>0</v>
      </c>
      <c r="AT22" s="70">
        <v>0</v>
      </c>
      <c r="BF22" s="72">
        <v>41.100112542196293</v>
      </c>
      <c r="BG22" s="72">
        <v>19.253125427957681</v>
      </c>
      <c r="BH22" s="72">
        <v>12.31898114291733</v>
      </c>
      <c r="BI22" s="72">
        <v>8.7392801591585858</v>
      </c>
      <c r="BJ22" s="72">
        <v>6.5884620208266886</v>
      </c>
      <c r="BK22" s="72">
        <v>0</v>
      </c>
      <c r="BL22" s="72">
        <v>0</v>
      </c>
      <c r="BM22" s="72">
        <v>0</v>
      </c>
      <c r="BN22" s="72">
        <v>0</v>
      </c>
      <c r="BO22" s="72">
        <v>0</v>
      </c>
    </row>
    <row r="23" spans="1:80">
      <c r="A23" s="7" cm="1">
        <f t="array" ref="A23:K23">_xlfn.ANCHORARRAY(A26)</f>
        <v>0</v>
      </c>
      <c r="B23" s="7">
        <v>0.2876481837606002</v>
      </c>
      <c r="C23" s="8">
        <v>0.42239541968072619</v>
      </c>
      <c r="D23" s="8">
        <v>0.5086125206169636</v>
      </c>
      <c r="E23" s="8">
        <v>0.56977629632624249</v>
      </c>
      <c r="F23" s="8">
        <v>0.61588709789937168</v>
      </c>
      <c r="G23" s="8">
        <v>0.65211288207850904</v>
      </c>
      <c r="H23" s="8">
        <v>0.68144391510024749</v>
      </c>
      <c r="I23" s="8">
        <v>0.70574861300980285</v>
      </c>
      <c r="J23" s="8">
        <v>0.72626226993522225</v>
      </c>
      <c r="K23" s="8">
        <v>0.74383801179090281</v>
      </c>
      <c r="O23">
        <v>0</v>
      </c>
      <c r="P23">
        <v>30.185973609249544</v>
      </c>
      <c r="Q23">
        <v>44.326429683846101</v>
      </c>
      <c r="R23">
        <v>53.374104171140196</v>
      </c>
      <c r="S23">
        <v>59.792667623426595</v>
      </c>
      <c r="T23">
        <v>64.631562905818683</v>
      </c>
      <c r="U23">
        <v>68.433118510688772</v>
      </c>
      <c r="V23">
        <v>71.511134777473544</v>
      </c>
      <c r="W23">
        <v>74.061684411012067</v>
      </c>
      <c r="X23">
        <v>76.214399920925615</v>
      </c>
      <c r="Y23">
        <v>78.058808854375059</v>
      </c>
      <c r="AK23">
        <v>70.902122141688949</v>
      </c>
      <c r="AL23">
        <v>22.675158107314232</v>
      </c>
      <c r="AM23">
        <v>10.538047717526155</v>
      </c>
      <c r="AN23">
        <v>5.3102296904402202</v>
      </c>
      <c r="AO23" s="70">
        <v>0</v>
      </c>
      <c r="AP23" s="70">
        <v>0</v>
      </c>
      <c r="AQ23" s="70">
        <v>0</v>
      </c>
      <c r="AR23" s="70">
        <v>0</v>
      </c>
      <c r="AS23" s="70">
        <v>0</v>
      </c>
      <c r="AT23" s="70">
        <v>0</v>
      </c>
      <c r="BF23" s="72">
        <v>39.882471957963752</v>
      </c>
      <c r="BG23" s="72">
        <v>18.682728281956386</v>
      </c>
      <c r="BH23" s="72">
        <v>11.954016414886201</v>
      </c>
      <c r="BI23" s="72">
        <v>8.4803684058672886</v>
      </c>
      <c r="BJ23" s="72">
        <v>0</v>
      </c>
      <c r="BK23" s="72">
        <v>0</v>
      </c>
      <c r="BL23" s="72">
        <v>0</v>
      </c>
      <c r="BM23" s="72">
        <v>0</v>
      </c>
      <c r="BN23" s="72">
        <v>0</v>
      </c>
      <c r="BO23" s="72">
        <v>0</v>
      </c>
    </row>
    <row r="24" spans="1:80">
      <c r="A24" cm="1">
        <f t="array" ref="A24:K24">_xlfn.ANCHORARRAY(A23)/K23</f>
        <v>0</v>
      </c>
      <c r="B24">
        <v>0.3867080993455061</v>
      </c>
      <c r="C24">
        <v>0.56785941694986142</v>
      </c>
      <c r="D24">
        <v>0.68376785342335733</v>
      </c>
      <c r="E24">
        <v>0.76599513240042638</v>
      </c>
      <c r="F24">
        <v>0.82798551315834223</v>
      </c>
      <c r="G24">
        <v>0.87668668680758643</v>
      </c>
      <c r="H24">
        <v>0.91611870366717063</v>
      </c>
      <c r="I24">
        <v>0.94879342252301146</v>
      </c>
      <c r="J24">
        <v>0.97637154652346381</v>
      </c>
      <c r="K24">
        <v>1</v>
      </c>
      <c r="O24">
        <v>0</v>
      </c>
      <c r="P24">
        <v>30.57182599776964</v>
      </c>
      <c r="Q24">
        <v>44.893032536862549</v>
      </c>
      <c r="R24">
        <v>54.056358977499805</v>
      </c>
      <c r="S24">
        <v>60.556967755572011</v>
      </c>
      <c r="T24">
        <v>65.457716245903612</v>
      </c>
      <c r="U24">
        <v>69.307865258070038</v>
      </c>
      <c r="V24">
        <v>72.425226286226987</v>
      </c>
      <c r="W24">
        <v>75.008378335737888</v>
      </c>
      <c r="X24">
        <v>77.188610944554952</v>
      </c>
      <c r="Y24">
        <v>79.056596046247023</v>
      </c>
      <c r="AK24">
        <v>73.020330687383193</v>
      </c>
      <c r="AL24">
        <v>23.446134664995753</v>
      </c>
      <c r="AM24">
        <v>10.947980002232972</v>
      </c>
      <c r="AN24" s="70">
        <v>0</v>
      </c>
      <c r="AO24" s="70">
        <v>0</v>
      </c>
      <c r="AP24" s="70">
        <v>0</v>
      </c>
      <c r="AQ24" s="70">
        <v>0</v>
      </c>
      <c r="AR24" s="70">
        <v>0</v>
      </c>
      <c r="AS24" s="70">
        <v>0</v>
      </c>
      <c r="AT24" s="70">
        <v>0</v>
      </c>
      <c r="BF24" s="72">
        <v>40.719917095527585</v>
      </c>
      <c r="BG24" s="72">
        <v>19.075024927275695</v>
      </c>
      <c r="BH24" s="72">
        <v>12.205024750867885</v>
      </c>
      <c r="BI24" s="72">
        <v>0</v>
      </c>
      <c r="BJ24" s="72">
        <v>0</v>
      </c>
      <c r="BK24" s="72">
        <v>0</v>
      </c>
      <c r="BL24" s="72">
        <v>0</v>
      </c>
      <c r="BM24" s="72">
        <v>0</v>
      </c>
      <c r="BN24" s="72">
        <v>0</v>
      </c>
      <c r="BO24" s="72">
        <v>0</v>
      </c>
    </row>
    <row r="25" spans="1:80">
      <c r="O25">
        <v>0</v>
      </c>
      <c r="P25">
        <v>29.666098646518194</v>
      </c>
      <c r="Q25">
        <v>43.563022106598297</v>
      </c>
      <c r="R25">
        <v>52.454873909563069</v>
      </c>
      <c r="S25">
        <v>58.762894283837774</v>
      </c>
      <c r="T25">
        <v>63.51845216796805</v>
      </c>
      <c r="U25">
        <v>67.254535855185722</v>
      </c>
      <c r="V25">
        <v>70.279541289432998</v>
      </c>
      <c r="W25">
        <v>72.786164332666871</v>
      </c>
      <c r="X25">
        <v>74.901804911356592</v>
      </c>
      <c r="Y25">
        <v>76.714448693283984</v>
      </c>
      <c r="AK25">
        <v>78.600567393735531</v>
      </c>
      <c r="AL25">
        <v>25.483428147807324</v>
      </c>
      <c r="AM25" s="70">
        <v>0</v>
      </c>
      <c r="AN25" s="70">
        <v>0</v>
      </c>
      <c r="AO25" s="70">
        <v>0</v>
      </c>
      <c r="AP25" s="70">
        <v>0</v>
      </c>
      <c r="AQ25" s="70">
        <v>0</v>
      </c>
      <c r="AR25" s="70">
        <v>0</v>
      </c>
      <c r="AS25" s="70">
        <v>0</v>
      </c>
      <c r="AT25" s="70">
        <v>0</v>
      </c>
      <c r="BF25" s="72">
        <v>42.902544638862423</v>
      </c>
      <c r="BG25" s="72">
        <v>20.097464995078372</v>
      </c>
      <c r="BH25" s="72">
        <v>0</v>
      </c>
      <c r="BI25" s="72">
        <v>0</v>
      </c>
      <c r="BJ25" s="72">
        <v>0</v>
      </c>
      <c r="BK25" s="72">
        <v>0</v>
      </c>
      <c r="BL25" s="72">
        <v>0</v>
      </c>
      <c r="BM25" s="72">
        <v>0</v>
      </c>
      <c r="BN25" s="72">
        <v>0</v>
      </c>
      <c r="BO25" s="72">
        <v>0</v>
      </c>
    </row>
    <row r="26" spans="1:80">
      <c r="A26" s="11" cm="1">
        <f t="array" ref="A26:K26">(A1:K1)^B34/((A1:K1)^B34 +( B35 ^ B34))</f>
        <v>0</v>
      </c>
      <c r="B26" s="7">
        <v>0.2876481837606002</v>
      </c>
      <c r="C26" s="8">
        <v>0.42239541968072619</v>
      </c>
      <c r="D26" s="8">
        <v>0.5086125206169636</v>
      </c>
      <c r="E26" s="8">
        <v>0.56977629632624249</v>
      </c>
      <c r="F26" s="8">
        <v>0.61588709789937168</v>
      </c>
      <c r="G26" s="8">
        <v>0.65211288207850904</v>
      </c>
      <c r="H26" s="8">
        <v>0.68144391510024749</v>
      </c>
      <c r="I26" s="8">
        <v>0.70574861300980285</v>
      </c>
      <c r="J26" s="8">
        <v>0.72626226993522225</v>
      </c>
      <c r="K26" s="8">
        <v>0.74383801179090281</v>
      </c>
      <c r="O26">
        <v>0</v>
      </c>
      <c r="P26">
        <v>30.289022172627632</v>
      </c>
      <c r="Q26">
        <v>44.477750789394292</v>
      </c>
      <c r="R26">
        <v>53.556312133938626</v>
      </c>
      <c r="S26">
        <v>59.996787211514011</v>
      </c>
      <c r="T26">
        <v>64.852201464393602</v>
      </c>
      <c r="U26">
        <v>68.666734780327602</v>
      </c>
      <c r="V26">
        <v>71.755258747094231</v>
      </c>
      <c r="W26">
        <v>74.314515420497131</v>
      </c>
      <c r="X26">
        <v>76.474579848273336</v>
      </c>
      <c r="Y26">
        <v>78.325285205794899</v>
      </c>
      <c r="AK26">
        <v>76.284527823192064</v>
      </c>
      <c r="AL26" s="70">
        <v>0</v>
      </c>
      <c r="AM26" s="70">
        <v>0</v>
      </c>
      <c r="AN26" s="70">
        <v>0</v>
      </c>
      <c r="AO26" s="70">
        <v>0</v>
      </c>
      <c r="AP26" s="70">
        <v>0</v>
      </c>
      <c r="AQ26" s="70">
        <v>0</v>
      </c>
      <c r="AR26" s="70">
        <v>0</v>
      </c>
      <c r="AS26" s="70">
        <v>0</v>
      </c>
      <c r="AT26" s="70">
        <v>0</v>
      </c>
      <c r="BF26" s="72">
        <v>42.000672985648187</v>
      </c>
      <c r="BG26" s="72">
        <v>0</v>
      </c>
      <c r="BH26" s="72">
        <v>0</v>
      </c>
      <c r="BI26" s="72">
        <v>0</v>
      </c>
      <c r="BJ26" s="72">
        <v>0</v>
      </c>
      <c r="BK26" s="72">
        <v>0</v>
      </c>
      <c r="BL26" s="72">
        <v>0</v>
      </c>
      <c r="BM26" s="72">
        <v>0</v>
      </c>
      <c r="BN26" s="72">
        <v>0</v>
      </c>
      <c r="BO26" s="72">
        <v>0</v>
      </c>
    </row>
    <row r="27" spans="1:80">
      <c r="O27">
        <v>0</v>
      </c>
      <c r="P27">
        <v>31.912543504941883</v>
      </c>
      <c r="Q27">
        <v>46.861801908918245</v>
      </c>
      <c r="R27">
        <v>56.42698305668987</v>
      </c>
      <c r="S27">
        <v>63.212673922978681</v>
      </c>
      <c r="T27">
        <v>68.32834314783608</v>
      </c>
      <c r="U27">
        <v>72.347339195381096</v>
      </c>
      <c r="V27">
        <v>75.601411079701222</v>
      </c>
      <c r="W27">
        <v>78.297846423992084</v>
      </c>
      <c r="X27">
        <v>80.57369242628333</v>
      </c>
      <c r="Y27">
        <v>82.523597408363244</v>
      </c>
    </row>
    <row r="28" spans="1:80">
      <c r="O28">
        <v>0</v>
      </c>
      <c r="P28">
        <v>31.241697087524429</v>
      </c>
      <c r="Q28">
        <v>45.876701115574832</v>
      </c>
      <c r="R28">
        <v>55.24080874177217</v>
      </c>
      <c r="S28">
        <v>61.883854870055458</v>
      </c>
      <c r="T28">
        <v>66.891985553785389</v>
      </c>
      <c r="U28">
        <v>70.826496668323017</v>
      </c>
      <c r="V28">
        <v>74.012163398247438</v>
      </c>
      <c r="W28">
        <v>76.651915890222398</v>
      </c>
      <c r="X28">
        <v>78.879920417985161</v>
      </c>
      <c r="Y28">
        <v>80.788835662868777</v>
      </c>
      <c r="BF28" cm="1">
        <f t="array" ref="BF28:BO37">_xlfn.ANCHORARRAY(P2)</f>
        <v>38.670621364211762</v>
      </c>
      <c r="BG28">
        <v>18.115043425680192</v>
      </c>
      <c r="BH28">
        <v>11.590787126958169</v>
      </c>
      <c r="BI28">
        <v>8.2226878012468472</v>
      </c>
      <c r="BJ28">
        <v>6.1990078474433172</v>
      </c>
      <c r="BK28">
        <v>4.8700936167876909</v>
      </c>
      <c r="BL28">
        <v>3.943182457737461</v>
      </c>
      <c r="BM28">
        <v>3.2674559524220501</v>
      </c>
      <c r="BN28">
        <v>2.7577989521340154</v>
      </c>
      <c r="BO28">
        <v>2.3628338257188934</v>
      </c>
      <c r="BQ28" s="70" cm="1">
        <f t="array" ref="BQ28:BZ37">_xlfn.ANCHORARRAY(BF28)-_xlfn.ANCHORARRAY(BF17)</f>
        <v>0</v>
      </c>
      <c r="BR28" s="70">
        <v>0</v>
      </c>
      <c r="BS28" s="70">
        <v>0</v>
      </c>
      <c r="BT28" s="70">
        <v>0</v>
      </c>
      <c r="BU28" s="70">
        <v>0</v>
      </c>
      <c r="BV28" s="70">
        <v>0</v>
      </c>
      <c r="BW28" s="70">
        <v>0</v>
      </c>
      <c r="BX28" s="70">
        <v>0</v>
      </c>
      <c r="BY28" s="70">
        <v>0</v>
      </c>
      <c r="BZ28" s="70">
        <v>0</v>
      </c>
      <c r="CB28">
        <f>SUM(_xlfn.ANCHORARRAY(BQ28))</f>
        <v>219.53755389613588</v>
      </c>
    </row>
    <row r="29" spans="1:80">
      <c r="BF29">
        <v>39.210532126747047</v>
      </c>
      <c r="BG29">
        <v>18.367961702249971</v>
      </c>
      <c r="BH29">
        <v>11.752615163212372</v>
      </c>
      <c r="BI29">
        <v>8.337491170943137</v>
      </c>
      <c r="BJ29">
        <v>6.2855570399777001</v>
      </c>
      <c r="BK29">
        <v>4.9380887993189839</v>
      </c>
      <c r="BL29">
        <v>3.9982363092781834</v>
      </c>
      <c r="BM29">
        <v>3.3130754582015798</v>
      </c>
      <c r="BN29">
        <v>2.7963027382806658</v>
      </c>
      <c r="BO29">
        <v>2.3958231951053577</v>
      </c>
      <c r="BQ29" s="70">
        <v>0</v>
      </c>
      <c r="BR29" s="70">
        <v>0</v>
      </c>
      <c r="BS29" s="70">
        <v>0</v>
      </c>
      <c r="BT29" s="70">
        <v>0</v>
      </c>
      <c r="BU29" s="70">
        <v>0</v>
      </c>
      <c r="BV29" s="70">
        <v>0</v>
      </c>
      <c r="BW29" s="70">
        <v>0</v>
      </c>
      <c r="BX29" s="70">
        <v>0</v>
      </c>
      <c r="BY29" s="70">
        <v>0</v>
      </c>
      <c r="BZ29">
        <v>2.3958231951053577</v>
      </c>
    </row>
    <row r="30" spans="1:80">
      <c r="BF30">
        <v>39.535157150156728</v>
      </c>
      <c r="BG30">
        <v>18.520030538712241</v>
      </c>
      <c r="BH30">
        <v>11.849915372251877</v>
      </c>
      <c r="BI30">
        <v>8.4065174789207102</v>
      </c>
      <c r="BJ30">
        <v>6.3375953314920803</v>
      </c>
      <c r="BK30">
        <v>4.9789713659441004</v>
      </c>
      <c r="BL30">
        <v>4.0313378124993422</v>
      </c>
      <c r="BM30">
        <v>3.34050449677469</v>
      </c>
      <c r="BN30">
        <v>2.8194534019579818</v>
      </c>
      <c r="BO30">
        <v>2.4156582781458651</v>
      </c>
      <c r="BQ30" s="70">
        <v>0</v>
      </c>
      <c r="BR30" s="70">
        <v>0</v>
      </c>
      <c r="BS30" s="70">
        <v>0</v>
      </c>
      <c r="BT30" s="70">
        <v>0</v>
      </c>
      <c r="BU30" s="70">
        <v>0</v>
      </c>
      <c r="BV30" s="70">
        <v>0</v>
      </c>
      <c r="BW30" s="70">
        <v>0</v>
      </c>
      <c r="BX30" s="70">
        <v>0</v>
      </c>
      <c r="BY30">
        <v>2.8194534019579818</v>
      </c>
      <c r="BZ30">
        <v>2.4156582781458651</v>
      </c>
    </row>
    <row r="31" spans="1:80">
      <c r="O31" cm="1">
        <f t="array" ref="O31:X40">P19:Y28-O19:X28</f>
        <v>28.764678110274087</v>
      </c>
      <c r="P31">
        <v>13.474657885263813</v>
      </c>
      <c r="Q31">
        <v>8.621668051608161</v>
      </c>
      <c r="R31">
        <v>6.1163477456567605</v>
      </c>
      <c r="S31">
        <v>4.6110576723184451</v>
      </c>
      <c r="T31">
        <v>3.6225607531469208</v>
      </c>
      <c r="U31">
        <v>2.9330889994921989</v>
      </c>
      <c r="V31">
        <v>2.4304579392639738</v>
      </c>
      <c r="W31">
        <v>2.0513556894743914</v>
      </c>
      <c r="X31">
        <v>1.7575656151150412</v>
      </c>
      <c r="Z31" cm="1">
        <f t="array" ref="Z31:AI40">_xlfn.ANCHORARRAY(O31)*AB2:AK11</f>
        <v>28.764678110274087</v>
      </c>
      <c r="AA31">
        <v>13.474657885263813</v>
      </c>
      <c r="AB31">
        <v>8.621668051608161</v>
      </c>
      <c r="AC31">
        <v>6.1163477456567605</v>
      </c>
      <c r="AD31">
        <v>4.6110576723184451</v>
      </c>
      <c r="AE31">
        <v>3.6225607531469208</v>
      </c>
      <c r="AF31">
        <v>2.9330889994921989</v>
      </c>
      <c r="AG31">
        <v>2.4304579392639738</v>
      </c>
      <c r="AH31">
        <v>2.0513556894743914</v>
      </c>
      <c r="AI31">
        <v>1.7575656151150412</v>
      </c>
      <c r="BF31">
        <v>40.101001757580818</v>
      </c>
      <c r="BG31">
        <v>18.785097384655415</v>
      </c>
      <c r="BH31">
        <v>12.019516587857364</v>
      </c>
      <c r="BI31">
        <v>8.5268352650521049</v>
      </c>
      <c r="BJ31">
        <v>6.4283017912828102</v>
      </c>
      <c r="BK31">
        <v>5.0502326002737901</v>
      </c>
      <c r="BL31">
        <v>4.089036097426952</v>
      </c>
      <c r="BM31">
        <v>3.3883152705727242</v>
      </c>
      <c r="BN31">
        <v>2.8598066626601488</v>
      </c>
      <c r="BO31">
        <v>2.4502322449288148</v>
      </c>
      <c r="BQ31" s="70">
        <v>0</v>
      </c>
      <c r="BR31" s="70">
        <v>0</v>
      </c>
      <c r="BS31" s="70">
        <v>0</v>
      </c>
      <c r="BT31" s="70">
        <v>0</v>
      </c>
      <c r="BU31" s="70">
        <v>0</v>
      </c>
      <c r="BV31" s="70">
        <v>0</v>
      </c>
      <c r="BW31" s="70">
        <v>0</v>
      </c>
      <c r="BX31">
        <v>3.3883152705727242</v>
      </c>
      <c r="BY31">
        <v>2.8598066626601488</v>
      </c>
      <c r="BZ31">
        <v>2.4502322449288148</v>
      </c>
    </row>
    <row r="32" spans="1:80">
      <c r="O32">
        <v>29.166284258422849</v>
      </c>
      <c r="P32">
        <v>13.662788113253058</v>
      </c>
      <c r="Q32">
        <v>8.7420418963475157</v>
      </c>
      <c r="R32">
        <v>6.2017428559185461</v>
      </c>
      <c r="S32">
        <v>4.6754362516153236</v>
      </c>
      <c r="T32">
        <v>3.67313815453236</v>
      </c>
      <c r="U32">
        <v>2.9740401469636879</v>
      </c>
      <c r="V32">
        <v>2.4643914617418972</v>
      </c>
      <c r="W32">
        <v>2.079996269208138</v>
      </c>
      <c r="X32">
        <v>1.7821043620497079</v>
      </c>
      <c r="Z32">
        <v>29.166284258422849</v>
      </c>
      <c r="AA32">
        <v>13.662788113253058</v>
      </c>
      <c r="AB32">
        <v>8.7420418963475157</v>
      </c>
      <c r="AC32">
        <v>6.2017428559185461</v>
      </c>
      <c r="AD32">
        <v>4.6754362516153236</v>
      </c>
      <c r="AE32">
        <v>3.67313815453236</v>
      </c>
      <c r="AF32">
        <v>2.9740401469636879</v>
      </c>
      <c r="AG32">
        <v>2.4643914617418972</v>
      </c>
      <c r="AH32">
        <v>2.079996269208138</v>
      </c>
      <c r="AI32">
        <v>0</v>
      </c>
      <c r="BF32">
        <v>40.581380798989059</v>
      </c>
      <c r="BG32">
        <v>19.010128348444127</v>
      </c>
      <c r="BH32">
        <v>12.163501117011274</v>
      </c>
      <c r="BI32">
        <v>8.6289801684546088</v>
      </c>
      <c r="BJ32">
        <v>6.5053078838250133</v>
      </c>
      <c r="BK32">
        <v>5.1107304878346547</v>
      </c>
      <c r="BL32">
        <v>4.1380195929675416</v>
      </c>
      <c r="BM32">
        <v>3.428904671593334</v>
      </c>
      <c r="BN32">
        <v>2.8940649385886767</v>
      </c>
      <c r="BO32">
        <v>2.4795841355414714</v>
      </c>
      <c r="BQ32" s="70">
        <v>0</v>
      </c>
      <c r="BR32" s="70">
        <v>0</v>
      </c>
      <c r="BS32" s="70">
        <v>0</v>
      </c>
      <c r="BT32" s="70">
        <v>0</v>
      </c>
      <c r="BU32" s="70">
        <v>0</v>
      </c>
      <c r="BV32" s="70">
        <v>0</v>
      </c>
      <c r="BW32">
        <v>4.1380195929675416</v>
      </c>
      <c r="BX32">
        <v>3.428904671593334</v>
      </c>
      <c r="BY32">
        <v>2.8940649385886767</v>
      </c>
      <c r="BZ32">
        <v>2.4795841355414714</v>
      </c>
    </row>
    <row r="33" spans="1:78">
      <c r="O33">
        <v>29.407752690413478</v>
      </c>
      <c r="P33">
        <v>13.775902694222513</v>
      </c>
      <c r="Q33">
        <v>8.8144174903862975</v>
      </c>
      <c r="R33">
        <v>6.2530872476058477</v>
      </c>
      <c r="S33">
        <v>4.7141443109123813</v>
      </c>
      <c r="T33">
        <v>3.7035481616076922</v>
      </c>
      <c r="U33">
        <v>2.9986623033070003</v>
      </c>
      <c r="V33">
        <v>2.4847942232594562</v>
      </c>
      <c r="W33">
        <v>2.0972166128495218</v>
      </c>
      <c r="X33">
        <v>1.7968584507822527</v>
      </c>
      <c r="Z33">
        <v>29.407752690413478</v>
      </c>
      <c r="AA33">
        <v>13.775902694222513</v>
      </c>
      <c r="AB33">
        <v>8.8144174903862975</v>
      </c>
      <c r="AC33">
        <v>6.2530872476058477</v>
      </c>
      <c r="AD33">
        <v>4.7141443109123813</v>
      </c>
      <c r="AE33">
        <v>3.7035481616076922</v>
      </c>
      <c r="AF33">
        <v>2.9986623033070003</v>
      </c>
      <c r="AG33">
        <v>2.4847942232594562</v>
      </c>
      <c r="AH33">
        <v>0</v>
      </c>
      <c r="AI33">
        <v>0</v>
      </c>
      <c r="BF33">
        <v>41.100112542196293</v>
      </c>
      <c r="BG33">
        <v>19.253125427957681</v>
      </c>
      <c r="BH33">
        <v>12.31898114291733</v>
      </c>
      <c r="BI33">
        <v>8.7392801591585858</v>
      </c>
      <c r="BJ33">
        <v>6.5884620208266886</v>
      </c>
      <c r="BK33">
        <v>5.176058430916445</v>
      </c>
      <c r="BL33">
        <v>4.1909138532076771</v>
      </c>
      <c r="BM33">
        <v>3.4727346661023266</v>
      </c>
      <c r="BN33">
        <v>2.9310583410060342</v>
      </c>
      <c r="BO33">
        <v>2.5112794346105081</v>
      </c>
      <c r="BQ33" s="70">
        <v>0</v>
      </c>
      <c r="BR33" s="70">
        <v>0</v>
      </c>
      <c r="BS33" s="70">
        <v>0</v>
      </c>
      <c r="BT33" s="70">
        <v>0</v>
      </c>
      <c r="BU33" s="70">
        <v>0</v>
      </c>
      <c r="BV33">
        <v>5.176058430916445</v>
      </c>
      <c r="BW33">
        <v>4.1909138532076771</v>
      </c>
      <c r="BX33">
        <v>3.4727346661023266</v>
      </c>
      <c r="BY33">
        <v>2.9310583410060342</v>
      </c>
      <c r="BZ33">
        <v>2.5112794346105081</v>
      </c>
    </row>
    <row r="34" spans="1:78">
      <c r="A34" t="s">
        <v>22</v>
      </c>
      <c r="B34">
        <v>0.85679658237556244</v>
      </c>
      <c r="O34">
        <v>29.828649418182415</v>
      </c>
      <c r="P34">
        <v>13.973069489900567</v>
      </c>
      <c r="Q34">
        <v>8.9405733213996044</v>
      </c>
      <c r="R34">
        <v>6.3425841904249083</v>
      </c>
      <c r="S34">
        <v>4.7816152236197098</v>
      </c>
      <c r="T34">
        <v>3.7565549764692534</v>
      </c>
      <c r="U34">
        <v>3.0415804808512945</v>
      </c>
      <c r="V34">
        <v>2.5203576941835735</v>
      </c>
      <c r="W34">
        <v>2.1272329020595038</v>
      </c>
      <c r="X34">
        <v>1.8225758814938047</v>
      </c>
      <c r="Z34">
        <v>29.828649418182415</v>
      </c>
      <c r="AA34">
        <v>13.973069489900567</v>
      </c>
      <c r="AB34">
        <v>8.9405733213996044</v>
      </c>
      <c r="AC34">
        <v>6.3425841904249083</v>
      </c>
      <c r="AD34">
        <v>4.7816152236197098</v>
      </c>
      <c r="AE34">
        <v>3.7565549764692534</v>
      </c>
      <c r="AF34">
        <v>3.0415804808512945</v>
      </c>
      <c r="AG34">
        <v>0</v>
      </c>
      <c r="AH34">
        <v>0</v>
      </c>
      <c r="AI34">
        <v>0</v>
      </c>
      <c r="BF34">
        <v>39.882471957963752</v>
      </c>
      <c r="BG34">
        <v>18.682728281956386</v>
      </c>
      <c r="BH34">
        <v>11.954016414886201</v>
      </c>
      <c r="BI34">
        <v>8.4803684058672886</v>
      </c>
      <c r="BJ34">
        <v>6.3932708583694824</v>
      </c>
      <c r="BK34">
        <v>5.022711434472769</v>
      </c>
      <c r="BL34">
        <v>4.0667529573597907</v>
      </c>
      <c r="BM34">
        <v>3.3698506980018474</v>
      </c>
      <c r="BN34">
        <v>2.8442221897157411</v>
      </c>
      <c r="BO34">
        <v>2.436879741549062</v>
      </c>
      <c r="BQ34" s="70">
        <v>0</v>
      </c>
      <c r="BR34" s="70">
        <v>0</v>
      </c>
      <c r="BS34" s="70">
        <v>0</v>
      </c>
      <c r="BT34" s="70">
        <v>0</v>
      </c>
      <c r="BU34">
        <v>6.3932708583694824</v>
      </c>
      <c r="BV34">
        <v>5.022711434472769</v>
      </c>
      <c r="BW34">
        <v>4.0667529573597907</v>
      </c>
      <c r="BX34">
        <v>3.3698506980018474</v>
      </c>
      <c r="BY34">
        <v>2.8442221897157411</v>
      </c>
      <c r="BZ34">
        <v>2.436879741549062</v>
      </c>
    </row>
    <row r="35" spans="1:78">
      <c r="A35" t="s">
        <v>23</v>
      </c>
      <c r="B35">
        <v>2.8817573670925585</v>
      </c>
      <c r="O35">
        <v>30.185973609249544</v>
      </c>
      <c r="P35">
        <v>14.140456074596557</v>
      </c>
      <c r="Q35">
        <v>9.0476744872940955</v>
      </c>
      <c r="R35">
        <v>6.4185634522863992</v>
      </c>
      <c r="S35">
        <v>4.8388952823920874</v>
      </c>
      <c r="T35">
        <v>3.8015556048700887</v>
      </c>
      <c r="U35">
        <v>3.0780162667847719</v>
      </c>
      <c r="V35">
        <v>2.5505496335385232</v>
      </c>
      <c r="W35">
        <v>2.1527155099135484</v>
      </c>
      <c r="X35">
        <v>1.8444089334494436</v>
      </c>
      <c r="Z35">
        <v>30.185973609249544</v>
      </c>
      <c r="AA35">
        <v>14.140456074596557</v>
      </c>
      <c r="AB35">
        <v>9.0476744872940955</v>
      </c>
      <c r="AC35">
        <v>6.4185634522863992</v>
      </c>
      <c r="AD35">
        <v>4.8388952823920874</v>
      </c>
      <c r="AE35">
        <v>3.8015556048700887</v>
      </c>
      <c r="AF35">
        <v>0</v>
      </c>
      <c r="AG35">
        <v>0</v>
      </c>
      <c r="AH35">
        <v>0</v>
      </c>
      <c r="AI35">
        <v>0</v>
      </c>
      <c r="BF35">
        <v>40.719917095527585</v>
      </c>
      <c r="BG35">
        <v>19.075024927275695</v>
      </c>
      <c r="BH35">
        <v>12.205024750867885</v>
      </c>
      <c r="BI35">
        <v>8.6584376913852186</v>
      </c>
      <c r="BJ35">
        <v>6.5275156363539866</v>
      </c>
      <c r="BK35">
        <v>5.1281774465248517</v>
      </c>
      <c r="BL35">
        <v>4.1521459213015408</v>
      </c>
      <c r="BM35">
        <v>3.4406102307693298</v>
      </c>
      <c r="BN35">
        <v>2.9039446674357556</v>
      </c>
      <c r="BO35">
        <v>2.4880489141254012</v>
      </c>
      <c r="BQ35" s="70">
        <v>0</v>
      </c>
      <c r="BR35" s="70">
        <v>0</v>
      </c>
      <c r="BS35" s="70">
        <v>0</v>
      </c>
      <c r="BT35">
        <v>8.6584376913852186</v>
      </c>
      <c r="BU35">
        <v>6.5275156363539866</v>
      </c>
      <c r="BV35">
        <v>5.1281774465248517</v>
      </c>
      <c r="BW35">
        <v>4.1521459213015408</v>
      </c>
      <c r="BX35">
        <v>3.4406102307693298</v>
      </c>
      <c r="BY35">
        <v>2.9039446674357556</v>
      </c>
      <c r="BZ35">
        <v>2.4880489141254012</v>
      </c>
    </row>
    <row r="36" spans="1:78">
      <c r="A36" t="s">
        <v>24</v>
      </c>
      <c r="B36" s="4" cm="1">
        <f t="array" ref="B36">SUM((B2:K11*(LN((B24:K24-A24:J24)*M2:M11))-((B24:K24-A24:J24)*M2:M11))*AB2:AK11)</f>
        <v>1043.8482676130643</v>
      </c>
      <c r="O36">
        <v>30.57182599776964</v>
      </c>
      <c r="P36">
        <v>14.321206539092909</v>
      </c>
      <c r="Q36">
        <v>9.1633264406372561</v>
      </c>
      <c r="R36">
        <v>6.5006087780722055</v>
      </c>
      <c r="S36">
        <v>4.9007484903316012</v>
      </c>
      <c r="T36">
        <v>3.8501490121664261</v>
      </c>
      <c r="U36">
        <v>3.1173610281569495</v>
      </c>
      <c r="V36">
        <v>2.5831520495109004</v>
      </c>
      <c r="W36">
        <v>2.1802326088170645</v>
      </c>
      <c r="X36">
        <v>1.8679851016920708</v>
      </c>
      <c r="Z36">
        <v>30.57182599776964</v>
      </c>
      <c r="AA36">
        <v>14.321206539092909</v>
      </c>
      <c r="AB36">
        <v>9.1633264406372561</v>
      </c>
      <c r="AC36">
        <v>6.5006087780722055</v>
      </c>
      <c r="AD36">
        <v>4.9007484903316012</v>
      </c>
      <c r="AE36">
        <v>0</v>
      </c>
      <c r="AF36">
        <v>0</v>
      </c>
      <c r="AG36">
        <v>0</v>
      </c>
      <c r="AH36">
        <v>0</v>
      </c>
      <c r="AI36">
        <v>0</v>
      </c>
      <c r="BF36">
        <v>42.902544638862423</v>
      </c>
      <c r="BG36">
        <v>20.097464995078372</v>
      </c>
      <c r="BH36">
        <v>12.859226062865487</v>
      </c>
      <c r="BI36">
        <v>9.122538454241182</v>
      </c>
      <c r="BJ36">
        <v>6.8773968844918878</v>
      </c>
      <c r="BK36">
        <v>5.4030527935358865</v>
      </c>
      <c r="BL36">
        <v>4.3747050200963065</v>
      </c>
      <c r="BM36">
        <v>3.6250303178225423</v>
      </c>
      <c r="BN36">
        <v>3.0595989532879675</v>
      </c>
      <c r="BO36">
        <v>2.6214107791899766</v>
      </c>
      <c r="BQ36" s="70">
        <v>0</v>
      </c>
      <c r="BR36" s="70">
        <v>0</v>
      </c>
      <c r="BS36">
        <v>12.859226062865487</v>
      </c>
      <c r="BT36">
        <v>9.122538454241182</v>
      </c>
      <c r="BU36">
        <v>6.8773968844918878</v>
      </c>
      <c r="BV36">
        <v>5.4030527935358865</v>
      </c>
      <c r="BW36">
        <v>4.3747050200963065</v>
      </c>
      <c r="BX36">
        <v>3.6250303178225423</v>
      </c>
      <c r="BY36">
        <v>3.0595989532879675</v>
      </c>
      <c r="BZ36">
        <v>2.6214107791899766</v>
      </c>
    </row>
    <row r="37" spans="1:78">
      <c r="A37" s="5" t="s">
        <v>25</v>
      </c>
      <c r="O37">
        <v>29.666098646518194</v>
      </c>
      <c r="P37">
        <v>13.896923460080103</v>
      </c>
      <c r="Q37">
        <v>8.8918518029647728</v>
      </c>
      <c r="R37">
        <v>6.3080203742747045</v>
      </c>
      <c r="S37">
        <v>4.7555578841302761</v>
      </c>
      <c r="T37">
        <v>3.7360836872176719</v>
      </c>
      <c r="U37">
        <v>3.0250054342472765</v>
      </c>
      <c r="V37">
        <v>2.5066230432338727</v>
      </c>
      <c r="W37">
        <v>2.115640578689721</v>
      </c>
      <c r="X37">
        <v>1.8126437819273917</v>
      </c>
      <c r="Z37">
        <v>29.666098646518194</v>
      </c>
      <c r="AA37">
        <v>13.896923460080103</v>
      </c>
      <c r="AB37">
        <v>8.8918518029647728</v>
      </c>
      <c r="AC37">
        <v>6.3080203742747045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BF37">
        <v>42.000672985648187</v>
      </c>
      <c r="BG37">
        <v>19.674988096957318</v>
      </c>
      <c r="BH37">
        <v>12.588907097731962</v>
      </c>
      <c r="BI37">
        <v>8.9307699028302618</v>
      </c>
      <c r="BJ37">
        <v>6.7328243573786892</v>
      </c>
      <c r="BK37">
        <v>5.2894730467789524</v>
      </c>
      <c r="BL37">
        <v>4.2827425856530823</v>
      </c>
      <c r="BM37">
        <v>3.5488270969365501</v>
      </c>
      <c r="BN37">
        <v>2.9952818926240443</v>
      </c>
      <c r="BO37">
        <v>2.5663050484441094</v>
      </c>
      <c r="BQ37" s="70">
        <v>0</v>
      </c>
      <c r="BR37">
        <v>19.674988096957318</v>
      </c>
      <c r="BS37">
        <v>12.588907097731962</v>
      </c>
      <c r="BT37">
        <v>8.9307699028302618</v>
      </c>
      <c r="BU37">
        <v>6.7328243573786892</v>
      </c>
      <c r="BV37">
        <v>5.2894730467789524</v>
      </c>
      <c r="BW37">
        <v>4.2827425856530823</v>
      </c>
      <c r="BX37">
        <v>3.5488270969365501</v>
      </c>
      <c r="BY37">
        <v>2.9952818926240443</v>
      </c>
      <c r="BZ37">
        <v>2.5663050484441094</v>
      </c>
    </row>
    <row r="38" spans="1:78">
      <c r="O38">
        <v>30.289022172627632</v>
      </c>
      <c r="P38">
        <v>14.18872861676666</v>
      </c>
      <c r="Q38">
        <v>9.0785613445443332</v>
      </c>
      <c r="R38">
        <v>6.4404750775753854</v>
      </c>
      <c r="S38">
        <v>4.8554142528795907</v>
      </c>
      <c r="T38">
        <v>3.8145333159339998</v>
      </c>
      <c r="U38">
        <v>3.0885239667666298</v>
      </c>
      <c r="V38">
        <v>2.5592566734028992</v>
      </c>
      <c r="W38">
        <v>2.1600644277762058</v>
      </c>
      <c r="X38">
        <v>1.8507053575215622</v>
      </c>
      <c r="Z38">
        <v>30.289022172627632</v>
      </c>
      <c r="AA38">
        <v>14.18872861676666</v>
      </c>
      <c r="AB38">
        <v>9.0785613445443332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</row>
    <row r="39" spans="1:78">
      <c r="G39" s="9"/>
      <c r="O39">
        <v>31.912543504941883</v>
      </c>
      <c r="P39">
        <v>14.949258403976362</v>
      </c>
      <c r="Q39">
        <v>9.5651811477716251</v>
      </c>
      <c r="R39">
        <v>6.7856908662888102</v>
      </c>
      <c r="S39">
        <v>5.1156692248573989</v>
      </c>
      <c r="T39">
        <v>4.0189960475450164</v>
      </c>
      <c r="U39">
        <v>3.2540718843201262</v>
      </c>
      <c r="V39">
        <v>2.6964353442908617</v>
      </c>
      <c r="W39">
        <v>2.2758460022912459</v>
      </c>
      <c r="X39">
        <v>1.9499049820799144</v>
      </c>
      <c r="Z39">
        <v>31.912543504941883</v>
      </c>
      <c r="AA39">
        <v>14.949258403976362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</row>
    <row r="40" spans="1:78">
      <c r="G40" s="9"/>
      <c r="O40">
        <v>31.241697087524429</v>
      </c>
      <c r="P40">
        <v>14.635004028050403</v>
      </c>
      <c r="Q40">
        <v>9.3641076261973382</v>
      </c>
      <c r="R40">
        <v>6.643046128283288</v>
      </c>
      <c r="S40">
        <v>5.0081306837299309</v>
      </c>
      <c r="T40">
        <v>3.9345111145376279</v>
      </c>
      <c r="U40">
        <v>3.1856667299244208</v>
      </c>
      <c r="V40">
        <v>2.63975249197496</v>
      </c>
      <c r="W40">
        <v>2.2280045277627636</v>
      </c>
      <c r="X40">
        <v>1.908915244883616</v>
      </c>
      <c r="Z40">
        <v>31.241697087524429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</row>
    <row r="41" spans="1:78">
      <c r="G41" s="9"/>
    </row>
    <row r="42" spans="1:78">
      <c r="G42" s="9"/>
    </row>
    <row r="43" spans="1:78">
      <c r="G43" s="9"/>
      <c r="Z43">
        <v>38.670621364211755</v>
      </c>
      <c r="AA43">
        <v>18.115043425680192</v>
      </c>
      <c r="AB43">
        <v>11.590787126958169</v>
      </c>
      <c r="AC43">
        <v>8.2226878012468489</v>
      </c>
      <c r="AD43">
        <v>6.1990078474433119</v>
      </c>
      <c r="AE43">
        <v>4.8700936167876847</v>
      </c>
      <c r="AF43">
        <v>3.9431824577374641</v>
      </c>
      <c r="AG43">
        <v>3.2674559524220541</v>
      </c>
      <c r="AH43">
        <v>2.7577989521340101</v>
      </c>
      <c r="AI43">
        <v>2.3628338257188943</v>
      </c>
    </row>
    <row r="44" spans="1:78">
      <c r="G44" s="9"/>
      <c r="Z44">
        <v>39.210532126747047</v>
      </c>
      <c r="AA44">
        <v>18.367961702249971</v>
      </c>
      <c r="AB44">
        <v>11.752615163212376</v>
      </c>
      <c r="AC44">
        <v>8.3374911709431387</v>
      </c>
      <c r="AD44">
        <v>6.2855570399777037</v>
      </c>
      <c r="AE44">
        <v>4.9380887993189759</v>
      </c>
      <c r="AF44">
        <v>3.9982363092781839</v>
      </c>
      <c r="AG44">
        <v>3.3130754582015811</v>
      </c>
      <c r="AH44">
        <v>2.7963027382806729</v>
      </c>
      <c r="AI44">
        <v>0</v>
      </c>
    </row>
    <row r="45" spans="1:78">
      <c r="G45" s="9"/>
      <c r="Z45">
        <v>39.535157150156728</v>
      </c>
      <c r="AA45">
        <v>18.520030538712241</v>
      </c>
      <c r="AB45">
        <v>11.849915372251886</v>
      </c>
      <c r="AC45">
        <v>8.4065174789207049</v>
      </c>
      <c r="AD45">
        <v>6.3375953314920821</v>
      </c>
      <c r="AE45">
        <v>4.9789713659440906</v>
      </c>
      <c r="AF45">
        <v>4.0313378124993449</v>
      </c>
      <c r="AG45">
        <v>3.3405044967746989</v>
      </c>
      <c r="AH45">
        <v>0</v>
      </c>
      <c r="AI45">
        <v>0</v>
      </c>
    </row>
    <row r="46" spans="1:78">
      <c r="G46" s="9"/>
      <c r="Z46">
        <v>40.101001757580818</v>
      </c>
      <c r="AA46">
        <v>18.785097384655415</v>
      </c>
      <c r="AB46">
        <v>12.019516587857368</v>
      </c>
      <c r="AC46">
        <v>8.5268352650520995</v>
      </c>
      <c r="AD46">
        <v>6.42830179128282</v>
      </c>
      <c r="AE46">
        <v>5.0502326002737874</v>
      </c>
      <c r="AF46">
        <v>4.0890360974269413</v>
      </c>
      <c r="AG46">
        <v>0</v>
      </c>
      <c r="AH46">
        <v>0</v>
      </c>
      <c r="AI46">
        <v>0</v>
      </c>
    </row>
    <row r="47" spans="1:78">
      <c r="G47" s="9"/>
      <c r="Z47">
        <v>40.581380798989059</v>
      </c>
      <c r="AA47">
        <v>19.010128348444127</v>
      </c>
      <c r="AB47">
        <v>12.163501117011279</v>
      </c>
      <c r="AC47">
        <v>8.6289801684546035</v>
      </c>
      <c r="AD47">
        <v>6.5053078838250116</v>
      </c>
      <c r="AE47">
        <v>5.1107304878346582</v>
      </c>
      <c r="AF47">
        <v>0</v>
      </c>
      <c r="AG47">
        <v>0</v>
      </c>
      <c r="AH47">
        <v>0</v>
      </c>
      <c r="AI47">
        <v>0</v>
      </c>
    </row>
    <row r="48" spans="1:78">
      <c r="G48" s="9"/>
      <c r="Z48">
        <v>41.100112542196293</v>
      </c>
      <c r="AA48">
        <v>19.253125427957677</v>
      </c>
      <c r="AB48">
        <v>12.318981142917323</v>
      </c>
      <c r="AC48">
        <v>8.7392801591585965</v>
      </c>
      <c r="AD48">
        <v>6.5884620208266824</v>
      </c>
      <c r="AE48">
        <v>0</v>
      </c>
      <c r="AF48">
        <v>0</v>
      </c>
      <c r="AG48">
        <v>0</v>
      </c>
      <c r="AH48">
        <v>0</v>
      </c>
      <c r="AI48">
        <v>0</v>
      </c>
    </row>
    <row r="49" spans="26:35">
      <c r="Z49">
        <v>39.882471957963752</v>
      </c>
      <c r="AA49">
        <v>18.682728281956386</v>
      </c>
      <c r="AB49">
        <v>11.954016414886205</v>
      </c>
      <c r="AC49">
        <v>8.4803684058672815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</row>
    <row r="50" spans="26:35">
      <c r="Z50">
        <v>40.719917095527585</v>
      </c>
      <c r="AA50">
        <v>19.075024927275692</v>
      </c>
      <c r="AB50">
        <v>12.205024750867885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</row>
    <row r="51" spans="26:35">
      <c r="Z51">
        <v>42.902544638862423</v>
      </c>
      <c r="AA51">
        <v>20.097464995078376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</row>
    <row r="52" spans="26:35">
      <c r="Z52">
        <v>42.000672985648187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</row>
  </sheetData>
  <pageMargins left="0.7" right="0.7" top="0.75" bottom="0.75" header="0.3" footer="0.3"/>
  <pageSetup orientation="portrait" horizontalDpi="360" verticalDpi="36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875EE-BD5F-4EC2-83C7-A9ED455B78F2}">
  <dimension ref="A1:CL49"/>
  <sheetViews>
    <sheetView topLeftCell="A13" workbookViewId="0">
      <selection activeCell="M21" sqref="M21"/>
    </sheetView>
  </sheetViews>
  <sheetFormatPr defaultRowHeight="15"/>
  <cols>
    <col min="1" max="1" width="17.85546875" customWidth="1"/>
    <col min="13" max="13" width="9.28515625" bestFit="1" customWidth="1"/>
  </cols>
  <sheetData>
    <row r="1" spans="1:90" ht="18" customHeight="1">
      <c r="A1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N1" t="s">
        <v>13</v>
      </c>
      <c r="P1" s="4" cm="1">
        <f t="array" ref="P1:Y1">B24:K24-A24:J24</f>
        <v>0.3867080993455061</v>
      </c>
      <c r="Q1">
        <v>0.18115131760435532</v>
      </c>
      <c r="R1">
        <v>0.11590843647349591</v>
      </c>
      <c r="S1">
        <v>8.2227278977069052E-2</v>
      </c>
      <c r="T1" s="10">
        <v>6.1990380757915853E-2</v>
      </c>
      <c r="U1">
        <v>4.87011736492442E-2</v>
      </c>
      <c r="V1">
        <v>3.9432016859584196E-2</v>
      </c>
      <c r="W1">
        <v>3.2674718855840834E-2</v>
      </c>
      <c r="X1">
        <v>2.7578124000452342E-2</v>
      </c>
      <c r="Y1">
        <v>2.3628453476536193E-2</v>
      </c>
      <c r="AN1" s="5" t="s">
        <v>14</v>
      </c>
      <c r="BA1" s="5" t="s">
        <v>15</v>
      </c>
      <c r="BM1" t="s">
        <v>16</v>
      </c>
      <c r="BY1" t="s">
        <v>17</v>
      </c>
    </row>
    <row r="2" spans="1:90">
      <c r="A2">
        <v>2000</v>
      </c>
      <c r="B2" cm="1">
        <f t="array" ref="B2:K11">($N$23:$W$32-$M$23:$V$32)*(AB2:AK11)</f>
        <v>51.985148596158702</v>
      </c>
      <c r="C2">
        <v>24.352161695063266</v>
      </c>
      <c r="D2">
        <v>15.581564761175528</v>
      </c>
      <c r="E2">
        <v>11.053808605290101</v>
      </c>
      <c r="F2">
        <v>8.3333634870509457</v>
      </c>
      <c r="G2">
        <v>6.5468961039300524</v>
      </c>
      <c r="H2">
        <v>5.3008438648197256</v>
      </c>
      <c r="I2">
        <v>4.3924606646031776</v>
      </c>
      <c r="J2">
        <v>3.7073256975822915</v>
      </c>
      <c r="K2">
        <v>3.1763717055683003</v>
      </c>
      <c r="L2">
        <v>134.42994518124209</v>
      </c>
      <c r="M2">
        <v>134.42994518124209</v>
      </c>
      <c r="O2">
        <f>SUM(P2:Y2)</f>
        <v>134.42994518124209</v>
      </c>
      <c r="P2" cm="1">
        <f t="array" ref="P2:Y11">_xlfn.ANCHORARRAY(P1)*M2:M11</f>
        <v>51.985148596158702</v>
      </c>
      <c r="Q2">
        <v>24.352161695063263</v>
      </c>
      <c r="R2">
        <v>15.581564761175537</v>
      </c>
      <c r="S2">
        <v>11.053808605290092</v>
      </c>
      <c r="T2" s="10">
        <v>8.3333634870509528</v>
      </c>
      <c r="U2">
        <v>6.5468961039300497</v>
      </c>
      <c r="V2">
        <v>5.3008438648197176</v>
      </c>
      <c r="W2">
        <v>4.3924606646031803</v>
      </c>
      <c r="X2">
        <v>3.7073256975823052</v>
      </c>
      <c r="Y2">
        <v>3.1763717055682896</v>
      </c>
      <c r="AB2">
        <v>1</v>
      </c>
      <c r="AC2">
        <v>1</v>
      </c>
      <c r="AD2">
        <v>1</v>
      </c>
      <c r="AE2">
        <v>1</v>
      </c>
      <c r="AF2">
        <v>1</v>
      </c>
      <c r="AG2">
        <v>1</v>
      </c>
      <c r="AH2">
        <v>1</v>
      </c>
      <c r="AI2">
        <v>1</v>
      </c>
      <c r="AJ2">
        <v>1</v>
      </c>
      <c r="AK2">
        <v>1</v>
      </c>
      <c r="AP2" s="4" cm="1">
        <f t="array" ref="AP2:AY11">LN(P2:Y11)</f>
        <v>3.9509580738688355</v>
      </c>
      <c r="AQ2">
        <v>3.1926206215662023</v>
      </c>
      <c r="AR2">
        <v>2.7460884693645031</v>
      </c>
      <c r="AS2">
        <v>2.4027750387406459</v>
      </c>
      <c r="AT2">
        <v>2.120267154639659</v>
      </c>
      <c r="AU2">
        <v>1.878991060069259</v>
      </c>
      <c r="AV2">
        <v>1.6678660276612578</v>
      </c>
      <c r="AW2">
        <v>1.4798895859116827</v>
      </c>
      <c r="AX2">
        <v>1.3103107804608056</v>
      </c>
      <c r="AY2">
        <v>1.1557395722950168</v>
      </c>
      <c r="BB2" cm="1">
        <f t="array" ref="BB2:BK11">_xlfn.ANCHORARRAY(AP2)*B2:K11</f>
        <v>205.39114256726438</v>
      </c>
      <c r="BC2">
        <v>77.747213607373553</v>
      </c>
      <c r="BD2">
        <v>42.788355325320389</v>
      </c>
      <c r="BE2">
        <v>26.559815399807608</v>
      </c>
      <c r="BF2">
        <v>17.668956889267534</v>
      </c>
      <c r="BG2">
        <v>12.301559250486831</v>
      </c>
      <c r="BH2">
        <v>8.8410974000694242</v>
      </c>
      <c r="BI2">
        <v>6.5003567940729514</v>
      </c>
      <c r="BJ2">
        <v>4.8577488282214532</v>
      </c>
      <c r="BK2">
        <v>3.6710584764435001</v>
      </c>
      <c r="BN2" cm="1">
        <f t="array" ref="BN2:BW11">_xlfn.ANCHORARRAY(BB2)-_xlfn.ANCHORARRAY(P2)</f>
        <v>153.40599397110569</v>
      </c>
      <c r="BO2">
        <v>53.395051912310294</v>
      </c>
      <c r="BP2">
        <v>27.206790564144853</v>
      </c>
      <c r="BQ2">
        <v>15.506006794517516</v>
      </c>
      <c r="BR2">
        <v>9.3355934022165812</v>
      </c>
      <c r="BS2">
        <v>5.7546631465567808</v>
      </c>
      <c r="BT2">
        <v>3.5402535352497067</v>
      </c>
      <c r="BU2">
        <v>2.1078961294697711</v>
      </c>
      <c r="BV2">
        <v>1.1504231306391479</v>
      </c>
      <c r="BW2">
        <v>0.49468677087521051</v>
      </c>
      <c r="BZ2" cm="1">
        <f t="array" ref="BZ2:CI11">_xlfn.ANCHORARRAY(BN2)*AB2:AK11</f>
        <v>153.40599397110569</v>
      </c>
      <c r="CA2">
        <v>53.395051912310294</v>
      </c>
      <c r="CB2">
        <v>27.206790564144853</v>
      </c>
      <c r="CC2">
        <v>15.506006794517516</v>
      </c>
      <c r="CD2">
        <v>9.3355934022165812</v>
      </c>
      <c r="CE2">
        <v>5.7546631465567808</v>
      </c>
      <c r="CF2">
        <v>3.5402535352497067</v>
      </c>
      <c r="CG2">
        <v>2.1078961294697711</v>
      </c>
      <c r="CH2">
        <v>1.1504231306391479</v>
      </c>
      <c r="CI2">
        <v>0.49468677087521051</v>
      </c>
      <c r="CL2">
        <f>SUM(_xlfn.ANCHORARRAY(BZ2))</f>
        <v>2598.3324860359644</v>
      </c>
    </row>
    <row r="3" spans="1:90">
      <c r="A3">
        <v>2001</v>
      </c>
      <c r="B3">
        <v>52.712550402007992</v>
      </c>
      <c r="C3">
        <v>24.69290913681688</v>
      </c>
      <c r="D3">
        <v>15.799589690435326</v>
      </c>
      <c r="E3">
        <v>11.208478940147884</v>
      </c>
      <c r="F3">
        <v>8.4499680137854938</v>
      </c>
      <c r="G3">
        <v>6.6385034990670988</v>
      </c>
      <c r="H3">
        <v>5.3750158832503701</v>
      </c>
      <c r="I3">
        <v>4.4539221378476839</v>
      </c>
      <c r="J3">
        <v>3.7592004248864725</v>
      </c>
      <c r="K3">
        <v>0</v>
      </c>
      <c r="L3">
        <v>136.31095519132566</v>
      </c>
      <c r="M3">
        <v>136.31095519132566</v>
      </c>
      <c r="O3">
        <f t="shared" ref="O3:O11" si="0">SUM(P3:Y3)</f>
        <v>136.31095519132569</v>
      </c>
      <c r="P3">
        <v>52.712550402007992</v>
      </c>
      <c r="Q3">
        <v>24.692909136816883</v>
      </c>
      <c r="R3">
        <v>15.799589690435319</v>
      </c>
      <c r="S3">
        <v>11.208478940147893</v>
      </c>
      <c r="T3" s="10">
        <v>8.4499680137854849</v>
      </c>
      <c r="U3">
        <v>6.6385034990670961</v>
      </c>
      <c r="V3">
        <v>5.3750158832503789</v>
      </c>
      <c r="W3">
        <v>4.4539221378476839</v>
      </c>
      <c r="X3">
        <v>3.7592004248864819</v>
      </c>
      <c r="Y3">
        <v>3.2208170630804482</v>
      </c>
      <c r="AB3">
        <v>1</v>
      </c>
      <c r="AC3">
        <v>1</v>
      </c>
      <c r="AD3">
        <v>1</v>
      </c>
      <c r="AE3">
        <v>1</v>
      </c>
      <c r="AF3">
        <v>1</v>
      </c>
      <c r="AG3">
        <v>1</v>
      </c>
      <c r="AH3">
        <v>1</v>
      </c>
      <c r="AI3">
        <v>1</v>
      </c>
      <c r="AJ3">
        <v>1</v>
      </c>
      <c r="AK3">
        <v>0</v>
      </c>
      <c r="AP3">
        <v>3.9648535752402645</v>
      </c>
      <c r="AQ3">
        <v>3.2065161229376313</v>
      </c>
      <c r="AR3">
        <v>2.7599839707359317</v>
      </c>
      <c r="AS3">
        <v>2.4166705401120749</v>
      </c>
      <c r="AT3">
        <v>2.134162656011088</v>
      </c>
      <c r="AU3">
        <v>1.8928865614406878</v>
      </c>
      <c r="AV3">
        <v>1.6817615290326868</v>
      </c>
      <c r="AW3">
        <v>1.4937850872831118</v>
      </c>
      <c r="AX3">
        <v>1.3242062818322344</v>
      </c>
      <c r="AY3">
        <v>1.1696350736664458</v>
      </c>
      <c r="BB3">
        <v>208.99754392143402</v>
      </c>
      <c r="BC3">
        <v>79.17821126943727</v>
      </c>
      <c r="BD3">
        <v>43.606614289806181</v>
      </c>
      <c r="BE3">
        <v>27.087200854122006</v>
      </c>
      <c r="BF3">
        <v>18.033606179509189</v>
      </c>
      <c r="BG3">
        <v>12.565934061461094</v>
      </c>
      <c r="BH3">
        <v>9.03949493039012</v>
      </c>
      <c r="BI3">
        <v>6.6532024694369865</v>
      </c>
      <c r="BJ3">
        <v>4.977956817301072</v>
      </c>
      <c r="BK3">
        <v>0</v>
      </c>
      <c r="BN3">
        <v>156.28499351942602</v>
      </c>
      <c r="BO3">
        <v>54.48530213262039</v>
      </c>
      <c r="BP3">
        <v>27.807024599370862</v>
      </c>
      <c r="BQ3">
        <v>15.878721913974113</v>
      </c>
      <c r="BR3">
        <v>9.5836381657237038</v>
      </c>
      <c r="BS3">
        <v>5.9274305623939982</v>
      </c>
      <c r="BT3">
        <v>3.664479047139741</v>
      </c>
      <c r="BU3">
        <v>2.1992803315893026</v>
      </c>
      <c r="BV3">
        <v>1.2187563924145901</v>
      </c>
      <c r="BW3">
        <v>-3.2208170630804482</v>
      </c>
      <c r="BZ3">
        <v>156.28499351942602</v>
      </c>
      <c r="CA3">
        <v>54.48530213262039</v>
      </c>
      <c r="CB3">
        <v>27.807024599370862</v>
      </c>
      <c r="CC3">
        <v>15.878721913974113</v>
      </c>
      <c r="CD3">
        <v>9.5836381657237038</v>
      </c>
      <c r="CE3">
        <v>5.9274305623939982</v>
      </c>
      <c r="CF3">
        <v>3.664479047139741</v>
      </c>
      <c r="CG3">
        <v>2.1992803315893026</v>
      </c>
      <c r="CH3">
        <v>1.2187563924145901</v>
      </c>
      <c r="CI3">
        <v>0</v>
      </c>
    </row>
    <row r="4" spans="1:90">
      <c r="A4">
        <v>2002</v>
      </c>
      <c r="B4">
        <v>53.148362066132719</v>
      </c>
      <c r="C4">
        <v>24.897062753762469</v>
      </c>
      <c r="D4">
        <v>15.930215991438857</v>
      </c>
      <c r="E4">
        <v>11.301147305119031</v>
      </c>
      <c r="F4">
        <v>8.5198298321532775</v>
      </c>
      <c r="G4">
        <v>6.6933886684463459</v>
      </c>
      <c r="H4">
        <v>5.4194549134037544</v>
      </c>
      <c r="I4">
        <v>4.4907458392996915</v>
      </c>
      <c r="J4">
        <v>0</v>
      </c>
      <c r="K4">
        <v>0</v>
      </c>
      <c r="L4">
        <v>137.43793356302857</v>
      </c>
      <c r="M4">
        <v>137.43793356302857</v>
      </c>
      <c r="O4">
        <f t="shared" si="0"/>
        <v>137.43793356302854</v>
      </c>
      <c r="P4">
        <v>53.148362066132719</v>
      </c>
      <c r="Q4">
        <v>24.897062753762473</v>
      </c>
      <c r="R4">
        <v>15.930215991438848</v>
      </c>
      <c r="S4">
        <v>11.301147305119033</v>
      </c>
      <c r="T4" s="10">
        <v>8.5198298321532828</v>
      </c>
      <c r="U4">
        <v>6.6933886684463415</v>
      </c>
      <c r="V4">
        <v>5.4194549134037553</v>
      </c>
      <c r="W4">
        <v>4.4907458392996897</v>
      </c>
      <c r="X4">
        <v>3.7902803741671325</v>
      </c>
      <c r="Y4">
        <v>3.2474458191052928</v>
      </c>
      <c r="AB4">
        <v>1</v>
      </c>
      <c r="AC4">
        <v>1</v>
      </c>
      <c r="AD4">
        <v>1</v>
      </c>
      <c r="AE4">
        <v>1</v>
      </c>
      <c r="AF4">
        <v>1</v>
      </c>
      <c r="AG4">
        <v>1</v>
      </c>
      <c r="AH4">
        <v>1</v>
      </c>
      <c r="AI4">
        <v>1</v>
      </c>
      <c r="AJ4">
        <v>0</v>
      </c>
      <c r="AK4">
        <v>0</v>
      </c>
      <c r="AP4">
        <v>3.9730872871189811</v>
      </c>
      <c r="AQ4">
        <v>3.2147498348163475</v>
      </c>
      <c r="AR4">
        <v>2.7682176826146483</v>
      </c>
      <c r="AS4">
        <v>2.4249042519907915</v>
      </c>
      <c r="AT4">
        <v>2.1423963678898041</v>
      </c>
      <c r="AU4">
        <v>1.9011202733194041</v>
      </c>
      <c r="AV4">
        <v>1.6899952409114034</v>
      </c>
      <c r="AW4">
        <v>1.5020187991618283</v>
      </c>
      <c r="AX4">
        <v>1.332439993710951</v>
      </c>
      <c r="AY4">
        <v>1.1778687855451624</v>
      </c>
      <c r="BB4">
        <v>211.16308165614862</v>
      </c>
      <c r="BC4">
        <v>80.037828375070134</v>
      </c>
      <c r="BD4">
        <v>44.098305595371684</v>
      </c>
      <c r="BE4">
        <v>27.404200152557411</v>
      </c>
      <c r="BF4">
        <v>18.252852487444382</v>
      </c>
      <c r="BG4">
        <v>12.724936894789719</v>
      </c>
      <c r="BH4">
        <v>9.1588530119862668</v>
      </c>
      <c r="BI4">
        <v>6.7451846728859</v>
      </c>
      <c r="BJ4">
        <v>0</v>
      </c>
      <c r="BK4">
        <v>0</v>
      </c>
      <c r="BN4">
        <v>158.01471959001589</v>
      </c>
      <c r="BO4">
        <v>55.140765621307665</v>
      </c>
      <c r="BP4">
        <v>28.168089603932835</v>
      </c>
      <c r="BQ4">
        <v>16.103052847438377</v>
      </c>
      <c r="BR4">
        <v>9.7330226552910997</v>
      </c>
      <c r="BS4">
        <v>6.0315482263433777</v>
      </c>
      <c r="BT4">
        <v>3.7393980985825115</v>
      </c>
      <c r="BU4">
        <v>2.2544388335862102</v>
      </c>
      <c r="BV4">
        <v>-3.7902803741671325</v>
      </c>
      <c r="BW4">
        <v>-3.2474458191052928</v>
      </c>
      <c r="BZ4">
        <v>158.01471959001589</v>
      </c>
      <c r="CA4">
        <v>55.140765621307665</v>
      </c>
      <c r="CB4">
        <v>28.168089603932835</v>
      </c>
      <c r="CC4">
        <v>16.103052847438377</v>
      </c>
      <c r="CD4">
        <v>9.7330226552910997</v>
      </c>
      <c r="CE4">
        <v>6.0315482263433777</v>
      </c>
      <c r="CF4">
        <v>3.7393980985825115</v>
      </c>
      <c r="CG4">
        <v>2.2544388335862102</v>
      </c>
      <c r="CH4">
        <v>0</v>
      </c>
      <c r="CI4">
        <v>0</v>
      </c>
    </row>
    <row r="5" spans="1:90">
      <c r="A5">
        <v>2003</v>
      </c>
      <c r="B5">
        <v>53.907984523111743</v>
      </c>
      <c r="C5">
        <v>25.252903785270483</v>
      </c>
      <c r="D5">
        <v>16.157898451277703</v>
      </c>
      <c r="E5">
        <v>11.462668844991043</v>
      </c>
      <c r="F5">
        <v>8.6415994186193785</v>
      </c>
      <c r="G5">
        <v>6.7890538620324463</v>
      </c>
      <c r="H5">
        <v>5.4969124209687834</v>
      </c>
      <c r="I5">
        <v>0</v>
      </c>
      <c r="J5">
        <v>0</v>
      </c>
      <c r="K5">
        <v>0</v>
      </c>
      <c r="L5">
        <v>139.40226391521065</v>
      </c>
      <c r="M5">
        <v>139.40226391521065</v>
      </c>
      <c r="O5">
        <f t="shared" si="0"/>
        <v>139.40226391521065</v>
      </c>
      <c r="P5">
        <v>53.907984523111743</v>
      </c>
      <c r="Q5">
        <v>25.252903785270487</v>
      </c>
      <c r="R5">
        <v>16.157898451277706</v>
      </c>
      <c r="S5">
        <v>11.462668844991033</v>
      </c>
      <c r="T5" s="10">
        <v>8.6415994186193821</v>
      </c>
      <c r="U5">
        <v>6.7890538620324428</v>
      </c>
      <c r="V5">
        <v>5.4969124209687923</v>
      </c>
      <c r="W5">
        <v>4.5549297812972336</v>
      </c>
      <c r="X5">
        <v>3.8444529201974622</v>
      </c>
      <c r="Y5">
        <v>3.2938599074443751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0</v>
      </c>
      <c r="AJ5">
        <v>0</v>
      </c>
      <c r="AK5">
        <v>0</v>
      </c>
      <c r="AP5">
        <v>3.9872786028086997</v>
      </c>
      <c r="AQ5">
        <v>3.2289411505060661</v>
      </c>
      <c r="AR5">
        <v>2.7824089983043669</v>
      </c>
      <c r="AS5">
        <v>2.4390955676805097</v>
      </c>
      <c r="AT5">
        <v>2.1565876835795228</v>
      </c>
      <c r="AU5">
        <v>1.9153115890091228</v>
      </c>
      <c r="AV5">
        <v>1.7041865566011218</v>
      </c>
      <c r="AW5">
        <v>1.5162101148515466</v>
      </c>
      <c r="AX5">
        <v>1.3466313094006694</v>
      </c>
      <c r="AY5">
        <v>1.1920601012348806</v>
      </c>
      <c r="BB5">
        <v>214.946153209546</v>
      </c>
      <c r="BC5">
        <v>81.540140202030273</v>
      </c>
      <c r="BD5">
        <v>44.957882044523274</v>
      </c>
      <c r="BE5">
        <v>27.95854477360712</v>
      </c>
      <c r="BF5">
        <v>18.636366872622517</v>
      </c>
      <c r="BG5">
        <v>13.003153540357888</v>
      </c>
      <c r="BH5">
        <v>9.3677642506287278</v>
      </c>
      <c r="BI5">
        <v>0</v>
      </c>
      <c r="BJ5">
        <v>0</v>
      </c>
      <c r="BK5">
        <v>0</v>
      </c>
      <c r="BN5">
        <v>161.03816868643426</v>
      </c>
      <c r="BO5">
        <v>56.287236416759782</v>
      </c>
      <c r="BP5">
        <v>28.799983593245567</v>
      </c>
      <c r="BQ5">
        <v>16.495875928616087</v>
      </c>
      <c r="BR5">
        <v>9.994767454003135</v>
      </c>
      <c r="BS5">
        <v>6.2140996783254447</v>
      </c>
      <c r="BT5">
        <v>3.8708518296599355</v>
      </c>
      <c r="BU5">
        <v>-4.5549297812972336</v>
      </c>
      <c r="BV5">
        <v>-3.8444529201974622</v>
      </c>
      <c r="BW5">
        <v>-3.2938599074443751</v>
      </c>
      <c r="BZ5">
        <v>161.03816868643426</v>
      </c>
      <c r="CA5">
        <v>56.287236416759782</v>
      </c>
      <c r="CB5">
        <v>28.799983593245567</v>
      </c>
      <c r="CC5">
        <v>16.495875928616087</v>
      </c>
      <c r="CD5">
        <v>9.994767454003135</v>
      </c>
      <c r="CE5">
        <v>6.2140996783254447</v>
      </c>
      <c r="CF5">
        <v>3.8708518296599355</v>
      </c>
      <c r="CG5">
        <v>0</v>
      </c>
      <c r="CH5">
        <v>0</v>
      </c>
      <c r="CI5">
        <v>0</v>
      </c>
    </row>
    <row r="6" spans="1:90">
      <c r="A6">
        <v>2004</v>
      </c>
      <c r="B6">
        <v>54.553716750747043</v>
      </c>
      <c r="C6">
        <v>25.55539355482459</v>
      </c>
      <c r="D6">
        <v>16.351444469611508</v>
      </c>
      <c r="E6">
        <v>11.599973453082043</v>
      </c>
      <c r="F6">
        <v>8.7451120854772029</v>
      </c>
      <c r="G6">
        <v>6.8703759688158357</v>
      </c>
      <c r="H6">
        <v>0</v>
      </c>
      <c r="I6">
        <v>0</v>
      </c>
      <c r="J6">
        <v>0</v>
      </c>
      <c r="K6">
        <v>0</v>
      </c>
      <c r="L6">
        <v>141.07208212881463</v>
      </c>
      <c r="M6">
        <v>141.07208212881463</v>
      </c>
      <c r="O6">
        <f t="shared" si="0"/>
        <v>141.07208212881466</v>
      </c>
      <c r="P6">
        <v>54.553716750747043</v>
      </c>
      <c r="Q6">
        <v>25.555393554824597</v>
      </c>
      <c r="R6">
        <v>16.351444469611508</v>
      </c>
      <c r="S6">
        <v>11.599973453082038</v>
      </c>
      <c r="T6" s="10">
        <v>8.7451120854771958</v>
      </c>
      <c r="U6">
        <v>6.870375968815841</v>
      </c>
      <c r="V6">
        <v>5.5627567209200643</v>
      </c>
      <c r="W6">
        <v>4.6094906219671063</v>
      </c>
      <c r="X6">
        <v>3.8905033739504464</v>
      </c>
      <c r="Y6">
        <v>3.3333151294187893</v>
      </c>
      <c r="AB6">
        <v>1</v>
      </c>
      <c r="AC6">
        <v>1</v>
      </c>
      <c r="AD6">
        <v>1</v>
      </c>
      <c r="AE6">
        <v>1</v>
      </c>
      <c r="AF6">
        <v>1</v>
      </c>
      <c r="AG6">
        <v>1</v>
      </c>
      <c r="AH6">
        <v>0</v>
      </c>
      <c r="AI6">
        <v>0</v>
      </c>
      <c r="AJ6">
        <v>0</v>
      </c>
      <c r="AK6">
        <v>0</v>
      </c>
      <c r="AP6">
        <v>3.9991858447104796</v>
      </c>
      <c r="AQ6">
        <v>3.2408483924078459</v>
      </c>
      <c r="AR6">
        <v>2.7943162402061468</v>
      </c>
      <c r="AS6">
        <v>2.4510028095822896</v>
      </c>
      <c r="AT6">
        <v>2.1684949254813026</v>
      </c>
      <c r="AU6">
        <v>1.9272188309109026</v>
      </c>
      <c r="AV6">
        <v>1.7160937985029014</v>
      </c>
      <c r="AW6">
        <v>1.5281173567533266</v>
      </c>
      <c r="AX6">
        <v>1.3585385513024493</v>
      </c>
      <c r="AY6">
        <v>1.2039673431366604</v>
      </c>
      <c r="BB6">
        <v>218.17045180593254</v>
      </c>
      <c r="BC6">
        <v>82.821156119503101</v>
      </c>
      <c r="BD6">
        <v>45.691106832264417</v>
      </c>
      <c r="BE6">
        <v>28.431567524584061</v>
      </c>
      <c r="BF6">
        <v>18.963731180122526</v>
      </c>
      <c r="BG6">
        <v>13.240717942539614</v>
      </c>
      <c r="BH6">
        <v>0</v>
      </c>
      <c r="BI6">
        <v>0</v>
      </c>
      <c r="BJ6">
        <v>0</v>
      </c>
      <c r="BK6">
        <v>0</v>
      </c>
      <c r="BN6">
        <v>163.6167350551855</v>
      </c>
      <c r="BO6">
        <v>57.265762564678504</v>
      </c>
      <c r="BP6">
        <v>29.339662362652909</v>
      </c>
      <c r="BQ6">
        <v>16.831594071502025</v>
      </c>
      <c r="BR6">
        <v>10.21861909464533</v>
      </c>
      <c r="BS6">
        <v>6.3703419737237734</v>
      </c>
      <c r="BT6">
        <v>-5.5627567209200643</v>
      </c>
      <c r="BU6">
        <v>-4.6094906219671063</v>
      </c>
      <c r="BV6">
        <v>-3.8905033739504464</v>
      </c>
      <c r="BW6">
        <v>-3.3333151294187893</v>
      </c>
      <c r="BZ6">
        <v>163.6167350551855</v>
      </c>
      <c r="CA6">
        <v>57.265762564678504</v>
      </c>
      <c r="CB6">
        <v>29.339662362652909</v>
      </c>
      <c r="CC6">
        <v>16.831594071502025</v>
      </c>
      <c r="CD6">
        <v>10.21861909464533</v>
      </c>
      <c r="CE6">
        <v>6.3703419737237734</v>
      </c>
      <c r="CF6">
        <v>0</v>
      </c>
      <c r="CG6">
        <v>0</v>
      </c>
      <c r="CH6">
        <v>0</v>
      </c>
      <c r="CI6">
        <v>0</v>
      </c>
    </row>
    <row r="7" spans="1:90">
      <c r="A7">
        <v>2005</v>
      </c>
      <c r="B7">
        <v>55.252445721715837</v>
      </c>
      <c r="C7">
        <v>25.882709362157208</v>
      </c>
      <c r="D7">
        <v>16.560875259090182</v>
      </c>
      <c r="E7">
        <v>11.748546969184886</v>
      </c>
      <c r="F7">
        <v>8.8571202772638458</v>
      </c>
      <c r="G7">
        <v>0</v>
      </c>
      <c r="H7">
        <v>0</v>
      </c>
      <c r="I7">
        <v>0</v>
      </c>
      <c r="J7">
        <v>0</v>
      </c>
      <c r="K7">
        <v>0</v>
      </c>
      <c r="L7">
        <v>142.87894620058188</v>
      </c>
      <c r="M7">
        <v>142.87894620058188</v>
      </c>
      <c r="O7">
        <f t="shared" si="0"/>
        <v>142.87894620058191</v>
      </c>
      <c r="P7">
        <v>55.252445721715837</v>
      </c>
      <c r="Q7">
        <v>25.882709362157204</v>
      </c>
      <c r="R7">
        <v>16.560875259090185</v>
      </c>
      <c r="S7">
        <v>11.748546969184886</v>
      </c>
      <c r="T7" s="10">
        <v>8.8571202772638458</v>
      </c>
      <c r="U7">
        <v>6.9583723697355584</v>
      </c>
      <c r="V7">
        <v>5.6340050154609678</v>
      </c>
      <c r="W7">
        <v>4.6685293975228213</v>
      </c>
      <c r="X7">
        <v>3.9403332953736059</v>
      </c>
      <c r="Y7">
        <v>3.3760085330769667</v>
      </c>
      <c r="AB7">
        <v>1</v>
      </c>
      <c r="AC7">
        <v>1</v>
      </c>
      <c r="AD7">
        <v>1</v>
      </c>
      <c r="AE7">
        <v>1</v>
      </c>
      <c r="AF7">
        <v>1</v>
      </c>
      <c r="AG7">
        <v>0</v>
      </c>
      <c r="AH7">
        <v>0</v>
      </c>
      <c r="AI7">
        <v>0</v>
      </c>
      <c r="AJ7">
        <v>0</v>
      </c>
      <c r="AK7">
        <v>0</v>
      </c>
      <c r="AP7">
        <v>4.0119126058745271</v>
      </c>
      <c r="AQ7">
        <v>3.2535751535718931</v>
      </c>
      <c r="AR7">
        <v>2.8070430013701939</v>
      </c>
      <c r="AS7">
        <v>2.4637295707463371</v>
      </c>
      <c r="AT7">
        <v>2.1812216866453498</v>
      </c>
      <c r="AU7">
        <v>1.93994559207495</v>
      </c>
      <c r="AV7">
        <v>1.728820559666949</v>
      </c>
      <c r="AW7">
        <v>1.540844117917374</v>
      </c>
      <c r="AX7">
        <v>1.3712653124664966</v>
      </c>
      <c r="AY7">
        <v>1.216694104300708</v>
      </c>
      <c r="BB7">
        <v>221.66798349634985</v>
      </c>
      <c r="BC7">
        <v>84.211340087837314</v>
      </c>
      <c r="BD7">
        <v>46.48708899259389</v>
      </c>
      <c r="BE7">
        <v>28.945242581283061</v>
      </c>
      <c r="BF7">
        <v>19.319342829994174</v>
      </c>
      <c r="BG7">
        <v>0</v>
      </c>
      <c r="BH7">
        <v>0</v>
      </c>
      <c r="BI7">
        <v>0</v>
      </c>
      <c r="BJ7">
        <v>0</v>
      </c>
      <c r="BK7">
        <v>0</v>
      </c>
      <c r="BN7">
        <v>166.415537774634</v>
      </c>
      <c r="BO7">
        <v>58.328630725680114</v>
      </c>
      <c r="BP7">
        <v>29.926213733503705</v>
      </c>
      <c r="BQ7">
        <v>17.196695612098175</v>
      </c>
      <c r="BR7">
        <v>10.462222552730328</v>
      </c>
      <c r="BS7">
        <v>-6.9583723697355584</v>
      </c>
      <c r="BT7">
        <v>-5.6340050154609678</v>
      </c>
      <c r="BU7">
        <v>-4.6685293975228213</v>
      </c>
      <c r="BV7">
        <v>-3.9403332953736059</v>
      </c>
      <c r="BW7">
        <v>-3.3760085330769667</v>
      </c>
      <c r="BZ7">
        <v>166.415537774634</v>
      </c>
      <c r="CA7">
        <v>58.328630725680114</v>
      </c>
      <c r="CB7">
        <v>29.926213733503705</v>
      </c>
      <c r="CC7">
        <v>17.196695612098175</v>
      </c>
      <c r="CD7">
        <v>10.462222552730328</v>
      </c>
      <c r="CE7">
        <v>0</v>
      </c>
      <c r="CF7">
        <v>0</v>
      </c>
      <c r="CG7">
        <v>0</v>
      </c>
      <c r="CH7">
        <v>0</v>
      </c>
      <c r="CI7">
        <v>0</v>
      </c>
    </row>
    <row r="8" spans="1:90">
      <c r="A8">
        <v>2006</v>
      </c>
      <c r="B8">
        <v>53.616736358656901</v>
      </c>
      <c r="C8">
        <v>25.11647015786486</v>
      </c>
      <c r="D8">
        <v>16.070602324238024</v>
      </c>
      <c r="E8">
        <v>11.400739591089391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138.64911660604446</v>
      </c>
      <c r="M8">
        <v>138.64911660604446</v>
      </c>
      <c r="O8">
        <f t="shared" si="0"/>
        <v>138.64911660604446</v>
      </c>
      <c r="P8">
        <v>53.616736358656901</v>
      </c>
      <c r="Q8">
        <v>25.116470157864857</v>
      </c>
      <c r="R8">
        <v>16.070602324238031</v>
      </c>
      <c r="S8">
        <v>11.400739591089396</v>
      </c>
      <c r="T8">
        <v>8.5949115301573702</v>
      </c>
      <c r="U8">
        <v>6.7523747041452786</v>
      </c>
      <c r="V8">
        <v>5.4672143035760001</v>
      </c>
      <c r="W8">
        <v>4.5303209047131956</v>
      </c>
      <c r="X8">
        <v>3.8236825303146702</v>
      </c>
      <c r="Y8">
        <v>3.2760642012887633</v>
      </c>
      <c r="AB8">
        <v>1</v>
      </c>
      <c r="AC8">
        <v>1</v>
      </c>
      <c r="AD8">
        <v>1</v>
      </c>
      <c r="AE8">
        <v>1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P8">
        <v>3.9818612648356067</v>
      </c>
      <c r="AQ8">
        <v>3.223523812532973</v>
      </c>
      <c r="AR8">
        <v>2.7769916603312739</v>
      </c>
      <c r="AS8">
        <v>2.4336782297074171</v>
      </c>
      <c r="AT8">
        <v>2.1511703456064297</v>
      </c>
      <c r="AU8">
        <v>1.9098942510360297</v>
      </c>
      <c r="AV8">
        <v>1.6987692186280288</v>
      </c>
      <c r="AW8">
        <v>1.5107927768784537</v>
      </c>
      <c r="AX8">
        <v>1.3412139714275764</v>
      </c>
      <c r="AY8">
        <v>1.1866427632617877</v>
      </c>
      <c r="BB8">
        <v>213.49440565343883</v>
      </c>
      <c r="BC8">
        <v>80.963539640651177</v>
      </c>
      <c r="BD8">
        <v>44.627928630909381</v>
      </c>
      <c r="BE8">
        <v>27.745731745397691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N8">
        <v>159.87766929478192</v>
      </c>
      <c r="BO8">
        <v>55.847069482786324</v>
      </c>
      <c r="BP8">
        <v>28.557326306671349</v>
      </c>
      <c r="BQ8">
        <v>16.344992154308294</v>
      </c>
      <c r="BR8">
        <v>-8.5949115301573702</v>
      </c>
      <c r="BS8">
        <v>-6.7523747041452786</v>
      </c>
      <c r="BT8">
        <v>-5.4672143035760001</v>
      </c>
      <c r="BU8">
        <v>-4.5303209047131956</v>
      </c>
      <c r="BV8">
        <v>-3.8236825303146702</v>
      </c>
      <c r="BW8">
        <v>-3.2760642012887633</v>
      </c>
      <c r="BZ8">
        <v>159.87766929478192</v>
      </c>
      <c r="CA8">
        <v>55.847069482786324</v>
      </c>
      <c r="CB8">
        <v>28.557326306671349</v>
      </c>
      <c r="CC8">
        <v>16.344992154308294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</row>
    <row r="9" spans="1:90">
      <c r="A9">
        <v>2007</v>
      </c>
      <c r="B9">
        <v>54.739008409032422</v>
      </c>
      <c r="C9">
        <v>25.64219242998729</v>
      </c>
      <c r="D9">
        <v>16.406982138565922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141.55123335062504</v>
      </c>
      <c r="M9">
        <v>141.55123335062504</v>
      </c>
      <c r="O9">
        <f t="shared" si="0"/>
        <v>141.55123335062504</v>
      </c>
      <c r="P9">
        <v>54.739008409032422</v>
      </c>
      <c r="Q9">
        <v>25.64219242998729</v>
      </c>
      <c r="R9">
        <v>16.406982138565919</v>
      </c>
      <c r="S9">
        <v>11.639372754270045</v>
      </c>
      <c r="T9">
        <v>8.774814852157844</v>
      </c>
      <c r="U9">
        <v>6.8937111956734771</v>
      </c>
      <c r="V9">
        <v>5.5816506199767835</v>
      </c>
      <c r="W9">
        <v>4.6251467534291937</v>
      </c>
      <c r="X9">
        <v>3.9037174657605025</v>
      </c>
      <c r="Y9">
        <v>3.344636731771562</v>
      </c>
      <c r="AB9">
        <v>1</v>
      </c>
      <c r="AC9">
        <v>1</v>
      </c>
      <c r="AD9">
        <v>1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P9">
        <v>4.0025765888893181</v>
      </c>
      <c r="AQ9">
        <v>3.2442391365866845</v>
      </c>
      <c r="AR9">
        <v>2.7977069843849849</v>
      </c>
      <c r="AS9">
        <v>2.4543935537611281</v>
      </c>
      <c r="AT9">
        <v>2.1718856696601412</v>
      </c>
      <c r="AU9">
        <v>1.930609575089741</v>
      </c>
      <c r="AV9">
        <v>1.71948454268174</v>
      </c>
      <c r="AW9">
        <v>1.5315081009321647</v>
      </c>
      <c r="AX9">
        <v>1.3619292954812876</v>
      </c>
      <c r="AY9">
        <v>1.2073580873154988</v>
      </c>
      <c r="BB9">
        <v>219.09707355700868</v>
      </c>
      <c r="BC9">
        <v>83.189404229251579</v>
      </c>
      <c r="BD9">
        <v>45.901928521745575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N9">
        <v>164.35806514797628</v>
      </c>
      <c r="BO9">
        <v>57.547211799264289</v>
      </c>
      <c r="BP9">
        <v>29.494946383179656</v>
      </c>
      <c r="BQ9">
        <v>-11.639372754270045</v>
      </c>
      <c r="BR9">
        <v>-8.774814852157844</v>
      </c>
      <c r="BS9">
        <v>-6.8937111956734771</v>
      </c>
      <c r="BT9">
        <v>-5.5816506199767835</v>
      </c>
      <c r="BU9">
        <v>-4.6251467534291937</v>
      </c>
      <c r="BV9">
        <v>-3.9037174657605025</v>
      </c>
      <c r="BW9">
        <v>-3.344636731771562</v>
      </c>
      <c r="BZ9">
        <v>164.35806514797628</v>
      </c>
      <c r="CA9">
        <v>57.547211799264289</v>
      </c>
      <c r="CB9">
        <v>29.494946383179656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</row>
    <row r="10" spans="1:90">
      <c r="A10">
        <v>2008</v>
      </c>
      <c r="B10">
        <v>57.674775080716394</v>
      </c>
      <c r="C10">
        <v>27.017436449066771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149.14291988797112</v>
      </c>
      <c r="M10">
        <v>149.14291988797112</v>
      </c>
      <c r="O10">
        <f t="shared" si="0"/>
        <v>149.14291988797115</v>
      </c>
      <c r="P10">
        <v>57.674775080716394</v>
      </c>
      <c r="Q10">
        <v>27.017436449066778</v>
      </c>
      <c r="R10">
        <v>17.28692265530659</v>
      </c>
      <c r="S10">
        <v>12.263616481082861</v>
      </c>
      <c r="T10">
        <v>9.2454263912026704</v>
      </c>
      <c r="U10">
        <v>7.2634352400193976</v>
      </c>
      <c r="V10">
        <v>5.8810061315100919</v>
      </c>
      <c r="W10">
        <v>4.8732029766786491</v>
      </c>
      <c r="X10">
        <v>4.113081938459997</v>
      </c>
      <c r="Y10">
        <v>3.52401654392769</v>
      </c>
      <c r="AB10">
        <v>1</v>
      </c>
      <c r="AC10">
        <v>1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P10">
        <v>4.0548199042813664</v>
      </c>
      <c r="AQ10">
        <v>3.2964824519787328</v>
      </c>
      <c r="AR10">
        <v>2.8499502997770332</v>
      </c>
      <c r="AS10">
        <v>2.5066368691531764</v>
      </c>
      <c r="AT10">
        <v>2.224128985052189</v>
      </c>
      <c r="AU10">
        <v>1.9828528904817893</v>
      </c>
      <c r="AV10">
        <v>1.7717278580737883</v>
      </c>
      <c r="AW10">
        <v>1.5837514163242132</v>
      </c>
      <c r="AX10">
        <v>1.4141726108733359</v>
      </c>
      <c r="AY10">
        <v>1.2596014027075473</v>
      </c>
      <c r="BB10">
        <v>233.86082597223978</v>
      </c>
      <c r="BC10">
        <v>89.062505151799215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N10">
        <v>176.18605089152339</v>
      </c>
      <c r="BO10">
        <v>62.045068702732436</v>
      </c>
      <c r="BP10">
        <v>-17.28692265530659</v>
      </c>
      <c r="BQ10">
        <v>-12.263616481082861</v>
      </c>
      <c r="BR10">
        <v>-9.2454263912026704</v>
      </c>
      <c r="BS10">
        <v>-7.2634352400193976</v>
      </c>
      <c r="BT10">
        <v>-5.8810061315100919</v>
      </c>
      <c r="BU10">
        <v>-4.8732029766786491</v>
      </c>
      <c r="BV10">
        <v>-4.113081938459997</v>
      </c>
      <c r="BW10">
        <v>-3.52401654392769</v>
      </c>
      <c r="BZ10">
        <v>176.18605089152339</v>
      </c>
      <c r="CA10">
        <v>62.045068702732436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</row>
    <row r="11" spans="1:90">
      <c r="A11">
        <v>2009</v>
      </c>
      <c r="B11">
        <v>56.458964843877716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145.99891995909348</v>
      </c>
      <c r="M11">
        <v>145.99891995909348</v>
      </c>
      <c r="O11">
        <f t="shared" si="0"/>
        <v>145.99891995909348</v>
      </c>
      <c r="P11">
        <v>56.458964843877716</v>
      </c>
      <c r="Q11">
        <v>26.447896719402596</v>
      </c>
      <c r="R11">
        <v>16.922506539277602</v>
      </c>
      <c r="S11">
        <v>12.005093921827156</v>
      </c>
      <c r="T11">
        <v>9.0505286385086858</v>
      </c>
      <c r="U11">
        <v>7.110318753529917</v>
      </c>
      <c r="V11">
        <v>5.7570318733080574</v>
      </c>
      <c r="W11">
        <v>4.7704736629197884</v>
      </c>
      <c r="X11">
        <v>4.0263763185639965</v>
      </c>
      <c r="Y11">
        <v>3.4497286878779718</v>
      </c>
      <c r="AB11">
        <v>1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P11">
        <v>4.0335140883299152</v>
      </c>
      <c r="AQ11">
        <v>3.275176636027282</v>
      </c>
      <c r="AR11">
        <v>2.8286444838255829</v>
      </c>
      <c r="AS11">
        <v>2.4853310532017261</v>
      </c>
      <c r="AT11">
        <v>2.2028231691007387</v>
      </c>
      <c r="AU11">
        <v>1.9615470745303389</v>
      </c>
      <c r="AV11">
        <v>1.7504220421223378</v>
      </c>
      <c r="AW11">
        <v>1.5624456003727627</v>
      </c>
      <c r="AX11">
        <v>1.3928667949218854</v>
      </c>
      <c r="AY11">
        <v>1.2382955867560967</v>
      </c>
      <c r="BB11">
        <v>227.72803011030416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N11">
        <v>171.26906526642645</v>
      </c>
      <c r="BO11">
        <v>-26.447896719402596</v>
      </c>
      <c r="BP11">
        <v>-16.922506539277602</v>
      </c>
      <c r="BQ11">
        <v>-12.005093921827156</v>
      </c>
      <c r="BR11">
        <v>-9.0505286385086858</v>
      </c>
      <c r="BS11">
        <v>-7.110318753529917</v>
      </c>
      <c r="BT11">
        <v>-5.7570318733080574</v>
      </c>
      <c r="BU11">
        <v>-4.7704736629197884</v>
      </c>
      <c r="BV11">
        <v>-4.0263763185639965</v>
      </c>
      <c r="BW11">
        <v>-3.4497286878779718</v>
      </c>
      <c r="BZ11">
        <v>171.26906526642645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</row>
    <row r="13" spans="1:90">
      <c r="M13" t="s">
        <v>18</v>
      </c>
      <c r="AB13" t="s">
        <v>19</v>
      </c>
    </row>
    <row r="14" spans="1:90">
      <c r="A14" s="6"/>
      <c r="P14" t="s">
        <v>20</v>
      </c>
    </row>
    <row r="16" spans="1:90">
      <c r="M16" t="s">
        <v>34</v>
      </c>
    </row>
    <row r="17" spans="1:48">
      <c r="Z17" s="5" t="s">
        <v>21</v>
      </c>
      <c r="AK17" cm="1">
        <f t="array" ref="AK17:AT26">(B2:K11*(LN((B24:K24-A24:J24)*M2:M11))-((B24:K24-A24:J24)*M2:M11))*AB2:AK11</f>
        <v>153.40599397110569</v>
      </c>
      <c r="AL17">
        <v>53.395051912310294</v>
      </c>
      <c r="AM17">
        <v>27.206790564144853</v>
      </c>
      <c r="AN17">
        <v>15.506006794517516</v>
      </c>
      <c r="AO17">
        <v>9.3355934022165812</v>
      </c>
      <c r="AP17">
        <v>5.7546631465567808</v>
      </c>
      <c r="AQ17">
        <v>3.5402535352497067</v>
      </c>
      <c r="AR17">
        <v>2.1078961294697711</v>
      </c>
      <c r="AS17">
        <v>1.1504231306391479</v>
      </c>
      <c r="AT17">
        <v>0.49468677087521051</v>
      </c>
      <c r="AV17" cm="1">
        <f t="array" ref="AV17">SUM((B2:K11*(LN((B24:K24-A24:J24)*M2:M11))-((B24:K24-A24:J24)*M2:M11))*AB2:AK11)</f>
        <v>2598.3324860359644</v>
      </c>
    </row>
    <row r="18" spans="1:48">
      <c r="AK18">
        <v>156.28499351942602</v>
      </c>
      <c r="AL18">
        <v>54.48530213262039</v>
      </c>
      <c r="AM18">
        <v>27.807024599370862</v>
      </c>
      <c r="AN18">
        <v>15.878721913974113</v>
      </c>
      <c r="AO18">
        <v>9.5836381657237038</v>
      </c>
      <c r="AP18">
        <v>5.9274305623939982</v>
      </c>
      <c r="AQ18">
        <v>3.664479047139741</v>
      </c>
      <c r="AR18">
        <v>2.1992803315893026</v>
      </c>
      <c r="AS18">
        <v>1.2187563924145901</v>
      </c>
      <c r="AT18">
        <v>0</v>
      </c>
    </row>
    <row r="19" spans="1:48">
      <c r="AK19">
        <v>158.01471959001589</v>
      </c>
      <c r="AL19">
        <v>55.140765621307665</v>
      </c>
      <c r="AM19">
        <v>28.168089603932835</v>
      </c>
      <c r="AN19">
        <v>16.103052847438377</v>
      </c>
      <c r="AO19">
        <v>9.7330226552910997</v>
      </c>
      <c r="AP19">
        <v>6.0315482263433777</v>
      </c>
      <c r="AQ19">
        <v>3.7393980985825115</v>
      </c>
      <c r="AR19">
        <v>2.2544388335862102</v>
      </c>
      <c r="AS19">
        <v>0</v>
      </c>
      <c r="AT19">
        <v>0</v>
      </c>
    </row>
    <row r="20" spans="1:48">
      <c r="Z20" t="s">
        <v>37</v>
      </c>
      <c r="AK20">
        <v>161.03816868643426</v>
      </c>
      <c r="AL20">
        <v>56.287236416759782</v>
      </c>
      <c r="AM20">
        <v>28.799983593245567</v>
      </c>
      <c r="AN20">
        <v>16.495875928616087</v>
      </c>
      <c r="AO20">
        <v>9.994767454003135</v>
      </c>
      <c r="AP20">
        <v>6.2140996783254447</v>
      </c>
      <c r="AQ20">
        <v>3.8708518296599355</v>
      </c>
      <c r="AR20">
        <v>0</v>
      </c>
      <c r="AS20">
        <v>0</v>
      </c>
      <c r="AT20">
        <v>0</v>
      </c>
    </row>
    <row r="21" spans="1:48">
      <c r="A21" s="5" t="s">
        <v>33</v>
      </c>
      <c r="AK21">
        <v>163.6167350551855</v>
      </c>
      <c r="AL21">
        <v>57.265762564678504</v>
      </c>
      <c r="AM21">
        <v>29.339662362652909</v>
      </c>
      <c r="AN21">
        <v>16.831594071502025</v>
      </c>
      <c r="AO21">
        <v>10.21861909464533</v>
      </c>
      <c r="AP21">
        <v>6.3703419737237734</v>
      </c>
      <c r="AQ21">
        <v>0</v>
      </c>
      <c r="AR21">
        <v>0</v>
      </c>
      <c r="AS21">
        <v>0</v>
      </c>
      <c r="AT21">
        <v>0</v>
      </c>
    </row>
    <row r="22" spans="1:48">
      <c r="AK22">
        <v>166.415537774634</v>
      </c>
      <c r="AL22">
        <v>58.328630725680114</v>
      </c>
      <c r="AM22">
        <v>29.926213733503705</v>
      </c>
      <c r="AN22">
        <v>17.196695612098175</v>
      </c>
      <c r="AO22">
        <v>10.462222552730328</v>
      </c>
      <c r="AP22">
        <v>0</v>
      </c>
      <c r="AQ22">
        <v>0</v>
      </c>
      <c r="AR22">
        <v>0</v>
      </c>
      <c r="AS22">
        <v>0</v>
      </c>
      <c r="AT22">
        <v>0</v>
      </c>
    </row>
    <row r="23" spans="1:48">
      <c r="A23" s="7" cm="1">
        <f t="array" ref="A23:K23">_xlfn.ANCHORARRAY(A26)</f>
        <v>0</v>
      </c>
      <c r="B23" s="7">
        <v>0.2876481837606002</v>
      </c>
      <c r="C23" s="8">
        <v>0.42239541968072619</v>
      </c>
      <c r="D23" s="8">
        <v>0.5086125206169636</v>
      </c>
      <c r="E23" s="8">
        <v>0.56977629632624249</v>
      </c>
      <c r="F23" s="8">
        <v>0.61588709789937168</v>
      </c>
      <c r="G23" s="8">
        <v>0.65211288207850904</v>
      </c>
      <c r="H23" s="8">
        <v>0.68144391510024749</v>
      </c>
      <c r="I23" s="8">
        <v>0.70574861300980285</v>
      </c>
      <c r="J23" s="8">
        <v>0.72626226993522225</v>
      </c>
      <c r="K23" s="8">
        <v>0.74383801179090281</v>
      </c>
      <c r="M23" cm="1">
        <f t="array" ref="M23:W32">M2:M11*_xlfn.ANCHORARRAY(A24)</f>
        <v>0</v>
      </c>
      <c r="N23">
        <v>51.985148596158702</v>
      </c>
      <c r="O23">
        <v>76.337310291221968</v>
      </c>
      <c r="P23">
        <v>91.918875052397496</v>
      </c>
      <c r="Q23">
        <v>102.9726836576876</v>
      </c>
      <c r="R23">
        <v>111.30604714473854</v>
      </c>
      <c r="S23">
        <v>117.85294324866859</v>
      </c>
      <c r="T23">
        <v>123.15378711348832</v>
      </c>
      <c r="U23">
        <v>127.5462477780915</v>
      </c>
      <c r="V23">
        <v>131.25357347567379</v>
      </c>
      <c r="W23">
        <v>134.42994518124209</v>
      </c>
      <c r="Y23" cm="1">
        <f t="array" ref="Y23:AH32">$N$23:$W$32-$M$23:$V$32</f>
        <v>51.985148596158702</v>
      </c>
      <c r="Z23">
        <v>24.352161695063266</v>
      </c>
      <c r="AA23">
        <v>15.581564761175528</v>
      </c>
      <c r="AB23">
        <v>11.053808605290101</v>
      </c>
      <c r="AC23">
        <v>8.3333634870509457</v>
      </c>
      <c r="AD23">
        <v>6.5468961039300524</v>
      </c>
      <c r="AE23">
        <v>5.3008438648197256</v>
      </c>
      <c r="AF23">
        <v>4.3924606646031776</v>
      </c>
      <c r="AG23">
        <v>3.7073256975822915</v>
      </c>
      <c r="AH23">
        <v>3.1763717055683003</v>
      </c>
      <c r="AK23">
        <v>159.87766929478192</v>
      </c>
      <c r="AL23">
        <v>55.847069482786324</v>
      </c>
      <c r="AM23">
        <v>28.557326306671349</v>
      </c>
      <c r="AN23">
        <v>16.344992154308294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</row>
    <row r="24" spans="1:48">
      <c r="A24" cm="1">
        <f t="array" ref="A24:K24">_xlfn.ANCHORARRAY(A23)/K23</f>
        <v>0</v>
      </c>
      <c r="B24">
        <v>0.3867080993455061</v>
      </c>
      <c r="C24">
        <v>0.56785941694986142</v>
      </c>
      <c r="D24">
        <v>0.68376785342335733</v>
      </c>
      <c r="E24">
        <v>0.76599513240042638</v>
      </c>
      <c r="F24">
        <v>0.82798551315834223</v>
      </c>
      <c r="G24">
        <v>0.87668668680758643</v>
      </c>
      <c r="H24">
        <v>0.91611870366717063</v>
      </c>
      <c r="I24">
        <v>0.94879342252301146</v>
      </c>
      <c r="J24">
        <v>0.97637154652346381</v>
      </c>
      <c r="K24">
        <v>1</v>
      </c>
      <c r="M24">
        <v>0</v>
      </c>
      <c r="N24">
        <v>52.712550402007992</v>
      </c>
      <c r="O24">
        <v>77.405459538824871</v>
      </c>
      <c r="P24">
        <v>93.205049229260197</v>
      </c>
      <c r="Q24">
        <v>104.41352816940808</v>
      </c>
      <c r="R24">
        <v>112.86349618319358</v>
      </c>
      <c r="S24">
        <v>119.50199968226067</v>
      </c>
      <c r="T24">
        <v>124.87701556551104</v>
      </c>
      <c r="U24">
        <v>129.33093770335873</v>
      </c>
      <c r="V24">
        <v>133.0901381282452</v>
      </c>
      <c r="W24">
        <v>136.31095519132566</v>
      </c>
      <c r="Y24">
        <v>52.712550402007992</v>
      </c>
      <c r="Z24">
        <v>24.69290913681688</v>
      </c>
      <c r="AA24">
        <v>15.799589690435326</v>
      </c>
      <c r="AB24">
        <v>11.208478940147884</v>
      </c>
      <c r="AC24">
        <v>8.4499680137854938</v>
      </c>
      <c r="AD24">
        <v>6.6385034990670988</v>
      </c>
      <c r="AE24">
        <v>5.3750158832503701</v>
      </c>
      <c r="AF24">
        <v>4.4539221378476839</v>
      </c>
      <c r="AG24">
        <v>3.7592004248864725</v>
      </c>
      <c r="AH24">
        <v>3.2208170630804602</v>
      </c>
      <c r="AK24">
        <v>164.35806514797628</v>
      </c>
      <c r="AL24">
        <v>57.547211799264289</v>
      </c>
      <c r="AM24">
        <v>29.494946383179656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</row>
    <row r="25" spans="1:48">
      <c r="M25">
        <v>0</v>
      </c>
      <c r="N25">
        <v>53.148362066132719</v>
      </c>
      <c r="O25">
        <v>78.045424819895189</v>
      </c>
      <c r="P25">
        <v>93.975640811334046</v>
      </c>
      <c r="Q25">
        <v>105.27678811645308</v>
      </c>
      <c r="R25">
        <v>113.79661794860635</v>
      </c>
      <c r="S25">
        <v>120.4900066170527</v>
      </c>
      <c r="T25">
        <v>125.90946153045645</v>
      </c>
      <c r="U25">
        <v>130.40020736975615</v>
      </c>
      <c r="V25">
        <v>134.19048774392328</v>
      </c>
      <c r="W25">
        <v>137.43793356302857</v>
      </c>
      <c r="Y25">
        <v>53.148362066132719</v>
      </c>
      <c r="Z25">
        <v>24.897062753762469</v>
      </c>
      <c r="AA25">
        <v>15.930215991438857</v>
      </c>
      <c r="AB25">
        <v>11.301147305119031</v>
      </c>
      <c r="AC25">
        <v>8.5198298321532775</v>
      </c>
      <c r="AD25">
        <v>6.6933886684463459</v>
      </c>
      <c r="AE25">
        <v>5.4194549134037544</v>
      </c>
      <c r="AF25">
        <v>4.4907458392996915</v>
      </c>
      <c r="AG25">
        <v>3.7902803741671391</v>
      </c>
      <c r="AH25">
        <v>3.2474458191052804</v>
      </c>
      <c r="AK25">
        <v>176.18605089152339</v>
      </c>
      <c r="AL25">
        <v>62.045068702732436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</row>
    <row r="26" spans="1:48">
      <c r="A26" s="11" cm="1">
        <f t="array" ref="A26:K26">(A1:K1)^B34/((A1:K1)^B34 +( B35 ^ B34))</f>
        <v>0</v>
      </c>
      <c r="B26" s="7">
        <v>0.2876481837606002</v>
      </c>
      <c r="C26" s="8">
        <v>0.42239541968072619</v>
      </c>
      <c r="D26" s="8">
        <v>0.5086125206169636</v>
      </c>
      <c r="E26" s="8">
        <v>0.56977629632624249</v>
      </c>
      <c r="F26" s="8">
        <v>0.61588709789937168</v>
      </c>
      <c r="G26" s="8">
        <v>0.65211288207850904</v>
      </c>
      <c r="H26" s="8">
        <v>0.68144391510024749</v>
      </c>
      <c r="I26" s="8">
        <v>0.70574861300980285</v>
      </c>
      <c r="J26" s="8">
        <v>0.72626226993522225</v>
      </c>
      <c r="K26" s="8">
        <v>0.74383801179090281</v>
      </c>
      <c r="M26">
        <v>0</v>
      </c>
      <c r="N26">
        <v>53.907984523111743</v>
      </c>
      <c r="O26">
        <v>79.160888308382226</v>
      </c>
      <c r="P26">
        <v>95.318786759659929</v>
      </c>
      <c r="Q26">
        <v>106.78145560465097</v>
      </c>
      <c r="R26">
        <v>115.42305502327035</v>
      </c>
      <c r="S26">
        <v>122.2121088853028</v>
      </c>
      <c r="T26">
        <v>127.70902130627158</v>
      </c>
      <c r="U26">
        <v>132.26395108756881</v>
      </c>
      <c r="V26">
        <v>136.10840400776627</v>
      </c>
      <c r="W26">
        <v>139.40226391521065</v>
      </c>
      <c r="Y26">
        <v>53.907984523111743</v>
      </c>
      <c r="Z26">
        <v>25.252903785270483</v>
      </c>
      <c r="AA26">
        <v>16.157898451277703</v>
      </c>
      <c r="AB26">
        <v>11.462668844991043</v>
      </c>
      <c r="AC26">
        <v>8.6415994186193785</v>
      </c>
      <c r="AD26">
        <v>6.7890538620324463</v>
      </c>
      <c r="AE26">
        <v>5.4969124209687834</v>
      </c>
      <c r="AF26">
        <v>4.5549297812972327</v>
      </c>
      <c r="AG26">
        <v>3.8444529201974547</v>
      </c>
      <c r="AH26">
        <v>3.2938599074443857</v>
      </c>
      <c r="AK26">
        <v>171.26906526642645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</row>
    <row r="27" spans="1:48">
      <c r="M27">
        <v>0</v>
      </c>
      <c r="N27">
        <v>54.553716750747043</v>
      </c>
      <c r="O27">
        <v>80.109110305571633</v>
      </c>
      <c r="P27">
        <v>96.460554775183141</v>
      </c>
      <c r="Q27">
        <v>108.06052822826518</v>
      </c>
      <c r="R27">
        <v>116.80564031374239</v>
      </c>
      <c r="S27">
        <v>123.67601628255822</v>
      </c>
      <c r="T27">
        <v>129.23877300347829</v>
      </c>
      <c r="U27">
        <v>133.84826362544538</v>
      </c>
      <c r="V27">
        <v>137.73876699939584</v>
      </c>
      <c r="W27">
        <v>141.07208212881463</v>
      </c>
      <c r="Y27">
        <v>54.553716750747043</v>
      </c>
      <c r="Z27">
        <v>25.55539355482459</v>
      </c>
      <c r="AA27">
        <v>16.351444469611508</v>
      </c>
      <c r="AB27">
        <v>11.599973453082043</v>
      </c>
      <c r="AC27">
        <v>8.7451120854772029</v>
      </c>
      <c r="AD27">
        <v>6.8703759688158357</v>
      </c>
      <c r="AE27">
        <v>5.5627567209200635</v>
      </c>
      <c r="AF27">
        <v>4.6094906219670975</v>
      </c>
      <c r="AG27">
        <v>3.8905033739504518</v>
      </c>
      <c r="AH27">
        <v>3.3333151294187928</v>
      </c>
    </row>
    <row r="28" spans="1:48">
      <c r="M28">
        <v>0</v>
      </c>
      <c r="N28">
        <v>55.252445721715837</v>
      </c>
      <c r="O28">
        <v>81.135155083873045</v>
      </c>
      <c r="P28">
        <v>97.696030342963226</v>
      </c>
      <c r="Q28">
        <v>109.44457731214811</v>
      </c>
      <c r="R28">
        <v>118.30169758941196</v>
      </c>
      <c r="S28">
        <v>125.26006995914751</v>
      </c>
      <c r="T28">
        <v>130.89407497460849</v>
      </c>
      <c r="U28">
        <v>135.56260437213132</v>
      </c>
      <c r="V28">
        <v>139.50293766750491</v>
      </c>
      <c r="W28">
        <v>142.87894620058188</v>
      </c>
      <c r="Y28">
        <v>55.252445721715837</v>
      </c>
      <c r="Z28">
        <v>25.882709362157208</v>
      </c>
      <c r="AA28">
        <v>16.560875259090182</v>
      </c>
      <c r="AB28">
        <v>11.748546969184886</v>
      </c>
      <c r="AC28">
        <v>8.8571202772638458</v>
      </c>
      <c r="AD28">
        <v>6.9583723697355566</v>
      </c>
      <c r="AE28">
        <v>5.6340050154609713</v>
      </c>
      <c r="AF28">
        <v>4.6685293975228319</v>
      </c>
      <c r="AG28">
        <v>3.9403332953735912</v>
      </c>
      <c r="AH28">
        <v>3.3760085330769698</v>
      </c>
    </row>
    <row r="29" spans="1:48">
      <c r="M29">
        <v>0</v>
      </c>
      <c r="N29">
        <v>53.616736358656901</v>
      </c>
      <c r="O29">
        <v>78.733206516521761</v>
      </c>
      <c r="P29">
        <v>94.803808840759785</v>
      </c>
      <c r="Q29">
        <v>106.20454843184918</v>
      </c>
      <c r="R29">
        <v>114.79945996200655</v>
      </c>
      <c r="S29">
        <v>121.55183466615183</v>
      </c>
      <c r="T29">
        <v>127.01904896972783</v>
      </c>
      <c r="U29">
        <v>131.54936987444103</v>
      </c>
      <c r="V29">
        <v>135.3730524047557</v>
      </c>
      <c r="W29">
        <v>138.64911660604446</v>
      </c>
      <c r="Y29">
        <v>53.616736358656901</v>
      </c>
      <c r="Z29">
        <v>25.11647015786486</v>
      </c>
      <c r="AA29">
        <v>16.070602324238024</v>
      </c>
      <c r="AB29">
        <v>11.400739591089391</v>
      </c>
      <c r="AC29">
        <v>8.5949115301573755</v>
      </c>
      <c r="AD29">
        <v>6.7523747041452822</v>
      </c>
      <c r="AE29">
        <v>5.4672143035760001</v>
      </c>
      <c r="AF29">
        <v>4.5303209047131929</v>
      </c>
      <c r="AG29">
        <v>3.8236825303146702</v>
      </c>
      <c r="AH29">
        <v>3.2760642012887615</v>
      </c>
    </row>
    <row r="30" spans="1:48">
      <c r="M30">
        <v>0</v>
      </c>
      <c r="N30">
        <v>54.739008409032422</v>
      </c>
      <c r="O30">
        <v>80.381200839019712</v>
      </c>
      <c r="P30">
        <v>96.788182977585635</v>
      </c>
      <c r="Q30">
        <v>108.42755573185568</v>
      </c>
      <c r="R30">
        <v>117.20237058401352</v>
      </c>
      <c r="S30">
        <v>124.096081779687</v>
      </c>
      <c r="T30">
        <v>129.67773239966377</v>
      </c>
      <c r="U30">
        <v>134.30287915309299</v>
      </c>
      <c r="V30">
        <v>138.20659661885347</v>
      </c>
      <c r="W30">
        <v>141.55123335062504</v>
      </c>
      <c r="Y30">
        <v>54.739008409032422</v>
      </c>
      <c r="Z30">
        <v>25.64219242998729</v>
      </c>
      <c r="AA30">
        <v>16.406982138565922</v>
      </c>
      <c r="AB30">
        <v>11.639372754270042</v>
      </c>
      <c r="AC30">
        <v>8.7748148521578457</v>
      </c>
      <c r="AD30">
        <v>6.8937111956734753</v>
      </c>
      <c r="AE30">
        <v>5.5816506199767701</v>
      </c>
      <c r="AF30">
        <v>4.6251467534292203</v>
      </c>
      <c r="AG30">
        <v>3.9037174657604794</v>
      </c>
      <c r="AH30">
        <v>3.3446367317715726</v>
      </c>
    </row>
    <row r="31" spans="1:48">
      <c r="M31">
        <v>0</v>
      </c>
      <c r="N31">
        <v>57.674775080716394</v>
      </c>
      <c r="O31">
        <v>84.692211529783165</v>
      </c>
      <c r="P31">
        <v>101.97913418508976</v>
      </c>
      <c r="Q31">
        <v>114.24275066617263</v>
      </c>
      <c r="R31">
        <v>123.4881770573753</v>
      </c>
      <c r="S31">
        <v>130.7516122973947</v>
      </c>
      <c r="T31">
        <v>136.63261842890478</v>
      </c>
      <c r="U31">
        <v>141.50582140558342</v>
      </c>
      <c r="V31">
        <v>145.61890334404342</v>
      </c>
      <c r="W31">
        <v>149.14291988797112</v>
      </c>
      <c r="Y31">
        <v>57.674775080716394</v>
      </c>
      <c r="Z31">
        <v>27.017436449066771</v>
      </c>
      <c r="AA31">
        <v>17.286922655306597</v>
      </c>
      <c r="AB31">
        <v>12.263616481082863</v>
      </c>
      <c r="AC31">
        <v>9.2454263912026704</v>
      </c>
      <c r="AD31">
        <v>7.2634352400194047</v>
      </c>
      <c r="AE31">
        <v>5.8810061315100768</v>
      </c>
      <c r="AF31">
        <v>4.8732029766786411</v>
      </c>
      <c r="AG31">
        <v>4.1130819384599988</v>
      </c>
      <c r="AH31">
        <v>3.5240165439277007</v>
      </c>
    </row>
    <row r="32" spans="1:48">
      <c r="M32">
        <v>0</v>
      </c>
      <c r="N32">
        <v>56.458964843877716</v>
      </c>
      <c r="O32">
        <v>82.906861563280316</v>
      </c>
      <c r="P32">
        <v>99.829368102557908</v>
      </c>
      <c r="Q32">
        <v>111.83446202438506</v>
      </c>
      <c r="R32">
        <v>120.88499066289376</v>
      </c>
      <c r="S32">
        <v>127.99530941642367</v>
      </c>
      <c r="T32">
        <v>133.75234128973173</v>
      </c>
      <c r="U32">
        <v>138.52281495265152</v>
      </c>
      <c r="V32">
        <v>142.54919127121551</v>
      </c>
      <c r="W32">
        <v>145.99891995909348</v>
      </c>
      <c r="Y32">
        <v>56.458964843877716</v>
      </c>
      <c r="Z32">
        <v>26.4478967194026</v>
      </c>
      <c r="AA32">
        <v>16.922506539277592</v>
      </c>
      <c r="AB32">
        <v>12.005093921827154</v>
      </c>
      <c r="AC32">
        <v>9.0505286385086947</v>
      </c>
      <c r="AD32">
        <v>7.1103187535299099</v>
      </c>
      <c r="AE32">
        <v>5.7570318733080654</v>
      </c>
      <c r="AF32">
        <v>4.7704736629197839</v>
      </c>
      <c r="AG32">
        <v>4.0263763185639903</v>
      </c>
      <c r="AH32">
        <v>3.4497286878779789</v>
      </c>
    </row>
    <row r="34" spans="1:34">
      <c r="A34" t="s">
        <v>22</v>
      </c>
      <c r="B34">
        <v>0.85679658237556244</v>
      </c>
    </row>
    <row r="35" spans="1:34">
      <c r="A35" t="s">
        <v>23</v>
      </c>
      <c r="B35">
        <v>2.8817573670925585</v>
      </c>
      <c r="Y35" cm="1">
        <f t="array" ref="Y35:AH44">_xlfn.ANCHORARRAY(Y23)*AB2:AK11</f>
        <v>51.985148596158702</v>
      </c>
      <c r="Z35">
        <v>24.352161695063266</v>
      </c>
      <c r="AA35">
        <v>15.581564761175528</v>
      </c>
      <c r="AB35">
        <v>11.053808605290101</v>
      </c>
      <c r="AC35">
        <v>8.3333634870509457</v>
      </c>
      <c r="AD35">
        <v>6.5468961039300524</v>
      </c>
      <c r="AE35">
        <v>5.3008438648197256</v>
      </c>
      <c r="AF35">
        <v>4.3924606646031776</v>
      </c>
      <c r="AG35">
        <v>3.7073256975822915</v>
      </c>
      <c r="AH35">
        <v>3.1763717055683003</v>
      </c>
    </row>
    <row r="36" spans="1:34">
      <c r="A36" t="s">
        <v>24</v>
      </c>
      <c r="B36" s="26" cm="1">
        <f t="array" ref="B36">SUM((B2:K11*(LN((B24:K24-A24:J24)*M2:M11))-((B24:K24-A24:J24)*M2:M11))*AB2:AK11)</f>
        <v>2598.3324860359644</v>
      </c>
      <c r="K36" t="s">
        <v>41</v>
      </c>
      <c r="Y36">
        <v>52.712550402007992</v>
      </c>
      <c r="Z36">
        <v>24.69290913681688</v>
      </c>
      <c r="AA36">
        <v>15.799589690435326</v>
      </c>
      <c r="AB36">
        <v>11.208478940147884</v>
      </c>
      <c r="AC36">
        <v>8.4499680137854938</v>
      </c>
      <c r="AD36">
        <v>6.6385034990670988</v>
      </c>
      <c r="AE36">
        <v>5.3750158832503701</v>
      </c>
      <c r="AF36">
        <v>4.4539221378476839</v>
      </c>
      <c r="AG36">
        <v>3.7592004248864725</v>
      </c>
      <c r="AH36">
        <v>0</v>
      </c>
    </row>
    <row r="37" spans="1:34">
      <c r="A37" s="5" t="s">
        <v>25</v>
      </c>
      <c r="Y37">
        <v>53.148362066132719</v>
      </c>
      <c r="Z37">
        <v>24.897062753762469</v>
      </c>
      <c r="AA37">
        <v>15.930215991438857</v>
      </c>
      <c r="AB37">
        <v>11.301147305119031</v>
      </c>
      <c r="AC37">
        <v>8.5198298321532775</v>
      </c>
      <c r="AD37">
        <v>6.6933886684463459</v>
      </c>
      <c r="AE37">
        <v>5.4194549134037544</v>
      </c>
      <c r="AF37">
        <v>4.4907458392996915</v>
      </c>
      <c r="AG37">
        <v>0</v>
      </c>
      <c r="AH37">
        <v>0</v>
      </c>
    </row>
    <row r="38" spans="1:34">
      <c r="Y38">
        <v>53.907984523111743</v>
      </c>
      <c r="Z38">
        <v>25.252903785270483</v>
      </c>
      <c r="AA38">
        <v>16.157898451277703</v>
      </c>
      <c r="AB38">
        <v>11.462668844991043</v>
      </c>
      <c r="AC38">
        <v>8.6415994186193785</v>
      </c>
      <c r="AD38">
        <v>6.7890538620324463</v>
      </c>
      <c r="AE38">
        <v>5.4969124209687834</v>
      </c>
      <c r="AF38">
        <v>0</v>
      </c>
      <c r="AG38">
        <v>0</v>
      </c>
      <c r="AH38">
        <v>0</v>
      </c>
    </row>
    <row r="39" spans="1:34">
      <c r="G39" s="9"/>
      <c r="Y39">
        <v>54.553716750747043</v>
      </c>
      <c r="Z39">
        <v>25.55539355482459</v>
      </c>
      <c r="AA39">
        <v>16.351444469611508</v>
      </c>
      <c r="AB39">
        <v>11.599973453082043</v>
      </c>
      <c r="AC39">
        <v>8.7451120854772029</v>
      </c>
      <c r="AD39">
        <v>6.8703759688158357</v>
      </c>
      <c r="AE39">
        <v>0</v>
      </c>
      <c r="AF39">
        <v>0</v>
      </c>
      <c r="AG39">
        <v>0</v>
      </c>
      <c r="AH39">
        <v>0</v>
      </c>
    </row>
    <row r="40" spans="1:34">
      <c r="G40" s="9"/>
      <c r="Y40">
        <v>55.252445721715837</v>
      </c>
      <c r="Z40">
        <v>25.882709362157208</v>
      </c>
      <c r="AA40">
        <v>16.560875259090182</v>
      </c>
      <c r="AB40">
        <v>11.748546969184886</v>
      </c>
      <c r="AC40">
        <v>8.8571202772638458</v>
      </c>
      <c r="AD40">
        <v>0</v>
      </c>
      <c r="AE40">
        <v>0</v>
      </c>
      <c r="AF40">
        <v>0</v>
      </c>
      <c r="AG40">
        <v>0</v>
      </c>
      <c r="AH40">
        <v>0</v>
      </c>
    </row>
    <row r="41" spans="1:34">
      <c r="G41" s="9"/>
      <c r="Y41">
        <v>53.616736358656901</v>
      </c>
      <c r="Z41">
        <v>25.11647015786486</v>
      </c>
      <c r="AA41">
        <v>16.070602324238024</v>
      </c>
      <c r="AB41">
        <v>11.400739591089391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</row>
    <row r="42" spans="1:34">
      <c r="G42" s="9"/>
      <c r="Y42">
        <v>54.739008409032422</v>
      </c>
      <c r="Z42">
        <v>25.64219242998729</v>
      </c>
      <c r="AA42">
        <v>16.406982138565922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</row>
    <row r="43" spans="1:34">
      <c r="G43" s="9"/>
      <c r="Y43">
        <v>57.674775080716394</v>
      </c>
      <c r="Z43">
        <v>27.017436449066771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</row>
    <row r="44" spans="1:34">
      <c r="G44" s="9"/>
      <c r="Y44">
        <v>56.458964843877716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</row>
    <row r="45" spans="1:34">
      <c r="G45" s="9"/>
    </row>
    <row r="46" spans="1:34">
      <c r="G46" s="9"/>
    </row>
    <row r="47" spans="1:34">
      <c r="G47" s="9"/>
    </row>
    <row r="48" spans="1:34">
      <c r="A48" t="s">
        <v>40</v>
      </c>
      <c r="G48" s="9"/>
    </row>
    <row r="49" spans="1:1">
      <c r="A49" t="s">
        <v>39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9BF9D-82B4-4089-985D-570CA9CA0FC3}">
  <dimension ref="A1:J28"/>
  <sheetViews>
    <sheetView zoomScaleNormal="100" workbookViewId="0">
      <selection activeCell="L37" sqref="L37"/>
    </sheetView>
  </sheetViews>
  <sheetFormatPr defaultRowHeight="15"/>
  <sheetData>
    <row r="1" spans="1:10">
      <c r="A1" t="s">
        <v>107</v>
      </c>
    </row>
    <row r="2" spans="1:10">
      <c r="E2" t="s">
        <v>108</v>
      </c>
      <c r="F2" t="s">
        <v>109</v>
      </c>
      <c r="I2" t="s">
        <v>111</v>
      </c>
    </row>
    <row r="3" spans="1:10">
      <c r="E3">
        <v>1</v>
      </c>
      <c r="F3" cm="1">
        <f t="array" ref="F3:F10">E3:E10/9</f>
        <v>0.1111111111111111</v>
      </c>
      <c r="H3">
        <v>11</v>
      </c>
      <c r="I3" cm="1">
        <f t="array" ref="I3:I20">((H3:H20)-10)/17</f>
        <v>5.8823529411764705E-2</v>
      </c>
    </row>
    <row r="4" spans="1:10">
      <c r="E4">
        <v>2</v>
      </c>
      <c r="F4">
        <v>0.22222222222222221</v>
      </c>
      <c r="H4">
        <v>12</v>
      </c>
      <c r="I4">
        <v>0.11764705882352941</v>
      </c>
    </row>
    <row r="5" spans="1:10">
      <c r="E5">
        <v>3</v>
      </c>
      <c r="F5">
        <v>0.33333333333333331</v>
      </c>
      <c r="H5">
        <v>13</v>
      </c>
      <c r="I5">
        <v>0.17647058823529413</v>
      </c>
    </row>
    <row r="6" spans="1:10">
      <c r="E6">
        <v>4</v>
      </c>
      <c r="F6">
        <v>0.44444444444444442</v>
      </c>
      <c r="H6">
        <v>14</v>
      </c>
      <c r="I6">
        <v>0.23529411764705882</v>
      </c>
    </row>
    <row r="7" spans="1:10">
      <c r="E7">
        <v>5</v>
      </c>
      <c r="F7">
        <v>0.55555555555555558</v>
      </c>
      <c r="H7">
        <v>15</v>
      </c>
      <c r="I7">
        <v>0.29411764705882354</v>
      </c>
    </row>
    <row r="8" spans="1:10">
      <c r="E8">
        <v>6</v>
      </c>
      <c r="F8">
        <v>0.66666666666666663</v>
      </c>
      <c r="H8">
        <v>16</v>
      </c>
      <c r="I8">
        <v>0.35294117647058826</v>
      </c>
    </row>
    <row r="9" spans="1:10">
      <c r="E9">
        <v>7</v>
      </c>
      <c r="F9">
        <v>0.77777777777777779</v>
      </c>
      <c r="H9">
        <v>17</v>
      </c>
      <c r="I9">
        <v>0.41176470588235292</v>
      </c>
      <c r="J9" t="s">
        <v>112</v>
      </c>
    </row>
    <row r="10" spans="1:10">
      <c r="E10">
        <v>8</v>
      </c>
      <c r="F10">
        <v>0.88888888888888884</v>
      </c>
      <c r="H10">
        <v>18</v>
      </c>
      <c r="I10">
        <v>0.47058823529411764</v>
      </c>
    </row>
    <row r="11" spans="1:10">
      <c r="E11">
        <v>9</v>
      </c>
      <c r="F11" t="s">
        <v>110</v>
      </c>
      <c r="H11">
        <v>19</v>
      </c>
      <c r="I11">
        <v>0.52941176470588236</v>
      </c>
    </row>
    <row r="12" spans="1:10">
      <c r="E12">
        <v>10</v>
      </c>
      <c r="F12">
        <f>E12/10</f>
        <v>1</v>
      </c>
      <c r="H12">
        <v>20</v>
      </c>
      <c r="I12">
        <v>0.58823529411764708</v>
      </c>
    </row>
    <row r="13" spans="1:10">
      <c r="H13">
        <v>21</v>
      </c>
      <c r="I13">
        <v>0.6470588235294118</v>
      </c>
    </row>
    <row r="14" spans="1:10">
      <c r="H14">
        <v>22</v>
      </c>
      <c r="I14">
        <v>0.70588235294117652</v>
      </c>
    </row>
    <row r="15" spans="1:10">
      <c r="H15">
        <v>23</v>
      </c>
      <c r="I15">
        <v>0.76470588235294112</v>
      </c>
    </row>
    <row r="16" spans="1:10">
      <c r="H16">
        <v>24</v>
      </c>
      <c r="I16">
        <v>0.82352941176470584</v>
      </c>
    </row>
    <row r="17" spans="5:10">
      <c r="H17">
        <v>25</v>
      </c>
      <c r="I17">
        <v>0.88235294117647056</v>
      </c>
    </row>
    <row r="18" spans="5:10">
      <c r="H18">
        <v>26</v>
      </c>
      <c r="I18">
        <v>0.94117647058823528</v>
      </c>
    </row>
    <row r="19" spans="5:10">
      <c r="H19">
        <v>27</v>
      </c>
      <c r="I19">
        <v>1</v>
      </c>
    </row>
    <row r="20" spans="5:10">
      <c r="H20">
        <v>28</v>
      </c>
      <c r="I20">
        <v>1.0588235294117647</v>
      </c>
      <c r="J20" t="s">
        <v>113</v>
      </c>
    </row>
    <row r="22" spans="5:10">
      <c r="E22" t="s">
        <v>114</v>
      </c>
    </row>
    <row r="23" spans="5:10">
      <c r="E23" t="s">
        <v>118</v>
      </c>
    </row>
    <row r="24" spans="5:10">
      <c r="E24" t="s">
        <v>115</v>
      </c>
    </row>
    <row r="25" spans="5:10">
      <c r="E25" t="s">
        <v>116</v>
      </c>
    </row>
    <row r="26" spans="5:10">
      <c r="E26" t="s">
        <v>117</v>
      </c>
    </row>
    <row r="27" spans="5:10">
      <c r="E27" t="s">
        <v>119</v>
      </c>
    </row>
    <row r="28" spans="5:10">
      <c r="E28" t="s">
        <v>120</v>
      </c>
    </row>
  </sheetData>
  <phoneticPr fontId="7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F4454-3628-462C-A81E-0B41F52CDED5}">
  <dimension ref="A1:CL215"/>
  <sheetViews>
    <sheetView workbookViewId="0">
      <selection activeCell="S210" sqref="S210"/>
    </sheetView>
  </sheetViews>
  <sheetFormatPr defaultRowHeight="15"/>
  <cols>
    <col min="1" max="1" width="21.5703125" customWidth="1"/>
    <col min="9" max="10" width="10.7109375" customWidth="1"/>
    <col min="11" max="11" width="10" customWidth="1"/>
    <col min="13" max="13" width="9.28515625" bestFit="1" customWidth="1"/>
    <col min="21" max="21" width="9.140625" customWidth="1"/>
    <col min="28" max="28" width="12.28515625" bestFit="1" customWidth="1"/>
    <col min="39" max="39" width="11.7109375" bestFit="1" customWidth="1"/>
    <col min="43" max="43" width="11.7109375" bestFit="1" customWidth="1"/>
  </cols>
  <sheetData>
    <row r="1" spans="1:90" ht="18" customHeight="1">
      <c r="A1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 t="s">
        <v>36</v>
      </c>
      <c r="N1" t="s">
        <v>13</v>
      </c>
      <c r="P1" s="4" cm="1">
        <f t="array" ref="P1:Y1">B24:K24-A24:J24</f>
        <v>0.35456455207993742</v>
      </c>
      <c r="Q1">
        <v>0.1600316603732449</v>
      </c>
      <c r="R1">
        <v>0.11140991497841968</v>
      </c>
      <c r="S1">
        <v>8.5413561120455395E-2</v>
      </c>
      <c r="T1" s="10">
        <v>6.8908927543590792E-2</v>
      </c>
      <c r="U1">
        <v>5.7439143938997184E-2</v>
      </c>
      <c r="V1">
        <v>4.8997026859778803E-2</v>
      </c>
      <c r="W1">
        <v>4.2527796648139327E-2</v>
      </c>
      <c r="X1">
        <v>3.7418908462712452E-2</v>
      </c>
      <c r="Y1">
        <v>3.3288507994724048E-2</v>
      </c>
      <c r="AN1" s="5" t="s">
        <v>14</v>
      </c>
      <c r="BA1" s="5" t="s">
        <v>15</v>
      </c>
      <c r="BM1" t="s">
        <v>16</v>
      </c>
      <c r="BY1" t="s">
        <v>17</v>
      </c>
    </row>
    <row r="2" spans="1:90">
      <c r="A2">
        <v>2000</v>
      </c>
      <c r="B2">
        <v>42</v>
      </c>
      <c r="C2">
        <v>18</v>
      </c>
      <c r="D2">
        <v>11</v>
      </c>
      <c r="E2">
        <v>9</v>
      </c>
      <c r="F2">
        <v>8</v>
      </c>
      <c r="G2">
        <v>5</v>
      </c>
      <c r="H2">
        <v>3</v>
      </c>
      <c r="I2">
        <v>2</v>
      </c>
      <c r="J2">
        <v>1</v>
      </c>
      <c r="K2">
        <v>1</v>
      </c>
      <c r="L2" cm="1">
        <f t="array" ref="L2:L11">M2:M11/0.8</f>
        <v>125.00142052324304</v>
      </c>
      <c r="M2">
        <v>100.00113641859444</v>
      </c>
      <c r="O2">
        <f>SUM(P2:Y2)</f>
        <v>125.00142052324304</v>
      </c>
      <c r="P2" cm="1">
        <f t="array" ref="P2:Y11">_xlfn.ANCHORARRAY(P1)*L2:L11</f>
        <v>44.321072677179565</v>
      </c>
      <c r="Q2">
        <v>20.004184875348795</v>
      </c>
      <c r="R2">
        <v>13.926397632676192</v>
      </c>
      <c r="S2">
        <v>10.676816472005767</v>
      </c>
      <c r="T2" s="10">
        <v>8.6137138296820783</v>
      </c>
      <c r="U2">
        <v>7.1799745860136737</v>
      </c>
      <c r="V2">
        <v>6.124697958887845</v>
      </c>
      <c r="W2">
        <v>5.31603499274103</v>
      </c>
      <c r="X2">
        <v>4.6774167122682568</v>
      </c>
      <c r="Y2">
        <v>4.1611107864398384</v>
      </c>
      <c r="AB2">
        <v>1</v>
      </c>
      <c r="AC2">
        <v>1</v>
      </c>
      <c r="AD2">
        <v>1</v>
      </c>
      <c r="AE2">
        <v>1</v>
      </c>
      <c r="AF2">
        <v>1</v>
      </c>
      <c r="AG2">
        <v>1</v>
      </c>
      <c r="AH2">
        <v>1</v>
      </c>
      <c r="AI2">
        <v>1</v>
      </c>
      <c r="AJ2">
        <v>1</v>
      </c>
      <c r="AK2">
        <v>1</v>
      </c>
      <c r="AP2" s="4" cm="1">
        <f t="array" ref="AP2:AY11">LN(P2:Y11)</f>
        <v>3.7914602451510944</v>
      </c>
      <c r="AQ2">
        <v>2.9959414954330068</v>
      </c>
      <c r="AR2">
        <v>2.6337861493710979</v>
      </c>
      <c r="AS2">
        <v>2.3680747059509097</v>
      </c>
      <c r="AT2">
        <v>2.15335556454328</v>
      </c>
      <c r="AU2">
        <v>1.9712958435014554</v>
      </c>
      <c r="AV2">
        <v>1.8123294423802354</v>
      </c>
      <c r="AW2">
        <v>1.6707277233615068</v>
      </c>
      <c r="AX2">
        <v>1.5427459729719304</v>
      </c>
      <c r="AY2">
        <v>1.4257820546018671</v>
      </c>
      <c r="BB2" cm="1">
        <f t="array" ref="BB2:BK11">_xlfn.ANCHORARRAY(AP2)*B2:K11</f>
        <v>159.24133029634595</v>
      </c>
      <c r="BC2">
        <v>53.926946917794126</v>
      </c>
      <c r="BD2">
        <v>28.971647643082076</v>
      </c>
      <c r="BE2">
        <v>21.312672353558188</v>
      </c>
      <c r="BF2">
        <v>17.22684451634624</v>
      </c>
      <c r="BG2">
        <v>9.8564792175072764</v>
      </c>
      <c r="BH2">
        <v>5.436988327140706</v>
      </c>
      <c r="BI2">
        <v>3.3414554467230135</v>
      </c>
      <c r="BJ2">
        <v>1.5427459729719304</v>
      </c>
      <c r="BK2">
        <v>1.4257820546018671</v>
      </c>
      <c r="BN2" cm="1">
        <f t="array" ref="BN2:BW11">_xlfn.ANCHORARRAY(BB2)-_xlfn.ANCHORARRAY(P2)</f>
        <v>114.92025761916639</v>
      </c>
      <c r="BO2">
        <v>33.922762042445328</v>
      </c>
      <c r="BP2">
        <v>15.045250010405884</v>
      </c>
      <c r="BQ2">
        <v>10.635855881552422</v>
      </c>
      <c r="BR2">
        <v>8.6131306866641619</v>
      </c>
      <c r="BS2">
        <v>2.6765046314936027</v>
      </c>
      <c r="BT2">
        <v>-0.68770963174713895</v>
      </c>
      <c r="BU2">
        <v>-1.9745795460180164</v>
      </c>
      <c r="BV2">
        <v>-3.1346707392963262</v>
      </c>
      <c r="BW2">
        <v>-2.7353287318379715</v>
      </c>
      <c r="BZ2" cm="1">
        <f t="array" ref="BZ2:CI11">_xlfn.ANCHORARRAY(BN2)*AB2:AK11</f>
        <v>114.92025761916639</v>
      </c>
      <c r="CA2">
        <v>33.922762042445328</v>
      </c>
      <c r="CB2">
        <v>15.045250010405884</v>
      </c>
      <c r="CC2">
        <v>10.635855881552422</v>
      </c>
      <c r="CD2">
        <v>8.6131306866641619</v>
      </c>
      <c r="CE2">
        <v>2.6765046314936027</v>
      </c>
      <c r="CF2">
        <v>-0.68770963174713895</v>
      </c>
      <c r="CG2">
        <v>-1.9745795460180164</v>
      </c>
      <c r="CH2">
        <v>-3.1346707392963262</v>
      </c>
      <c r="CI2">
        <v>-2.7353287318379715</v>
      </c>
      <c r="CL2">
        <f>SUM(_xlfn.ANCHORARRAY(BZ2))</f>
        <v>1671.4860687333764</v>
      </c>
    </row>
    <row r="3" spans="1:90">
      <c r="A3">
        <v>2001</v>
      </c>
      <c r="B3">
        <v>40</v>
      </c>
      <c r="C3">
        <v>19</v>
      </c>
      <c r="D3">
        <v>9</v>
      </c>
      <c r="E3">
        <v>10</v>
      </c>
      <c r="F3">
        <v>9</v>
      </c>
      <c r="G3">
        <v>5</v>
      </c>
      <c r="H3">
        <v>3</v>
      </c>
      <c r="I3">
        <v>3</v>
      </c>
      <c r="J3">
        <v>1</v>
      </c>
      <c r="K3">
        <v>0</v>
      </c>
      <c r="L3">
        <v>126.74486189196313</v>
      </c>
      <c r="M3">
        <v>101.39588951357051</v>
      </c>
      <c r="O3">
        <f t="shared" ref="O3:O11" si="0">SUM(P3:Y3)</f>
        <v>126.74486189196314</v>
      </c>
      <c r="P3">
        <v>44.939235185157436</v>
      </c>
      <c r="Q3">
        <v>20.283190692348473</v>
      </c>
      <c r="R3">
        <v>14.120634287335156</v>
      </c>
      <c r="S3">
        <v>10.82573000791287</v>
      </c>
      <c r="T3" s="10">
        <v>8.7338525046357081</v>
      </c>
      <c r="U3">
        <v>7.2801163657407892</v>
      </c>
      <c r="V3">
        <v>6.210121402459472</v>
      </c>
      <c r="W3">
        <v>5.3901797127379112</v>
      </c>
      <c r="X3">
        <v>4.7426543852545002</v>
      </c>
      <c r="Y3">
        <v>4.21914734838081</v>
      </c>
      <c r="AB3">
        <v>1</v>
      </c>
      <c r="AC3">
        <v>1</v>
      </c>
      <c r="AD3">
        <v>1</v>
      </c>
      <c r="AE3">
        <v>1</v>
      </c>
      <c r="AF3">
        <v>1</v>
      </c>
      <c r="AG3">
        <v>1</v>
      </c>
      <c r="AH3">
        <v>1</v>
      </c>
      <c r="AI3">
        <v>1</v>
      </c>
      <c r="AJ3">
        <v>1</v>
      </c>
      <c r="AK3">
        <v>0</v>
      </c>
      <c r="AP3">
        <v>3.8053112480355393</v>
      </c>
      <c r="AQ3">
        <v>3.0097924983174518</v>
      </c>
      <c r="AR3">
        <v>2.6476371522555429</v>
      </c>
      <c r="AS3">
        <v>2.3819257088353547</v>
      </c>
      <c r="AT3">
        <v>2.1672065674277246</v>
      </c>
      <c r="AU3">
        <v>1.9851468463859003</v>
      </c>
      <c r="AV3">
        <v>1.8261804452646802</v>
      </c>
      <c r="AW3">
        <v>1.6845787262459517</v>
      </c>
      <c r="AX3">
        <v>1.5565969758563754</v>
      </c>
      <c r="AY3">
        <v>1.4396330574863121</v>
      </c>
      <c r="BB3">
        <v>152.21244992142158</v>
      </c>
      <c r="BC3">
        <v>57.186057468031585</v>
      </c>
      <c r="BD3">
        <v>23.828734370299884</v>
      </c>
      <c r="BE3">
        <v>23.819257088353545</v>
      </c>
      <c r="BF3">
        <v>19.504859106849523</v>
      </c>
      <c r="BG3">
        <v>9.9257342319295017</v>
      </c>
      <c r="BH3">
        <v>5.4785413357940405</v>
      </c>
      <c r="BI3">
        <v>5.0537361787378554</v>
      </c>
      <c r="BJ3">
        <v>1.5565969758563754</v>
      </c>
      <c r="BK3">
        <v>0</v>
      </c>
      <c r="BN3">
        <v>107.27321473626415</v>
      </c>
      <c r="BO3">
        <v>36.902866775683108</v>
      </c>
      <c r="BP3">
        <v>9.7081000829647284</v>
      </c>
      <c r="BQ3">
        <v>12.993527080440675</v>
      </c>
      <c r="BR3">
        <v>10.771006602213815</v>
      </c>
      <c r="BS3">
        <v>2.6456178661887124</v>
      </c>
      <c r="BT3">
        <v>-0.73158006666543152</v>
      </c>
      <c r="BU3">
        <v>-0.33644353400005578</v>
      </c>
      <c r="BV3">
        <v>-3.1860574093981251</v>
      </c>
      <c r="BW3">
        <v>-4.21914734838081</v>
      </c>
      <c r="BZ3">
        <v>107.27321473626415</v>
      </c>
      <c r="CA3">
        <v>36.902866775683108</v>
      </c>
      <c r="CB3">
        <v>9.7081000829647284</v>
      </c>
      <c r="CC3">
        <v>12.993527080440675</v>
      </c>
      <c r="CD3">
        <v>10.771006602213815</v>
      </c>
      <c r="CE3">
        <v>2.6456178661887124</v>
      </c>
      <c r="CF3">
        <v>-0.73158006666543152</v>
      </c>
      <c r="CG3">
        <v>-0.33644353400005578</v>
      </c>
      <c r="CH3">
        <v>-3.1860574093981251</v>
      </c>
      <c r="CI3">
        <v>0</v>
      </c>
    </row>
    <row r="4" spans="1:90">
      <c r="A4">
        <v>2002</v>
      </c>
      <c r="B4">
        <v>36</v>
      </c>
      <c r="C4">
        <v>19</v>
      </c>
      <c r="D4">
        <v>10</v>
      </c>
      <c r="E4">
        <v>11</v>
      </c>
      <c r="F4">
        <v>9</v>
      </c>
      <c r="G4">
        <v>6</v>
      </c>
      <c r="H4">
        <v>3</v>
      </c>
      <c r="I4">
        <v>3</v>
      </c>
      <c r="J4">
        <v>0</v>
      </c>
      <c r="K4">
        <v>0</v>
      </c>
      <c r="L4">
        <v>127.79322363796003</v>
      </c>
      <c r="M4">
        <v>102.23457891036803</v>
      </c>
      <c r="O4">
        <f t="shared" si="0"/>
        <v>127.79322363796</v>
      </c>
      <c r="P4">
        <v>45.310947098044565</v>
      </c>
      <c r="Q4">
        <v>20.450961763232151</v>
      </c>
      <c r="R4">
        <v>14.237432180323298</v>
      </c>
      <c r="S4">
        <v>10.915274317980924</v>
      </c>
      <c r="T4" s="10">
        <v>8.8060939882300815</v>
      </c>
      <c r="U4">
        <v>7.3403333669692437</v>
      </c>
      <c r="V4">
        <v>6.2614880110868469</v>
      </c>
      <c r="W4">
        <v>5.4347642278853554</v>
      </c>
      <c r="X4">
        <v>4.7818829374637675</v>
      </c>
      <c r="Y4">
        <v>4.2540457467437909</v>
      </c>
      <c r="AB4">
        <v>1</v>
      </c>
      <c r="AC4">
        <v>1</v>
      </c>
      <c r="AD4">
        <v>1</v>
      </c>
      <c r="AE4">
        <v>1</v>
      </c>
      <c r="AF4">
        <v>1</v>
      </c>
      <c r="AG4">
        <v>1</v>
      </c>
      <c r="AH4">
        <v>1</v>
      </c>
      <c r="AI4">
        <v>1</v>
      </c>
      <c r="AJ4">
        <v>0</v>
      </c>
      <c r="AK4">
        <v>0</v>
      </c>
      <c r="AP4">
        <v>3.8135486610879252</v>
      </c>
      <c r="AQ4">
        <v>3.0180299113698377</v>
      </c>
      <c r="AR4">
        <v>2.6558745653079288</v>
      </c>
      <c r="AS4">
        <v>2.390163121887741</v>
      </c>
      <c r="AT4">
        <v>2.1754439804801109</v>
      </c>
      <c r="AU4">
        <v>1.9933842594382865</v>
      </c>
      <c r="AV4">
        <v>1.8344178583170663</v>
      </c>
      <c r="AW4">
        <v>1.6928161392983376</v>
      </c>
      <c r="AX4">
        <v>1.5648343889087613</v>
      </c>
      <c r="AY4">
        <v>1.4478704705386982</v>
      </c>
      <c r="BB4">
        <v>137.28775179916531</v>
      </c>
      <c r="BC4">
        <v>57.342568316026913</v>
      </c>
      <c r="BD4">
        <v>26.558745653079288</v>
      </c>
      <c r="BE4">
        <v>26.291794340765151</v>
      </c>
      <c r="BF4">
        <v>19.578995824320998</v>
      </c>
      <c r="BG4">
        <v>11.960305556629718</v>
      </c>
      <c r="BH4">
        <v>5.5032535749511986</v>
      </c>
      <c r="BI4">
        <v>5.0784484178950127</v>
      </c>
      <c r="BJ4">
        <v>0</v>
      </c>
      <c r="BK4">
        <v>0</v>
      </c>
      <c r="BN4">
        <v>91.976804701120741</v>
      </c>
      <c r="BO4">
        <v>36.891606552794762</v>
      </c>
      <c r="BP4">
        <v>12.321313472755991</v>
      </c>
      <c r="BQ4">
        <v>15.376520022784227</v>
      </c>
      <c r="BR4">
        <v>10.772901836090917</v>
      </c>
      <c r="BS4">
        <v>4.6199721896604746</v>
      </c>
      <c r="BT4">
        <v>-0.75823443613564834</v>
      </c>
      <c r="BU4">
        <v>-0.35631580999034274</v>
      </c>
      <c r="BV4">
        <v>-4.7818829374637675</v>
      </c>
      <c r="BW4">
        <v>-4.2540457467437909</v>
      </c>
      <c r="BZ4">
        <v>91.976804701120741</v>
      </c>
      <c r="CA4">
        <v>36.891606552794762</v>
      </c>
      <c r="CB4">
        <v>12.321313472755991</v>
      </c>
      <c r="CC4">
        <v>15.376520022784227</v>
      </c>
      <c r="CD4">
        <v>10.772901836090917</v>
      </c>
      <c r="CE4">
        <v>4.6199721896604746</v>
      </c>
      <c r="CF4">
        <v>-0.75823443613564834</v>
      </c>
      <c r="CG4">
        <v>-0.35631580999034274</v>
      </c>
      <c r="CH4">
        <v>0</v>
      </c>
      <c r="CI4">
        <v>0</v>
      </c>
    </row>
    <row r="5" spans="1:90">
      <c r="A5">
        <v>2003</v>
      </c>
      <c r="B5">
        <v>38</v>
      </c>
      <c r="C5">
        <v>19</v>
      </c>
      <c r="D5">
        <v>9</v>
      </c>
      <c r="E5">
        <v>11</v>
      </c>
      <c r="F5">
        <v>9</v>
      </c>
      <c r="G5">
        <v>6</v>
      </c>
      <c r="H5">
        <v>3</v>
      </c>
      <c r="I5">
        <v>0</v>
      </c>
      <c r="J5">
        <v>0</v>
      </c>
      <c r="K5">
        <v>0</v>
      </c>
      <c r="L5">
        <v>129.6222496836065</v>
      </c>
      <c r="M5">
        <v>103.69779974688521</v>
      </c>
      <c r="O5">
        <f t="shared" si="0"/>
        <v>129.6222496836065</v>
      </c>
      <c r="P5">
        <v>45.959454898661747</v>
      </c>
      <c r="Q5">
        <v>20.743663838182865</v>
      </c>
      <c r="R5">
        <v>14.441203816562087</v>
      </c>
      <c r="S5">
        <v>11.071497945921653</v>
      </c>
      <c r="T5" s="10">
        <v>8.9321302114848748</v>
      </c>
      <c r="U5">
        <v>7.445391057273306</v>
      </c>
      <c r="V5">
        <v>6.3511048493726223</v>
      </c>
      <c r="W5">
        <v>5.5125486756187589</v>
      </c>
      <c r="X5">
        <v>4.8503230956417296</v>
      </c>
      <c r="Y5">
        <v>4.3149312948868515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0</v>
      </c>
      <c r="AJ5">
        <v>0</v>
      </c>
      <c r="AK5">
        <v>0</v>
      </c>
      <c r="AP5">
        <v>3.8277595925677868</v>
      </c>
      <c r="AQ5">
        <v>3.0322408428496992</v>
      </c>
      <c r="AR5">
        <v>2.6700854967877903</v>
      </c>
      <c r="AS5">
        <v>2.4043740533676021</v>
      </c>
      <c r="AT5">
        <v>2.1896549119599724</v>
      </c>
      <c r="AU5">
        <v>2.0075951909181478</v>
      </c>
      <c r="AV5">
        <v>1.8486287897969276</v>
      </c>
      <c r="AW5">
        <v>1.7070270707781992</v>
      </c>
      <c r="AX5">
        <v>1.5790453203886228</v>
      </c>
      <c r="AY5">
        <v>1.4620814020185595</v>
      </c>
      <c r="BB5">
        <v>145.45486451757588</v>
      </c>
      <c r="BC5">
        <v>57.612576014144281</v>
      </c>
      <c r="BD5">
        <v>24.030769471090114</v>
      </c>
      <c r="BE5">
        <v>26.448114587043623</v>
      </c>
      <c r="BF5">
        <v>19.706894207639753</v>
      </c>
      <c r="BG5">
        <v>12.045571145508887</v>
      </c>
      <c r="BH5">
        <v>5.5458863693907823</v>
      </c>
      <c r="BI5">
        <v>0</v>
      </c>
      <c r="BJ5">
        <v>0</v>
      </c>
      <c r="BK5">
        <v>0</v>
      </c>
      <c r="BN5">
        <v>99.495409618914138</v>
      </c>
      <c r="BO5">
        <v>36.868912175961412</v>
      </c>
      <c r="BP5">
        <v>9.5895656545280268</v>
      </c>
      <c r="BQ5">
        <v>15.37661664112197</v>
      </c>
      <c r="BR5">
        <v>10.774763996154878</v>
      </c>
      <c r="BS5">
        <v>4.6001800882355814</v>
      </c>
      <c r="BT5">
        <v>-0.80521847998184004</v>
      </c>
      <c r="BU5">
        <v>-5.5125486756187589</v>
      </c>
      <c r="BV5">
        <v>-4.8503230956417296</v>
      </c>
      <c r="BW5">
        <v>-4.3149312948868515</v>
      </c>
      <c r="BZ5">
        <v>99.495409618914138</v>
      </c>
      <c r="CA5">
        <v>36.868912175961412</v>
      </c>
      <c r="CB5">
        <v>9.5895656545280268</v>
      </c>
      <c r="CC5">
        <v>15.37661664112197</v>
      </c>
      <c r="CD5">
        <v>10.774763996154878</v>
      </c>
      <c r="CE5">
        <v>4.6001800882355814</v>
      </c>
      <c r="CF5">
        <v>-0.80521847998184004</v>
      </c>
      <c r="CG5">
        <v>0</v>
      </c>
      <c r="CH5">
        <v>0</v>
      </c>
      <c r="CI5">
        <v>0</v>
      </c>
    </row>
    <row r="6" spans="1:90">
      <c r="A6">
        <v>2004</v>
      </c>
      <c r="B6">
        <v>39</v>
      </c>
      <c r="C6">
        <v>19</v>
      </c>
      <c r="D6">
        <v>9</v>
      </c>
      <c r="E6">
        <v>10</v>
      </c>
      <c r="F6">
        <v>10</v>
      </c>
      <c r="G6">
        <v>5</v>
      </c>
      <c r="H6">
        <v>0</v>
      </c>
      <c r="I6">
        <v>0</v>
      </c>
      <c r="J6">
        <v>0</v>
      </c>
      <c r="K6">
        <v>0</v>
      </c>
      <c r="L6">
        <v>131.17490542763949</v>
      </c>
      <c r="M6">
        <v>104.9399243421116</v>
      </c>
      <c r="O6">
        <f t="shared" si="0"/>
        <v>131.17490542763949</v>
      </c>
      <c r="P6">
        <v>46.50997158707915</v>
      </c>
      <c r="Q6">
        <v>20.99213791488852</v>
      </c>
      <c r="R6">
        <v>14.614185060995558</v>
      </c>
      <c r="S6">
        <v>11.204115802213641</v>
      </c>
      <c r="T6" s="10">
        <v>9.0391220536505834</v>
      </c>
      <c r="U6">
        <v>7.5345742740425274</v>
      </c>
      <c r="V6">
        <v>6.427180364566996</v>
      </c>
      <c r="W6">
        <v>5.57857970336556</v>
      </c>
      <c r="X6">
        <v>4.908421778801805</v>
      </c>
      <c r="Y6">
        <v>4.3666168880351481</v>
      </c>
      <c r="AB6">
        <v>1</v>
      </c>
      <c r="AC6">
        <v>1</v>
      </c>
      <c r="AD6">
        <v>1</v>
      </c>
      <c r="AE6">
        <v>1</v>
      </c>
      <c r="AF6">
        <v>1</v>
      </c>
      <c r="AG6">
        <v>1</v>
      </c>
      <c r="AH6">
        <v>0</v>
      </c>
      <c r="AI6">
        <v>0</v>
      </c>
      <c r="AJ6">
        <v>0</v>
      </c>
      <c r="AK6">
        <v>0</v>
      </c>
      <c r="AP6">
        <v>3.8396667323366391</v>
      </c>
      <c r="AQ6">
        <v>3.0441479826185516</v>
      </c>
      <c r="AR6">
        <v>2.6819926365566427</v>
      </c>
      <c r="AS6">
        <v>2.4162811931364545</v>
      </c>
      <c r="AT6">
        <v>2.2015620517288244</v>
      </c>
      <c r="AU6">
        <v>2.0195023306870001</v>
      </c>
      <c r="AV6">
        <v>1.86053592956578</v>
      </c>
      <c r="AW6">
        <v>1.7189342105470515</v>
      </c>
      <c r="AX6">
        <v>1.5909524601574752</v>
      </c>
      <c r="AY6">
        <v>1.4739885417874119</v>
      </c>
      <c r="BB6">
        <v>149.74700256112894</v>
      </c>
      <c r="BC6">
        <v>57.838811669752481</v>
      </c>
      <c r="BD6">
        <v>24.137933729009784</v>
      </c>
      <c r="BE6">
        <v>24.162811931364544</v>
      </c>
      <c r="BF6">
        <v>22.015620517288244</v>
      </c>
      <c r="BG6">
        <v>10.097511653435001</v>
      </c>
      <c r="BH6">
        <v>0</v>
      </c>
      <c r="BI6">
        <v>0</v>
      </c>
      <c r="BJ6">
        <v>0</v>
      </c>
      <c r="BK6">
        <v>0</v>
      </c>
      <c r="BN6">
        <v>103.23703097404979</v>
      </c>
      <c r="BO6">
        <v>36.846673754863957</v>
      </c>
      <c r="BP6">
        <v>9.5237486680142265</v>
      </c>
      <c r="BQ6">
        <v>12.958696129150903</v>
      </c>
      <c r="BR6">
        <v>12.976498463637661</v>
      </c>
      <c r="BS6">
        <v>2.5629373793924737</v>
      </c>
      <c r="BT6">
        <v>-6.427180364566996</v>
      </c>
      <c r="BU6">
        <v>-5.57857970336556</v>
      </c>
      <c r="BV6">
        <v>-4.908421778801805</v>
      </c>
      <c r="BW6">
        <v>-4.3666168880351481</v>
      </c>
      <c r="BZ6">
        <v>103.23703097404979</v>
      </c>
      <c r="CA6">
        <v>36.846673754863957</v>
      </c>
      <c r="CB6">
        <v>9.5237486680142265</v>
      </c>
      <c r="CC6">
        <v>12.958696129150903</v>
      </c>
      <c r="CD6">
        <v>12.976498463637661</v>
      </c>
      <c r="CE6">
        <v>2.5629373793924737</v>
      </c>
      <c r="CF6">
        <v>0</v>
      </c>
      <c r="CG6">
        <v>0</v>
      </c>
      <c r="CH6">
        <v>0</v>
      </c>
      <c r="CI6">
        <v>0</v>
      </c>
    </row>
    <row r="7" spans="1:90">
      <c r="A7">
        <v>2005</v>
      </c>
      <c r="B7">
        <v>41</v>
      </c>
      <c r="C7">
        <v>19</v>
      </c>
      <c r="D7">
        <v>10</v>
      </c>
      <c r="E7">
        <v>9</v>
      </c>
      <c r="F7">
        <v>9</v>
      </c>
      <c r="G7">
        <v>0</v>
      </c>
      <c r="H7">
        <v>0</v>
      </c>
      <c r="I7">
        <v>0</v>
      </c>
      <c r="J7">
        <v>0</v>
      </c>
      <c r="K7">
        <v>0</v>
      </c>
      <c r="L7">
        <v>132.85220511520734</v>
      </c>
      <c r="M7">
        <v>106.28176409216587</v>
      </c>
      <c r="O7">
        <f t="shared" si="0"/>
        <v>132.85220511520731</v>
      </c>
      <c r="P7">
        <v>47.104682599505459</v>
      </c>
      <c r="Q7">
        <v>21.260558968833529</v>
      </c>
      <c r="R7">
        <v>14.801052876580821</v>
      </c>
      <c r="S7">
        <v>11.347379941595038</v>
      </c>
      <c r="T7" s="10">
        <v>9.1547029762900838</v>
      </c>
      <c r="U7">
        <v>7.6309169322255723</v>
      </c>
      <c r="V7">
        <v>6.5093630624106567</v>
      </c>
      <c r="W7">
        <v>5.649911563396433</v>
      </c>
      <c r="X7">
        <v>4.9711845022754426</v>
      </c>
      <c r="Y7">
        <v>4.4224516920942989</v>
      </c>
      <c r="AB7">
        <v>1</v>
      </c>
      <c r="AC7">
        <v>1</v>
      </c>
      <c r="AD7">
        <v>1</v>
      </c>
      <c r="AE7">
        <v>1</v>
      </c>
      <c r="AF7">
        <v>1</v>
      </c>
      <c r="AG7">
        <v>0</v>
      </c>
      <c r="AH7">
        <v>0</v>
      </c>
      <c r="AI7">
        <v>0</v>
      </c>
      <c r="AJ7">
        <v>0</v>
      </c>
      <c r="AK7">
        <v>0</v>
      </c>
      <c r="AP7">
        <v>3.8523724143292291</v>
      </c>
      <c r="AQ7">
        <v>3.0568536646111415</v>
      </c>
      <c r="AR7">
        <v>2.6946983185492326</v>
      </c>
      <c r="AS7">
        <v>2.4289868751290444</v>
      </c>
      <c r="AT7">
        <v>2.2142677337214143</v>
      </c>
      <c r="AU7">
        <v>2.0322080126795901</v>
      </c>
      <c r="AV7">
        <v>1.8732416115583699</v>
      </c>
      <c r="AW7">
        <v>1.7316398925396415</v>
      </c>
      <c r="AX7">
        <v>1.6036581421500651</v>
      </c>
      <c r="AY7">
        <v>1.4866942237800018</v>
      </c>
      <c r="BB7">
        <v>157.9472689874984</v>
      </c>
      <c r="BC7">
        <v>58.08021962761169</v>
      </c>
      <c r="BD7">
        <v>26.946983185492325</v>
      </c>
      <c r="BE7">
        <v>21.8608818761614</v>
      </c>
      <c r="BF7">
        <v>19.928409603492728</v>
      </c>
      <c r="BG7">
        <v>0</v>
      </c>
      <c r="BH7">
        <v>0</v>
      </c>
      <c r="BI7">
        <v>0</v>
      </c>
      <c r="BJ7">
        <v>0</v>
      </c>
      <c r="BK7">
        <v>0</v>
      </c>
      <c r="BN7">
        <v>110.84258638799295</v>
      </c>
      <c r="BO7">
        <v>36.819660658778162</v>
      </c>
      <c r="BP7">
        <v>12.145930308911504</v>
      </c>
      <c r="BQ7">
        <v>10.513501934566362</v>
      </c>
      <c r="BR7">
        <v>10.773706627202644</v>
      </c>
      <c r="BS7">
        <v>-7.6309169322255723</v>
      </c>
      <c r="BT7">
        <v>-6.5093630624106567</v>
      </c>
      <c r="BU7">
        <v>-5.649911563396433</v>
      </c>
      <c r="BV7">
        <v>-4.9711845022754426</v>
      </c>
      <c r="BW7">
        <v>-4.4224516920942989</v>
      </c>
      <c r="BZ7">
        <v>110.84258638799295</v>
      </c>
      <c r="CA7">
        <v>36.819660658778162</v>
      </c>
      <c r="CB7">
        <v>12.145930308911504</v>
      </c>
      <c r="CC7">
        <v>10.513501934566362</v>
      </c>
      <c r="CD7">
        <v>10.773706627202644</v>
      </c>
      <c r="CE7">
        <v>0</v>
      </c>
      <c r="CF7">
        <v>0</v>
      </c>
      <c r="CG7">
        <v>0</v>
      </c>
      <c r="CH7">
        <v>0</v>
      </c>
      <c r="CI7">
        <v>0</v>
      </c>
    </row>
    <row r="8" spans="1:90">
      <c r="A8">
        <v>2006</v>
      </c>
      <c r="B8">
        <v>42</v>
      </c>
      <c r="C8">
        <v>19</v>
      </c>
      <c r="D8">
        <v>9</v>
      </c>
      <c r="E8">
        <v>9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128.9234405211694</v>
      </c>
      <c r="M8">
        <v>103.13875241693553</v>
      </c>
      <c r="O8">
        <f t="shared" si="0"/>
        <v>128.9234405211694</v>
      </c>
      <c r="P8">
        <v>45.711681940992882</v>
      </c>
      <c r="Q8">
        <v>20.631832247634019</v>
      </c>
      <c r="R8">
        <v>14.363349547188829</v>
      </c>
      <c r="S8">
        <v>11.011810166814298</v>
      </c>
      <c r="T8">
        <v>8.8839760215436989</v>
      </c>
      <c r="U8">
        <v>7.4052520572061908</v>
      </c>
      <c r="V8">
        <v>6.3168652780708321</v>
      </c>
      <c r="W8">
        <v>5.4828298616627773</v>
      </c>
      <c r="X8">
        <v>4.8241744195595908</v>
      </c>
      <c r="Y8">
        <v>4.2916689804962775</v>
      </c>
      <c r="AB8">
        <v>1</v>
      </c>
      <c r="AC8">
        <v>1</v>
      </c>
      <c r="AD8">
        <v>1</v>
      </c>
      <c r="AE8">
        <v>1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P8">
        <v>3.8223538875755358</v>
      </c>
      <c r="AQ8">
        <v>3.0268351378574483</v>
      </c>
      <c r="AR8">
        <v>2.6646797917955394</v>
      </c>
      <c r="AS8">
        <v>2.3989683483753512</v>
      </c>
      <c r="AT8">
        <v>2.1842492069677211</v>
      </c>
      <c r="AU8">
        <v>2.0021894859258969</v>
      </c>
      <c r="AV8">
        <v>1.8432230848046767</v>
      </c>
      <c r="AW8">
        <v>1.701621365785948</v>
      </c>
      <c r="AX8">
        <v>1.5736396153963719</v>
      </c>
      <c r="AY8">
        <v>1.4566756970263086</v>
      </c>
      <c r="BB8">
        <v>160.5388632781725</v>
      </c>
      <c r="BC8">
        <v>57.509867619291519</v>
      </c>
      <c r="BD8">
        <v>23.982118126159854</v>
      </c>
      <c r="BE8">
        <v>21.590715135378161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N8">
        <v>114.82718133717961</v>
      </c>
      <c r="BO8">
        <v>36.878035371657504</v>
      </c>
      <c r="BP8">
        <v>9.6187685789710251</v>
      </c>
      <c r="BQ8">
        <v>10.578904968563863</v>
      </c>
      <c r="BR8">
        <v>-8.8839760215436989</v>
      </c>
      <c r="BS8">
        <v>-7.4052520572061908</v>
      </c>
      <c r="BT8">
        <v>-6.3168652780708321</v>
      </c>
      <c r="BU8">
        <v>-5.4828298616627773</v>
      </c>
      <c r="BV8">
        <v>-4.8241744195595908</v>
      </c>
      <c r="BW8">
        <v>-4.2916689804962775</v>
      </c>
      <c r="BZ8">
        <v>114.82718133717961</v>
      </c>
      <c r="CA8">
        <v>36.878035371657504</v>
      </c>
      <c r="CB8">
        <v>9.6187685789710251</v>
      </c>
      <c r="CC8">
        <v>10.578904968563863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</row>
    <row r="9" spans="1:90">
      <c r="A9">
        <v>2007</v>
      </c>
      <c r="B9">
        <v>43</v>
      </c>
      <c r="C9">
        <v>19</v>
      </c>
      <c r="D9">
        <v>10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131.62499546474007</v>
      </c>
      <c r="M9">
        <v>105.29999637179206</v>
      </c>
      <c r="O9">
        <f t="shared" si="0"/>
        <v>131.62499546474007</v>
      </c>
      <c r="P9">
        <v>46.669557559479358</v>
      </c>
      <c r="Q9">
        <v>21.064166570843181</v>
      </c>
      <c r="R9">
        <v>14.664329553761567</v>
      </c>
      <c r="S9">
        <v>11.24255959510724</v>
      </c>
      <c r="T9">
        <v>9.0701372754052407</v>
      </c>
      <c r="U9">
        <v>7.5604270604690562</v>
      </c>
      <c r="V9">
        <v>6.4492334382041321</v>
      </c>
      <c r="W9">
        <v>5.5977210409367268</v>
      </c>
      <c r="X9">
        <v>4.9252636567000501</v>
      </c>
      <c r="Y9">
        <v>4.3815997138335163</v>
      </c>
      <c r="AB9">
        <v>1</v>
      </c>
      <c r="AC9">
        <v>1</v>
      </c>
      <c r="AD9">
        <v>1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P9">
        <v>3.8430920797256438</v>
      </c>
      <c r="AQ9">
        <v>3.0475733300075563</v>
      </c>
      <c r="AR9">
        <v>2.6854179839456473</v>
      </c>
      <c r="AS9">
        <v>2.4197065405254596</v>
      </c>
      <c r="AT9">
        <v>2.2049873991178295</v>
      </c>
      <c r="AU9">
        <v>2.0229276780760048</v>
      </c>
      <c r="AV9">
        <v>1.8639612769547846</v>
      </c>
      <c r="AW9">
        <v>1.7223595579360562</v>
      </c>
      <c r="AX9">
        <v>1.5943778075464798</v>
      </c>
      <c r="AY9">
        <v>1.4774138891764166</v>
      </c>
      <c r="BB9">
        <v>165.25295942820267</v>
      </c>
      <c r="BC9">
        <v>57.90389327014357</v>
      </c>
      <c r="BD9">
        <v>26.854179839456474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N9">
        <v>118.58340186872331</v>
      </c>
      <c r="BO9">
        <v>36.839726699300385</v>
      </c>
      <c r="BP9">
        <v>12.189850285694908</v>
      </c>
      <c r="BQ9">
        <v>-11.24255959510724</v>
      </c>
      <c r="BR9">
        <v>-9.0701372754052407</v>
      </c>
      <c r="BS9">
        <v>-7.5604270604690562</v>
      </c>
      <c r="BT9">
        <v>-6.4492334382041321</v>
      </c>
      <c r="BU9">
        <v>-5.5977210409367268</v>
      </c>
      <c r="BV9">
        <v>-4.9252636567000501</v>
      </c>
      <c r="BW9">
        <v>-4.3815997138335163</v>
      </c>
      <c r="BZ9">
        <v>118.58340186872331</v>
      </c>
      <c r="CA9">
        <v>36.839726699300385</v>
      </c>
      <c r="CB9">
        <v>12.189850285694908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</row>
    <row r="10" spans="1:90">
      <c r="A10">
        <v>2008</v>
      </c>
      <c r="B10">
        <v>43</v>
      </c>
      <c r="C10">
        <v>20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138.67829285043319</v>
      </c>
      <c r="M10">
        <v>110.94263428034657</v>
      </c>
      <c r="O10">
        <f t="shared" si="0"/>
        <v>138.67829285043319</v>
      </c>
      <c r="P10">
        <v>49.170406787724232</v>
      </c>
      <c r="Q10">
        <v>22.192917462581921</v>
      </c>
      <c r="R10">
        <v>15.450136815819148</v>
      </c>
      <c r="S10">
        <v>11.845006842460888</v>
      </c>
      <c r="T10">
        <v>9.5561724338993663</v>
      </c>
      <c r="U10">
        <v>7.9655624242504359</v>
      </c>
      <c r="V10">
        <v>6.7948240396609458</v>
      </c>
      <c r="W10">
        <v>5.8976822378543368</v>
      </c>
      <c r="X10">
        <v>5.1891903459355904</v>
      </c>
      <c r="Y10">
        <v>4.6163934602463286</v>
      </c>
      <c r="AB10">
        <v>1</v>
      </c>
      <c r="AC10">
        <v>1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P10">
        <v>3.8952919544773672</v>
      </c>
      <c r="AQ10">
        <v>3.0997732047592796</v>
      </c>
      <c r="AR10">
        <v>2.7376178586973707</v>
      </c>
      <c r="AS10">
        <v>2.471906415277183</v>
      </c>
      <c r="AT10">
        <v>2.2571872738695529</v>
      </c>
      <c r="AU10">
        <v>2.0751275528277282</v>
      </c>
      <c r="AV10">
        <v>1.9161611517065082</v>
      </c>
      <c r="AW10">
        <v>1.7745594326877796</v>
      </c>
      <c r="AX10">
        <v>1.6465776822982032</v>
      </c>
      <c r="AY10">
        <v>1.5296137639281402</v>
      </c>
      <c r="BB10">
        <v>167.49755404252679</v>
      </c>
      <c r="BC10">
        <v>61.995464095185596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N10">
        <v>118.32714725480255</v>
      </c>
      <c r="BO10">
        <v>39.802546632603679</v>
      </c>
      <c r="BP10">
        <v>-15.450136815819148</v>
      </c>
      <c r="BQ10">
        <v>-11.845006842460888</v>
      </c>
      <c r="BR10">
        <v>-9.5561724338993663</v>
      </c>
      <c r="BS10">
        <v>-7.9655624242504359</v>
      </c>
      <c r="BT10">
        <v>-6.7948240396609458</v>
      </c>
      <c r="BU10">
        <v>-5.8976822378543368</v>
      </c>
      <c r="BV10">
        <v>-5.1891903459355904</v>
      </c>
      <c r="BW10">
        <v>-4.6163934602463286</v>
      </c>
      <c r="BZ10">
        <v>118.32714725480255</v>
      </c>
      <c r="CA10">
        <v>39.802546632603679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</row>
    <row r="11" spans="1:90">
      <c r="A11">
        <v>2009</v>
      </c>
      <c r="B11">
        <v>42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135.76669553482139</v>
      </c>
      <c r="M11">
        <v>108.61335642785713</v>
      </c>
      <c r="O11">
        <f t="shared" si="0"/>
        <v>135.76669553482139</v>
      </c>
      <c r="P11">
        <v>48.138057589677189</v>
      </c>
      <c r="Q11">
        <v>21.726969709826282</v>
      </c>
      <c r="R11">
        <v>15.125756006435441</v>
      </c>
      <c r="S11">
        <v>11.596316947185725</v>
      </c>
      <c r="T11">
        <v>9.3555373854417585</v>
      </c>
      <c r="U11">
        <v>7.7983227669466126</v>
      </c>
      <c r="V11">
        <v>6.6521644277830552</v>
      </c>
      <c r="W11">
        <v>5.7738584192947302</v>
      </c>
      <c r="X11">
        <v>5.0802415525024331</v>
      </c>
      <c r="Y11">
        <v>4.5194707297281678</v>
      </c>
      <c r="AB11">
        <v>1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P11">
        <v>3.8740730823443066</v>
      </c>
      <c r="AQ11">
        <v>3.078554332626219</v>
      </c>
      <c r="AR11">
        <v>2.7163989865643101</v>
      </c>
      <c r="AS11">
        <v>2.450687543144122</v>
      </c>
      <c r="AT11">
        <v>2.2359684017364918</v>
      </c>
      <c r="AU11">
        <v>2.0539086806946676</v>
      </c>
      <c r="AV11">
        <v>1.8949422795734474</v>
      </c>
      <c r="AW11">
        <v>1.753340560554719</v>
      </c>
      <c r="AX11">
        <v>1.6253588101651426</v>
      </c>
      <c r="AY11">
        <v>1.5083948917950794</v>
      </c>
      <c r="BB11">
        <v>162.71106945846088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N11">
        <v>114.57301186878369</v>
      </c>
      <c r="BO11">
        <v>-21.726969709826282</v>
      </c>
      <c r="BP11">
        <v>-15.125756006435441</v>
      </c>
      <c r="BQ11">
        <v>-11.596316947185725</v>
      </c>
      <c r="BR11">
        <v>-9.3555373854417585</v>
      </c>
      <c r="BS11">
        <v>-7.7983227669466126</v>
      </c>
      <c r="BT11">
        <v>-6.6521644277830552</v>
      </c>
      <c r="BU11">
        <v>-5.7738584192947302</v>
      </c>
      <c r="BV11">
        <v>-5.0802415525024331</v>
      </c>
      <c r="BW11">
        <v>-4.5194707297281678</v>
      </c>
      <c r="BZ11">
        <v>114.57301186878369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</row>
    <row r="13" spans="1:90">
      <c r="M13" t="s">
        <v>18</v>
      </c>
      <c r="AB13" t="s">
        <v>19</v>
      </c>
    </row>
    <row r="14" spans="1:90">
      <c r="A14" s="6"/>
      <c r="P14" t="s">
        <v>20</v>
      </c>
    </row>
    <row r="17" spans="1:48">
      <c r="Z17" s="5" t="s">
        <v>21</v>
      </c>
      <c r="AK17" cm="1">
        <f t="array" ref="AK17:AT26">(B2:K11*(LN((B23:K23-A23:J23)*L2:L11))-((B23:K23-A23:J23)*L2:L11))*AB2:AK11</f>
        <v>109.88721581786506</v>
      </c>
      <c r="AL17">
        <v>32.215807754221373</v>
      </c>
      <c r="AM17">
        <v>14.76078617302899</v>
      </c>
      <c r="AN17">
        <v>10.083207824497981</v>
      </c>
      <c r="AO17">
        <v>7.7309668935991516</v>
      </c>
      <c r="AP17">
        <v>2.9260877249373838</v>
      </c>
      <c r="AQ17">
        <v>0.27203089870334107</v>
      </c>
      <c r="AR17">
        <v>-0.78505654467933583</v>
      </c>
      <c r="AS17">
        <v>-1.6395499930500446</v>
      </c>
      <c r="AT17">
        <v>-1.470405566241499</v>
      </c>
      <c r="AV17" cm="1">
        <f t="array" ref="AV17">SUM((B2:K11*(LN((B23:K23-A23:J23)*L2:L11))-((B23:K23-A23:J23)*L2:L11))*AB2:AK11)</f>
        <v>1623.9713759630902</v>
      </c>
    </row>
    <row r="18" spans="1:48">
      <c r="AK18">
        <v>103.69644158432382</v>
      </c>
      <c r="AL18">
        <v>34.729979726194344</v>
      </c>
      <c r="AM18">
        <v>10.690895431901689</v>
      </c>
      <c r="AN18">
        <v>11.916943967608393</v>
      </c>
      <c r="AO18">
        <v>9.3520783376240928</v>
      </c>
      <c r="AP18">
        <v>2.9398496732380162</v>
      </c>
      <c r="AQ18">
        <v>0.26624693356439888</v>
      </c>
      <c r="AR18">
        <v>0.29580836084052464</v>
      </c>
      <c r="AS18">
        <v>-1.6618501201985332</v>
      </c>
      <c r="AT18">
        <v>0</v>
      </c>
    </row>
    <row r="19" spans="1:48">
      <c r="AK19">
        <v>90.927076769334661</v>
      </c>
      <c r="AL19">
        <v>34.793521074793844</v>
      </c>
      <c r="AM19">
        <v>12.765854845811493</v>
      </c>
      <c r="AN19">
        <v>13.749531787747346</v>
      </c>
      <c r="AO19">
        <v>9.3861827984615385</v>
      </c>
      <c r="AP19">
        <v>4.3507231471038148</v>
      </c>
      <c r="AQ19">
        <v>0.26249462359163012</v>
      </c>
      <c r="AR19">
        <v>0.2958143140317433</v>
      </c>
      <c r="AS19">
        <v>0</v>
      </c>
      <c r="AT19">
        <v>0</v>
      </c>
    </row>
    <row r="20" spans="1:48">
      <c r="AK20">
        <v>97.554164333332082</v>
      </c>
      <c r="AL20">
        <v>34.901329382772261</v>
      </c>
      <c r="AM20">
        <v>10.715288532215856</v>
      </c>
      <c r="AN20">
        <v>13.81928149235287</v>
      </c>
      <c r="AO20">
        <v>9.4442388393548562</v>
      </c>
      <c r="AP20">
        <v>4.3777715426146253</v>
      </c>
      <c r="AQ20">
        <v>0.25546669554203838</v>
      </c>
      <c r="AR20">
        <v>0</v>
      </c>
      <c r="AS20">
        <v>0</v>
      </c>
      <c r="AT20">
        <v>0</v>
      </c>
    </row>
    <row r="21" spans="1:48">
      <c r="A21" s="5" t="s">
        <v>33</v>
      </c>
      <c r="O21" t="s">
        <v>38</v>
      </c>
      <c r="W21" t="s">
        <v>73</v>
      </c>
      <c r="AB21" t="s">
        <v>102</v>
      </c>
      <c r="AK21">
        <v>100.95090740787771</v>
      </c>
      <c r="AL21">
        <v>34.989874372150027</v>
      </c>
      <c r="AM21">
        <v>10.72659609913903</v>
      </c>
      <c r="AN21">
        <v>12.050818216167983</v>
      </c>
      <c r="AO21">
        <v>11.103347254127064</v>
      </c>
      <c r="AP21">
        <v>2.9706205181774834</v>
      </c>
      <c r="AQ21">
        <v>0</v>
      </c>
      <c r="AR21">
        <v>0</v>
      </c>
      <c r="AS21">
        <v>0</v>
      </c>
      <c r="AT21">
        <v>0</v>
      </c>
    </row>
    <row r="22" spans="1:48" ht="15.75" thickBot="1">
      <c r="S22" t="s">
        <v>83</v>
      </c>
      <c r="AK22">
        <v>107.64095990080833</v>
      </c>
      <c r="AL22">
        <v>35.082538146157219</v>
      </c>
      <c r="AM22">
        <v>12.841764789777976</v>
      </c>
      <c r="AN22">
        <v>10.259827955959533</v>
      </c>
      <c r="AO22">
        <v>9.5424166513556408</v>
      </c>
      <c r="AP22">
        <v>0</v>
      </c>
      <c r="AQ22">
        <v>0</v>
      </c>
      <c r="AR22">
        <v>0</v>
      </c>
      <c r="AS22">
        <v>0</v>
      </c>
      <c r="AT22">
        <v>0</v>
      </c>
    </row>
    <row r="23" spans="1:48">
      <c r="A23" s="7" cm="1">
        <f t="array" ref="A23:K23">_xlfn.ANCHORARRAY(A26)</f>
        <v>0</v>
      </c>
      <c r="B23" s="7">
        <v>0.19648017227735382</v>
      </c>
      <c r="C23" s="8">
        <v>0.28516091606721022</v>
      </c>
      <c r="D23" s="8">
        <v>0.34689816295203169</v>
      </c>
      <c r="E23" s="8">
        <v>0.39422966043344321</v>
      </c>
      <c r="F23" s="8">
        <v>0.4324151978082002</v>
      </c>
      <c r="G23" s="8">
        <v>0.46424481199380979</v>
      </c>
      <c r="H23" s="8">
        <v>0.49139626924472263</v>
      </c>
      <c r="I23" s="8">
        <v>0.51496283494618855</v>
      </c>
      <c r="J23" s="8">
        <v>0.53569833582481763</v>
      </c>
      <c r="K23" s="8">
        <v>0.55414499595282973</v>
      </c>
      <c r="T23" s="18" t="s">
        <v>74</v>
      </c>
      <c r="U23" s="18" t="s">
        <v>77</v>
      </c>
      <c r="V23" s="18" t="s">
        <v>81</v>
      </c>
      <c r="X23" s="18">
        <v>-1292.1874999999998</v>
      </c>
      <c r="Y23" s="18">
        <v>499.86617481500883</v>
      </c>
      <c r="Z23" s="18">
        <v>44.000013900316929</v>
      </c>
      <c r="AB23" s="27" cm="1">
        <f t="array" ref="AB23:AD25">MINVERSE(X23:Z25)</f>
        <v>-1.0483147698848161E-3</v>
      </c>
      <c r="AC23" s="28">
        <v>-5.1714099525431985E-4</v>
      </c>
      <c r="AD23" s="29">
        <v>-2.184498186534429E-3</v>
      </c>
      <c r="AF23" cm="1">
        <f t="array" ref="AF23:AH25">MMULT(X23:Z25,_xlfn.ANCHORARRAY(AB23))</f>
        <v>1</v>
      </c>
      <c r="AG23">
        <v>0</v>
      </c>
      <c r="AH23">
        <v>0</v>
      </c>
      <c r="AK23">
        <v>110.41414963482379</v>
      </c>
      <c r="AL23">
        <v>34.860591904211581</v>
      </c>
      <c r="AM23">
        <v>10.709779741072355</v>
      </c>
      <c r="AN23">
        <v>10.175615526664059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</row>
    <row r="24" spans="1:48">
      <c r="A24" cm="1">
        <f t="array" ref="A24:K24">_xlfn.ANCHORARRAY(A23)/K23</f>
        <v>0</v>
      </c>
      <c r="B24">
        <v>0.35456455207993742</v>
      </c>
      <c r="C24">
        <v>0.51459621245318232</v>
      </c>
      <c r="D24">
        <v>0.626006127431602</v>
      </c>
      <c r="E24">
        <v>0.71141968855205739</v>
      </c>
      <c r="F24">
        <v>0.78032861609564819</v>
      </c>
      <c r="G24">
        <v>0.83776776003464537</v>
      </c>
      <c r="H24">
        <v>0.88676478689442417</v>
      </c>
      <c r="I24">
        <v>0.9292925835425635</v>
      </c>
      <c r="J24">
        <v>0.96671149200527595</v>
      </c>
      <c r="K24">
        <v>1</v>
      </c>
      <c r="T24" s="18" t="s">
        <v>75</v>
      </c>
      <c r="U24" s="18" t="s">
        <v>78</v>
      </c>
      <c r="V24" s="18" t="s">
        <v>82</v>
      </c>
      <c r="X24" s="18">
        <v>499.86617481500883</v>
      </c>
      <c r="Y24" s="18">
        <v>-1057.4627554576064</v>
      </c>
      <c r="Z24" s="18">
        <v>10.455603908537674</v>
      </c>
      <c r="AB24" s="30">
        <v>-5.1714099525431985E-4</v>
      </c>
      <c r="AC24" s="24">
        <v>-1.204931436006866E-3</v>
      </c>
      <c r="AD24" s="9">
        <v>-1.4986054805225565E-3</v>
      </c>
      <c r="AF24">
        <v>-9.3675067702747583E-17</v>
      </c>
      <c r="AG24">
        <v>1</v>
      </c>
      <c r="AH24">
        <v>1.1102230246251565E-16</v>
      </c>
      <c r="AK24">
        <v>114.00711490319208</v>
      </c>
      <c r="AL24">
        <v>35.015041653278622</v>
      </c>
      <c r="AM24">
        <v>12.824725988912455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</row>
    <row r="25" spans="1:48" ht="15.75" thickBot="1">
      <c r="T25" s="18" t="s">
        <v>76</v>
      </c>
      <c r="U25" s="18" t="s">
        <v>80</v>
      </c>
      <c r="V25" s="18" t="s">
        <v>79</v>
      </c>
      <c r="X25" s="18">
        <v>44.000013900316929</v>
      </c>
      <c r="Y25" s="18">
        <v>10.455603908537674</v>
      </c>
      <c r="Z25" s="18">
        <v>-23.590262594742327</v>
      </c>
      <c r="AB25" s="31">
        <v>-2.184498186534429E-3</v>
      </c>
      <c r="AC25" s="32">
        <v>-1.4986054805225563E-3</v>
      </c>
      <c r="AD25" s="33">
        <v>-4.712905468631913E-2</v>
      </c>
      <c r="AF25">
        <v>1.3877787807814457E-17</v>
      </c>
      <c r="AG25">
        <v>6.9388939039072284E-18</v>
      </c>
      <c r="AH25">
        <v>1</v>
      </c>
      <c r="AK25">
        <v>114.86587643205179</v>
      </c>
      <c r="AL25">
        <v>37.890791919053953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</row>
    <row r="26" spans="1:48">
      <c r="A26" s="11" cm="1">
        <f t="array" ref="A26:K26">(A1:K1)^B34/((A1:K1)^B34 +( B35 ^ B34))</f>
        <v>0</v>
      </c>
      <c r="B26" s="7">
        <v>0.19648017227735382</v>
      </c>
      <c r="C26" s="8">
        <v>0.28516091606721022</v>
      </c>
      <c r="D26" s="8">
        <v>0.34689816295203169</v>
      </c>
      <c r="E26" s="8">
        <v>0.39422966043344321</v>
      </c>
      <c r="F26" s="8">
        <v>0.4324151978082002</v>
      </c>
      <c r="G26" s="8">
        <v>0.46424481199380979</v>
      </c>
      <c r="H26" s="8">
        <v>0.49139626924472263</v>
      </c>
      <c r="I26" s="8">
        <v>0.51496283494618855</v>
      </c>
      <c r="J26" s="8">
        <v>0.53569833582481763</v>
      </c>
      <c r="K26" s="8">
        <v>0.55414499595282973</v>
      </c>
      <c r="AK26">
        <v>111.24179189109195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</row>
    <row r="27" spans="1:48">
      <c r="A27" t="s">
        <v>88</v>
      </c>
      <c r="O27" t="s">
        <v>32</v>
      </c>
      <c r="AB27" t="s">
        <v>103</v>
      </c>
    </row>
    <row r="28" spans="1:48">
      <c r="A28" cm="1">
        <f t="array" ref="A28:J28">B23:K23-A23:J23</f>
        <v>0.19648017227735382</v>
      </c>
      <c r="B28">
        <v>8.8680743789856409E-2</v>
      </c>
      <c r="C28">
        <v>6.1737246884821462E-2</v>
      </c>
      <c r="D28">
        <v>4.7331497481411522E-2</v>
      </c>
      <c r="E28">
        <v>3.8185537374756995E-2</v>
      </c>
      <c r="F28">
        <v>3.1829614185609589E-2</v>
      </c>
      <c r="G28">
        <v>2.7151457250912836E-2</v>
      </c>
      <c r="H28">
        <v>2.3566565701465925E-2</v>
      </c>
      <c r="I28">
        <v>2.0735500878629076E-2</v>
      </c>
      <c r="J28">
        <v>1.8446660128012105E-2</v>
      </c>
      <c r="AB28" cm="1">
        <f t="array" ref="AB28:AD30">-1*_xlfn.ANCHORARRAY(AB23)</f>
        <v>1.0483147698848161E-3</v>
      </c>
      <c r="AC28">
        <v>5.1714099525431985E-4</v>
      </c>
      <c r="AD28">
        <v>2.184498186534429E-3</v>
      </c>
    </row>
    <row r="29" spans="1:48">
      <c r="A29" cm="1">
        <f t="array" ref="A29:J29">B24:K24-A24:J24</f>
        <v>0.35456455207993742</v>
      </c>
      <c r="B29">
        <v>0.1600316603732449</v>
      </c>
      <c r="C29">
        <v>0.11140991497841968</v>
      </c>
      <c r="D29">
        <v>8.5413561120455395E-2</v>
      </c>
      <c r="E29">
        <v>6.8908927543590792E-2</v>
      </c>
      <c r="F29">
        <v>5.7439143938997184E-2</v>
      </c>
      <c r="G29">
        <v>4.8997026859778803E-2</v>
      </c>
      <c r="H29">
        <v>4.2527796648139327E-2</v>
      </c>
      <c r="I29">
        <v>3.7418908462712452E-2</v>
      </c>
      <c r="J29">
        <v>3.3288507994724048E-2</v>
      </c>
      <c r="T29" s="18">
        <v>-1292.1874999999998</v>
      </c>
      <c r="U29" s="18">
        <v>499.86617481500883</v>
      </c>
      <c r="V29" s="18">
        <v>44.000013900316929</v>
      </c>
      <c r="AB29">
        <v>5.1714099525431985E-4</v>
      </c>
      <c r="AC29">
        <v>1.204931436006866E-3</v>
      </c>
      <c r="AD29">
        <v>1.4986054805225565E-3</v>
      </c>
    </row>
    <row r="30" spans="1:48">
      <c r="T30" s="18">
        <v>499.86617481500883</v>
      </c>
      <c r="U30" s="18">
        <v>-1057.4627554576064</v>
      </c>
      <c r="V30" s="18">
        <v>10.455603908537674</v>
      </c>
      <c r="AB30">
        <v>2.184498186534429E-3</v>
      </c>
      <c r="AC30">
        <v>1.4986054805225563E-3</v>
      </c>
      <c r="AD30">
        <v>4.712905468631913E-2</v>
      </c>
    </row>
    <row r="31" spans="1:48" ht="15.75" thickBot="1">
      <c r="T31" s="18">
        <v>44.000013900316929</v>
      </c>
      <c r="U31" s="18">
        <v>10.455603908537674</v>
      </c>
      <c r="V31" s="18">
        <v>-23.590262594742327</v>
      </c>
      <c r="X31" cm="1">
        <f t="array" ref="X31:Z33">-1*X27:Z29</f>
        <v>0</v>
      </c>
      <c r="Y31">
        <v>0</v>
      </c>
      <c r="Z31">
        <v>0</v>
      </c>
      <c r="AJ31" t="s">
        <v>163</v>
      </c>
      <c r="AN31" t="s">
        <v>164</v>
      </c>
    </row>
    <row r="32" spans="1:48">
      <c r="D32" t="s">
        <v>100</v>
      </c>
      <c r="X32">
        <v>0</v>
      </c>
      <c r="Y32">
        <v>0</v>
      </c>
      <c r="Z32">
        <v>0</v>
      </c>
      <c r="AA32" t="s">
        <v>106</v>
      </c>
      <c r="AB32" s="27" cm="1">
        <f t="array" ref="AB32:AD34">_xlfn.ANCHORARRAY(AB23)*-AB194</f>
        <v>6.8354565452132298E-3</v>
      </c>
      <c r="AC32" s="28">
        <v>3.371978438496695E-3</v>
      </c>
      <c r="AD32" s="29">
        <v>1.4243853903531146E-2</v>
      </c>
      <c r="AF32" cm="1">
        <f t="array" ref="AF32:AH34">SQRT(_xlfn.ANCHORARRAY(AB32))</f>
        <v>8.2676819878447369E-2</v>
      </c>
      <c r="AG32">
        <v>5.8068738909129884E-2</v>
      </c>
      <c r="AH32">
        <v>0.1193476179214782</v>
      </c>
      <c r="AJ32" cm="1">
        <f t="array" ref="AJ32:AL34">_xlfn.ANCHORARRAY(AB23)*-AB194</f>
        <v>6.8354565452132298E-3</v>
      </c>
      <c r="AK32">
        <v>3.371978438496695E-3</v>
      </c>
      <c r="AL32">
        <v>1.4243853903531146E-2</v>
      </c>
    </row>
    <row r="33" spans="1:44">
      <c r="A33" t="s">
        <v>35</v>
      </c>
      <c r="B33">
        <v>0.8</v>
      </c>
      <c r="D33">
        <f>B33/SQRT(AB28)</f>
        <v>24.708372191031739</v>
      </c>
      <c r="X33">
        <v>0</v>
      </c>
      <c r="Y33">
        <v>0</v>
      </c>
      <c r="Z33">
        <v>0</v>
      </c>
      <c r="AA33" t="s">
        <v>104</v>
      </c>
      <c r="AB33" s="30">
        <v>3.371978438496695E-3</v>
      </c>
      <c r="AC33" s="24">
        <v>7.8566635779549979E-3</v>
      </c>
      <c r="AD33" s="9">
        <v>9.7715427987872874E-3</v>
      </c>
      <c r="AF33">
        <v>5.8068738909129884E-2</v>
      </c>
      <c r="AG33">
        <v>8.8637822502332472E-2</v>
      </c>
      <c r="AH33">
        <v>9.8851114302203433E-2</v>
      </c>
      <c r="AJ33">
        <v>3.371978438496695E-3</v>
      </c>
      <c r="AK33">
        <v>7.8566635779549979E-3</v>
      </c>
      <c r="AL33">
        <v>9.7715427987872874E-3</v>
      </c>
    </row>
    <row r="34" spans="1:44" ht="15.75" thickBot="1">
      <c r="A34" t="s">
        <v>22</v>
      </c>
      <c r="B34">
        <v>0.70610763817417654</v>
      </c>
      <c r="C34" t="s">
        <v>86</v>
      </c>
      <c r="D34">
        <f>B34/SQRT(AC29)</f>
        <v>20.341816949441036</v>
      </c>
      <c r="T34" cm="1">
        <f t="array" ref="T34:V36">MINVERSE(T29:V31)</f>
        <v>-1.0483147698848161E-3</v>
      </c>
      <c r="U34">
        <v>-5.1714099525431985E-4</v>
      </c>
      <c r="V34">
        <v>-2.184498186534429E-3</v>
      </c>
      <c r="AB34" s="31">
        <v>1.4243853903531146E-2</v>
      </c>
      <c r="AC34" s="32">
        <v>9.7715427987872857E-3</v>
      </c>
      <c r="AD34" s="33">
        <v>0.3073014084888917</v>
      </c>
      <c r="AF34">
        <v>0.1193476179214782</v>
      </c>
      <c r="AG34">
        <v>9.8851114302203419E-2</v>
      </c>
      <c r="AH34">
        <v>0.55434773246482361</v>
      </c>
      <c r="AJ34">
        <v>1.4243853903531146E-2</v>
      </c>
      <c r="AK34">
        <v>9.7715427987872857E-3</v>
      </c>
      <c r="AL34">
        <v>0.3073014084888917</v>
      </c>
    </row>
    <row r="35" spans="1:44">
      <c r="A35" t="s">
        <v>23</v>
      </c>
      <c r="B35">
        <v>7.349658719630316</v>
      </c>
      <c r="C35" t="s">
        <v>87</v>
      </c>
      <c r="D35">
        <f>B35/SQRT(AD30)</f>
        <v>33.854999269371497</v>
      </c>
      <c r="T35">
        <v>-5.1714099525431985E-4</v>
      </c>
      <c r="U35">
        <v>-1.204931436006866E-3</v>
      </c>
      <c r="V35">
        <v>-1.4986054805225565E-3</v>
      </c>
    </row>
    <row r="36" spans="1:44">
      <c r="A36" t="s">
        <v>24</v>
      </c>
      <c r="B36" s="26" cm="1">
        <f t="array" ref="B36">SUM((B2:K11*(LN((B24:K24-A24:J24)*L2:L11))-((B24:K24-A24:J24)*L2:L11))*AB2:AK11)</f>
        <v>1671.4860687333764</v>
      </c>
      <c r="T36">
        <v>-2.184498186534429E-3</v>
      </c>
      <c r="U36">
        <v>-1.4986054805225563E-3</v>
      </c>
      <c r="V36">
        <v>-4.712905468631913E-2</v>
      </c>
    </row>
    <row r="37" spans="1:44">
      <c r="A37" s="5" t="s">
        <v>25</v>
      </c>
      <c r="AI37" t="s">
        <v>84</v>
      </c>
    </row>
    <row r="39" spans="1:44">
      <c r="C39">
        <f>B33</f>
        <v>0.8</v>
      </c>
      <c r="D39">
        <f>B34</f>
        <v>0.70610763817417654</v>
      </c>
      <c r="E39">
        <f>B35</f>
        <v>7.349658719630316</v>
      </c>
      <c r="G39" s="9"/>
    </row>
    <row r="40" spans="1:44">
      <c r="B40">
        <f>B33</f>
        <v>0.8</v>
      </c>
      <c r="C40">
        <f>_xlfn.COVARIANCE.P(C39,B40)</f>
        <v>0</v>
      </c>
      <c r="D40">
        <f>_xlfn.COVARIANCE.P(D39,B40)</f>
        <v>0</v>
      </c>
      <c r="G40" s="9"/>
      <c r="L40" t="s">
        <v>73</v>
      </c>
      <c r="U40" t="e" cm="1">
        <f t="array" ref="U40">-SUM((_xlfn.ANCHORARRAY(L2))*(B2:K11)^B34/((B2:K11)^B34+B35^B34)*((B35^B34)/(((B2:K11)^B34+B35^B34))*LN((B2:K11)/B35)))</f>
        <v>#NUM!</v>
      </c>
      <c r="W40" cm="1">
        <f t="array" ref="W40:AF49">_xlfn.ANCHORARRAY(L2)*((B1:K1)^B34/((B1:K1)^B34+B35^B34))*(B35^B34)/(((B1:K1)^B34+B35^B34))*LN((B1:K1)/B35)</f>
        <v>-39.363873052972025</v>
      </c>
      <c r="X40">
        <v>-33.163445646246721</v>
      </c>
      <c r="Y40">
        <v>-25.376166905224405</v>
      </c>
      <c r="Z40">
        <v>-18.160698849361118</v>
      </c>
      <c r="AA40">
        <v>-11.81818913582366</v>
      </c>
      <c r="AB40">
        <v>-6.3080986292236592</v>
      </c>
      <c r="AC40">
        <v>-1.5228078530495206</v>
      </c>
      <c r="AD40">
        <v>2.647271677763908</v>
      </c>
      <c r="AE40">
        <v>6.2981370991095833</v>
      </c>
      <c r="AF40">
        <v>9.5101140018328465</v>
      </c>
      <c r="AI40" cm="1">
        <f t="array" ref="AI40:AR49">_xlfn.ANCHORARRAY(L2)*((B1:K1)^B34/((B1:K1)^B34+B35^B34))*(B35^B34)/(((B1:K1)^B34+B35^B34))*(-B34/B35)</f>
        <v>-1.895981139480809</v>
      </c>
      <c r="AJ40">
        <v>-2.4480313514890621</v>
      </c>
      <c r="AK40">
        <v>-2.7208311431754613</v>
      </c>
      <c r="AL40">
        <v>-2.8679791232729137</v>
      </c>
      <c r="AM40">
        <v>-2.9474767783937752</v>
      </c>
      <c r="AN40">
        <v>-2.9869787229523248</v>
      </c>
      <c r="AO40">
        <v>-3.0014428683922638</v>
      </c>
      <c r="AP40">
        <v>-2.9996431236071071</v>
      </c>
      <c r="AQ40">
        <v>-2.9870275083072588</v>
      </c>
      <c r="AR40">
        <v>-2.9671243370530238</v>
      </c>
    </row>
    <row r="41" spans="1:44">
      <c r="B41">
        <f>B34</f>
        <v>0.70610763817417654</v>
      </c>
      <c r="C41">
        <f>_xlfn.COVARIANCE.P(B41,C39)</f>
        <v>0</v>
      </c>
      <c r="D41">
        <f>_xlfn.COVARIANCE.P(D39,B41)</f>
        <v>0</v>
      </c>
      <c r="G41" s="9"/>
      <c r="H41" t="s">
        <v>83</v>
      </c>
      <c r="W41">
        <v>-39.912895651485904</v>
      </c>
      <c r="X41">
        <v>-33.625988574374603</v>
      </c>
      <c r="Y41">
        <v>-25.730097756385316</v>
      </c>
      <c r="Z41">
        <v>-18.413992880151401</v>
      </c>
      <c r="AA41">
        <v>-11.983021821376395</v>
      </c>
      <c r="AB41">
        <v>-6.3960800302518983</v>
      </c>
      <c r="AC41">
        <v>-1.5440470213446096</v>
      </c>
      <c r="AD41">
        <v>2.6841941618279708</v>
      </c>
      <c r="AE41">
        <v>6.3859795629671581</v>
      </c>
      <c r="AF41">
        <v>9.6427551038510142</v>
      </c>
      <c r="AI41">
        <v>-1.9224250945898571</v>
      </c>
      <c r="AJ41">
        <v>-2.4821749565156632</v>
      </c>
      <c r="AK41">
        <v>-2.7587795885007851</v>
      </c>
      <c r="AL41">
        <v>-2.9079798962818075</v>
      </c>
      <c r="AM41">
        <v>-2.9885863348074797</v>
      </c>
      <c r="AN41">
        <v>-3.0286392276992564</v>
      </c>
      <c r="AO41">
        <v>-3.0433051099628061</v>
      </c>
      <c r="AP41">
        <v>-3.0414802634668172</v>
      </c>
      <c r="AQ41">
        <v>-3.0286886934817061</v>
      </c>
      <c r="AR41">
        <v>-3.0085079252850671</v>
      </c>
    </row>
    <row r="42" spans="1:44">
      <c r="B42">
        <f>B35</f>
        <v>7.349658719630316</v>
      </c>
      <c r="C42">
        <f>_xlfn.COVARIANCE.P(C39,B42)</f>
        <v>0</v>
      </c>
      <c r="G42" s="9"/>
      <c r="I42" t="s">
        <v>74</v>
      </c>
      <c r="J42" t="s">
        <v>77</v>
      </c>
      <c r="K42" t="s">
        <v>81</v>
      </c>
      <c r="M42" t="s">
        <v>71</v>
      </c>
      <c r="N42" cm="1">
        <f t="array" ref="N42">SUM(-B2:K11/B33^2)</f>
        <v>-1292.1874999999998</v>
      </c>
      <c r="O42" t="s">
        <v>72</v>
      </c>
      <c r="P42">
        <v>499.86617481500883</v>
      </c>
      <c r="Q42" t="s">
        <v>85</v>
      </c>
      <c r="R42">
        <v>44.000013900316929</v>
      </c>
      <c r="W42">
        <v>-40.243032529213146</v>
      </c>
      <c r="X42">
        <v>-33.904123715842928</v>
      </c>
      <c r="Y42">
        <v>-25.942922558952443</v>
      </c>
      <c r="Z42">
        <v>-18.566303004904743</v>
      </c>
      <c r="AA42">
        <v>-12.082138594170589</v>
      </c>
      <c r="AB42">
        <v>-6.4489847833752751</v>
      </c>
      <c r="AC42">
        <v>-1.55681850420423</v>
      </c>
      <c r="AD42">
        <v>2.7063962963846149</v>
      </c>
      <c r="AE42">
        <v>6.438800770743133</v>
      </c>
      <c r="AF42">
        <v>9.7225145152069619</v>
      </c>
      <c r="AI42">
        <v>-1.9383263066676324</v>
      </c>
      <c r="AJ42">
        <v>-2.5027061025711204</v>
      </c>
      <c r="AK42">
        <v>-2.7815986514832876</v>
      </c>
      <c r="AL42">
        <v>-2.9320330597464421</v>
      </c>
      <c r="AM42">
        <v>-3.0133062290994621</v>
      </c>
      <c r="AN42">
        <v>-3.0536904168468841</v>
      </c>
      <c r="AO42">
        <v>-3.0684776069860105</v>
      </c>
      <c r="AP42">
        <v>-3.0666376663928712</v>
      </c>
      <c r="AQ42">
        <v>-3.0537402917822827</v>
      </c>
      <c r="AR42">
        <v>-3.0333925996956626</v>
      </c>
    </row>
    <row r="43" spans="1:44">
      <c r="G43" s="9"/>
      <c r="I43" t="s">
        <v>75</v>
      </c>
      <c r="J43" t="s">
        <v>78</v>
      </c>
      <c r="K43" t="s">
        <v>82</v>
      </c>
      <c r="M43" t="s">
        <v>96</v>
      </c>
      <c r="N43">
        <v>499.86617481500883</v>
      </c>
      <c r="O43" t="s">
        <v>90</v>
      </c>
      <c r="P43">
        <v>3090.6927860093765</v>
      </c>
      <c r="Q43" t="s">
        <v>91</v>
      </c>
      <c r="R43">
        <v>10.455603908537674</v>
      </c>
      <c r="W43">
        <v>-40.819006376310512</v>
      </c>
      <c r="X43">
        <v>-34.389372648186757</v>
      </c>
      <c r="Y43">
        <v>-26.314227701038391</v>
      </c>
      <c r="Z43">
        <v>-18.83203111474208</v>
      </c>
      <c r="AA43">
        <v>-12.255062834961743</v>
      </c>
      <c r="AB43">
        <v>-6.5412851479876242</v>
      </c>
      <c r="AC43">
        <v>-1.579100292795782</v>
      </c>
      <c r="AD43">
        <v>2.745131286981239</v>
      </c>
      <c r="AE43">
        <v>6.5309553778276328</v>
      </c>
      <c r="AF43">
        <v>9.8616669035047</v>
      </c>
      <c r="AI43">
        <v>-1.9660683824908434</v>
      </c>
      <c r="AJ43">
        <v>-2.5385258003288751</v>
      </c>
      <c r="AK43">
        <v>-2.8214099672734845</v>
      </c>
      <c r="AL43">
        <v>-2.973997450973989</v>
      </c>
      <c r="AM43">
        <v>-3.0564338333623113</v>
      </c>
      <c r="AN43">
        <v>-3.0973960152249109</v>
      </c>
      <c r="AO43">
        <v>-3.1123948453488226</v>
      </c>
      <c r="AP43">
        <v>-3.1105285708142461</v>
      </c>
      <c r="AQ43">
        <v>-3.0974466039896758</v>
      </c>
      <c r="AR43">
        <v>-3.0768076878636594</v>
      </c>
    </row>
    <row r="44" spans="1:44">
      <c r="C44">
        <f>_xlfn.COVARIANCE.P(C39:E39,B40:B42)</f>
        <v>9.6715128990172996</v>
      </c>
      <c r="G44" s="9"/>
      <c r="I44" t="s">
        <v>76</v>
      </c>
      <c r="J44" t="s">
        <v>80</v>
      </c>
      <c r="K44" t="s">
        <v>79</v>
      </c>
      <c r="M44" t="s">
        <v>95</v>
      </c>
      <c r="N44">
        <v>44.000013900316929</v>
      </c>
      <c r="O44" t="s">
        <v>97</v>
      </c>
      <c r="P44">
        <v>10.455603908537674</v>
      </c>
      <c r="Q44" t="s">
        <v>94</v>
      </c>
      <c r="R44">
        <v>-23.590262594742327</v>
      </c>
      <c r="W44">
        <v>-41.307949168698357</v>
      </c>
      <c r="X44">
        <v>-34.801299281972462</v>
      </c>
      <c r="Y44">
        <v>-26.629427729502144</v>
      </c>
      <c r="Z44">
        <v>-19.057607058328021</v>
      </c>
      <c r="AA44">
        <v>-12.401857800722896</v>
      </c>
      <c r="AB44">
        <v>-6.6196387021279923</v>
      </c>
      <c r="AC44">
        <v>-1.598015248723472</v>
      </c>
      <c r="AD44">
        <v>2.7780133259156017</v>
      </c>
      <c r="AE44">
        <v>6.60918519875852</v>
      </c>
      <c r="AF44">
        <v>9.9797930261483128</v>
      </c>
      <c r="AI44">
        <v>-1.9896185629165586</v>
      </c>
      <c r="AJ44">
        <v>-2.5689330542908855</v>
      </c>
      <c r="AK44">
        <v>-2.8552056960365002</v>
      </c>
      <c r="AL44">
        <v>-3.0096209202183917</v>
      </c>
      <c r="AM44">
        <v>-3.0930447513120476</v>
      </c>
      <c r="AN44">
        <v>-3.1344975909676753</v>
      </c>
      <c r="AO44">
        <v>-3.149676081757887</v>
      </c>
      <c r="AP44">
        <v>-3.1477874524047285</v>
      </c>
      <c r="AQ44">
        <v>-3.1345487857004466</v>
      </c>
      <c r="AR44">
        <v>-3.1136626501984983</v>
      </c>
    </row>
    <row r="45" spans="1:44">
      <c r="G45" s="9"/>
      <c r="W45">
        <v>-41.836143261988155</v>
      </c>
      <c r="X45">
        <v>-35.246294521132803</v>
      </c>
      <c r="Y45">
        <v>-26.969931354530058</v>
      </c>
      <c r="Z45">
        <v>-19.301291765098078</v>
      </c>
      <c r="AA45">
        <v>-12.560437158158669</v>
      </c>
      <c r="AB45">
        <v>-6.7042823151017856</v>
      </c>
      <c r="AC45">
        <v>-1.6184486576035808</v>
      </c>
      <c r="AD45">
        <v>2.8135350659041083</v>
      </c>
      <c r="AE45">
        <v>6.6936951454805378</v>
      </c>
      <c r="AF45">
        <v>10.107402065927529</v>
      </c>
      <c r="AI45">
        <v>-2.0150593023863506</v>
      </c>
      <c r="AJ45">
        <v>-2.601781338764944</v>
      </c>
      <c r="AK45">
        <v>-2.8917144749549326</v>
      </c>
      <c r="AL45">
        <v>-3.0481041667869557</v>
      </c>
      <c r="AM45">
        <v>-3.1325947168949915</v>
      </c>
      <c r="AN45">
        <v>-3.1745776033211994</v>
      </c>
      <c r="AO45">
        <v>-3.1899501775588308</v>
      </c>
      <c r="AP45">
        <v>-3.1880373987891835</v>
      </c>
      <c r="AQ45">
        <v>-3.1746294526678165</v>
      </c>
      <c r="AR45">
        <v>-3.1534762515374419</v>
      </c>
    </row>
    <row r="46" spans="1:44">
      <c r="G46" s="9"/>
      <c r="I46">
        <v>1</v>
      </c>
      <c r="J46">
        <v>1</v>
      </c>
      <c r="K46">
        <v>1</v>
      </c>
      <c r="W46">
        <v>-40.598946195847894</v>
      </c>
      <c r="X46">
        <v>-34.203975397670931</v>
      </c>
      <c r="Y46">
        <v>-26.17236452967061</v>
      </c>
      <c r="Z46">
        <v>-18.730505366482003</v>
      </c>
      <c r="AA46">
        <v>-12.188994314964464</v>
      </c>
      <c r="AB46">
        <v>-6.50602029178674</v>
      </c>
      <c r="AC46">
        <v>-1.5705871728977217</v>
      </c>
      <c r="AD46">
        <v>2.7303319535325623</v>
      </c>
      <c r="AE46">
        <v>6.4957462106620136</v>
      </c>
      <c r="AF46">
        <v>9.808501469284165</v>
      </c>
      <c r="AI46">
        <v>-1.955469071006773</v>
      </c>
      <c r="AJ46">
        <v>-2.5248403019465928</v>
      </c>
      <c r="AK46">
        <v>-2.8061994062707658</v>
      </c>
      <c r="AL46">
        <v>-2.9579642724658393</v>
      </c>
      <c r="AM46">
        <v>-3.0399562303863581</v>
      </c>
      <c r="AN46">
        <v>-3.0806975801922012</v>
      </c>
      <c r="AO46">
        <v>-3.0956155498161442</v>
      </c>
      <c r="AP46">
        <v>-3.093759336592397</v>
      </c>
      <c r="AQ46">
        <v>-3.0807478962268418</v>
      </c>
      <c r="AR46">
        <v>-3.0602202469838402</v>
      </c>
    </row>
    <row r="47" spans="1:44">
      <c r="G47" s="9"/>
      <c r="I47">
        <v>1</v>
      </c>
      <c r="J47">
        <v>1</v>
      </c>
      <c r="K47">
        <v>1</v>
      </c>
      <c r="W47">
        <v>-41.449685854638986</v>
      </c>
      <c r="X47">
        <v>-34.920710216814811</v>
      </c>
      <c r="Y47">
        <v>-26.720799170370846</v>
      </c>
      <c r="Z47">
        <v>-19.12299791216525</v>
      </c>
      <c r="AA47">
        <v>-12.444411310629734</v>
      </c>
      <c r="AB47">
        <v>-6.64235214277672</v>
      </c>
      <c r="AC47">
        <v>-1.6034983915566268</v>
      </c>
      <c r="AD47">
        <v>2.7875453024537284</v>
      </c>
      <c r="AE47">
        <v>6.6318627711311926</v>
      </c>
      <c r="AF47">
        <v>10.01403589751728</v>
      </c>
      <c r="AI47">
        <v>-1.996445383106592</v>
      </c>
      <c r="AJ47">
        <v>-2.5777476302949256</v>
      </c>
      <c r="AK47">
        <v>-2.8650025366247922</v>
      </c>
      <c r="AL47">
        <v>-3.0199475935041371</v>
      </c>
      <c r="AM47">
        <v>-3.103657670165187</v>
      </c>
      <c r="AN47">
        <v>-3.1452527436579785</v>
      </c>
      <c r="AO47">
        <v>-3.1604833151983973</v>
      </c>
      <c r="AP47">
        <v>-3.1585882055413044</v>
      </c>
      <c r="AQ47">
        <v>-3.1453041140511706</v>
      </c>
      <c r="AR47">
        <v>-3.1243463136109302</v>
      </c>
    </row>
    <row r="48" spans="1:44">
      <c r="G48" s="9"/>
      <c r="I48">
        <v>1</v>
      </c>
      <c r="J48">
        <v>1</v>
      </c>
      <c r="K48">
        <v>1</v>
      </c>
      <c r="W48">
        <v>-43.6708214364035</v>
      </c>
      <c r="X48">
        <v>-36.791982107151085</v>
      </c>
      <c r="Y48">
        <v>-28.152668111878199</v>
      </c>
      <c r="Z48">
        <v>-20.147728744666001</v>
      </c>
      <c r="AA48">
        <v>-13.111261352704513</v>
      </c>
      <c r="AB48">
        <v>-6.9982912623799596</v>
      </c>
      <c r="AC48">
        <v>-1.6894239482732396</v>
      </c>
      <c r="AD48">
        <v>2.9369195601688216</v>
      </c>
      <c r="AE48">
        <v>6.9872398040476034</v>
      </c>
      <c r="AF48">
        <v>10.550651097136543</v>
      </c>
      <c r="AI48">
        <v>-2.1034275178571082</v>
      </c>
      <c r="AJ48">
        <v>-2.7158796055898944</v>
      </c>
      <c r="AK48">
        <v>-3.018527441451802</v>
      </c>
      <c r="AL48">
        <v>-3.1817754316817197</v>
      </c>
      <c r="AM48">
        <v>-3.269971222190545</v>
      </c>
      <c r="AN48">
        <v>-3.3137952220516786</v>
      </c>
      <c r="AO48">
        <v>-3.3298419436709588</v>
      </c>
      <c r="AP48">
        <v>-3.3278452820864168</v>
      </c>
      <c r="AQ48">
        <v>-3.3138493451945208</v>
      </c>
      <c r="AR48">
        <v>-3.2917684936306464</v>
      </c>
    </row>
    <row r="49" spans="2:44">
      <c r="W49">
        <v>-42.753937879133794</v>
      </c>
      <c r="X49">
        <v>-36.019522090969943</v>
      </c>
      <c r="Y49">
        <v>-27.561593393427056</v>
      </c>
      <c r="Z49">
        <v>-19.724720415655835</v>
      </c>
      <c r="AA49">
        <v>-12.835986018878538</v>
      </c>
      <c r="AB49">
        <v>-6.8513597878528616</v>
      </c>
      <c r="AC49">
        <v>-1.6539539253041238</v>
      </c>
      <c r="AD49">
        <v>2.8752579480174676</v>
      </c>
      <c r="AE49">
        <v>6.8405403585983988</v>
      </c>
      <c r="AF49">
        <v>10.329136635276887</v>
      </c>
      <c r="AI49">
        <v>-2.0592653509548811</v>
      </c>
      <c r="AJ49">
        <v>-2.6588588014926824</v>
      </c>
      <c r="AK49">
        <v>-2.9551524444354307</v>
      </c>
      <c r="AL49">
        <v>-3.1149729883046908</v>
      </c>
      <c r="AM49">
        <v>-3.2013170785826031</v>
      </c>
      <c r="AN49">
        <v>-3.2442209788540155</v>
      </c>
      <c r="AO49">
        <v>-3.259930794165677</v>
      </c>
      <c r="AP49">
        <v>-3.2579760531614239</v>
      </c>
      <c r="AQ49">
        <v>-3.2442739656633028</v>
      </c>
      <c r="AR49">
        <v>-3.2226567089910176</v>
      </c>
    </row>
    <row r="50" spans="2:44">
      <c r="B50">
        <v>0</v>
      </c>
      <c r="C50">
        <v>42</v>
      </c>
      <c r="D50">
        <v>18</v>
      </c>
      <c r="E50">
        <v>11</v>
      </c>
      <c r="F50">
        <v>9</v>
      </c>
      <c r="G50">
        <v>8</v>
      </c>
      <c r="H50">
        <v>5</v>
      </c>
      <c r="I50">
        <v>3</v>
      </c>
      <c r="J50">
        <v>2</v>
      </c>
      <c r="K50">
        <v>1</v>
      </c>
      <c r="L50">
        <v>1</v>
      </c>
    </row>
    <row r="51" spans="2:44">
      <c r="B51">
        <v>0</v>
      </c>
      <c r="C51">
        <v>40</v>
      </c>
      <c r="D51">
        <v>19</v>
      </c>
      <c r="E51">
        <v>9</v>
      </c>
      <c r="F51">
        <v>10</v>
      </c>
      <c r="G51">
        <v>9</v>
      </c>
      <c r="H51">
        <v>5</v>
      </c>
      <c r="I51">
        <v>3</v>
      </c>
      <c r="J51">
        <v>3</v>
      </c>
      <c r="K51">
        <v>1</v>
      </c>
      <c r="L51">
        <v>0</v>
      </c>
      <c r="W51" cm="1">
        <f t="array" ref="W51:AF60">IFERROR(_xlfn.ANCHORARRAY(W40),0)</f>
        <v>-39.363873052972025</v>
      </c>
      <c r="X51">
        <v>-33.163445646246721</v>
      </c>
      <c r="Y51">
        <v>-25.376166905224405</v>
      </c>
      <c r="Z51">
        <v>-18.160698849361118</v>
      </c>
      <c r="AA51">
        <v>-11.81818913582366</v>
      </c>
      <c r="AB51">
        <v>-6.3080986292236592</v>
      </c>
      <c r="AC51">
        <v>-1.5228078530495206</v>
      </c>
      <c r="AD51">
        <v>2.647271677763908</v>
      </c>
      <c r="AE51">
        <v>6.2981370991095833</v>
      </c>
      <c r="AF51">
        <v>9.5101140018328465</v>
      </c>
      <c r="AI51" cm="1">
        <f t="array" ref="AI51:AR60">_xlfn.ANCHORARRAY(L2)*((A1:J1)^B34/((A1:J1)^B34+B35^B34))*(A1:J1)/(((A1:J1)^B34+B35^B34))*(-B34/B35)</f>
        <v>0</v>
      </c>
      <c r="AJ51">
        <v>-0.46361357625189548</v>
      </c>
      <c r="AK51">
        <v>-1.1972066029637767</v>
      </c>
      <c r="AL51">
        <v>-1.9959284885247299</v>
      </c>
      <c r="AM51">
        <v>-2.8051630478147795</v>
      </c>
      <c r="AN51">
        <v>-3.6036493762927146</v>
      </c>
      <c r="AO51">
        <v>-4.382334378016413</v>
      </c>
      <c r="AP51">
        <v>-5.1374812924483662</v>
      </c>
      <c r="AQ51">
        <v>-5.8678865398237727</v>
      </c>
      <c r="AR51">
        <v>-6.5736089298942115</v>
      </c>
    </row>
    <row r="52" spans="2:44">
      <c r="B52">
        <v>0</v>
      </c>
      <c r="C52">
        <v>36</v>
      </c>
      <c r="D52">
        <v>19</v>
      </c>
      <c r="E52">
        <v>10</v>
      </c>
      <c r="F52">
        <v>11</v>
      </c>
      <c r="G52">
        <v>9</v>
      </c>
      <c r="H52">
        <v>6</v>
      </c>
      <c r="I52">
        <v>3</v>
      </c>
      <c r="J52">
        <v>3</v>
      </c>
      <c r="K52">
        <v>0</v>
      </c>
      <c r="L52">
        <v>0</v>
      </c>
      <c r="W52">
        <v>-39.912895651485904</v>
      </c>
      <c r="X52">
        <v>-33.625988574374603</v>
      </c>
      <c r="Y52">
        <v>-25.730097756385316</v>
      </c>
      <c r="Z52">
        <v>-18.413992880151401</v>
      </c>
      <c r="AA52">
        <v>-11.983021821376395</v>
      </c>
      <c r="AB52">
        <v>-6.3960800302518983</v>
      </c>
      <c r="AC52">
        <v>-1.5440470213446096</v>
      </c>
      <c r="AD52">
        <v>2.6841941618279708</v>
      </c>
      <c r="AE52">
        <v>6.3859795629671581</v>
      </c>
      <c r="AF52">
        <v>9.6427551038510142</v>
      </c>
      <c r="AI52">
        <v>0</v>
      </c>
      <c r="AJ52">
        <v>-0.4700797674723986</v>
      </c>
      <c r="AK52">
        <v>-1.2139044893539856</v>
      </c>
      <c r="AL52">
        <v>-2.0237664465362064</v>
      </c>
      <c r="AM52">
        <v>-2.8442877016234602</v>
      </c>
      <c r="AN52">
        <v>-3.6539108163202925</v>
      </c>
      <c r="AO52">
        <v>-4.4434564277836595</v>
      </c>
      <c r="AP52">
        <v>-5.2091356574850778</v>
      </c>
      <c r="AQ52">
        <v>-5.9497281388844998</v>
      </c>
      <c r="AR52">
        <v>-6.665293501975011</v>
      </c>
    </row>
    <row r="53" spans="2:44">
      <c r="B53">
        <v>0</v>
      </c>
      <c r="C53">
        <v>38</v>
      </c>
      <c r="D53">
        <v>19</v>
      </c>
      <c r="E53">
        <v>9</v>
      </c>
      <c r="F53">
        <v>11</v>
      </c>
      <c r="G53">
        <v>9</v>
      </c>
      <c r="H53">
        <v>6</v>
      </c>
      <c r="I53">
        <v>3</v>
      </c>
      <c r="J53">
        <v>0</v>
      </c>
      <c r="K53">
        <v>0</v>
      </c>
      <c r="L53">
        <v>0</v>
      </c>
      <c r="W53">
        <v>-40.243032529213146</v>
      </c>
      <c r="X53">
        <v>-33.904123715842928</v>
      </c>
      <c r="Y53">
        <v>-25.942922558952443</v>
      </c>
      <c r="Z53">
        <v>-18.566303004904743</v>
      </c>
      <c r="AA53">
        <v>-12.082138594170589</v>
      </c>
      <c r="AB53">
        <v>-6.4489847833752751</v>
      </c>
      <c r="AC53">
        <v>-1.55681850420423</v>
      </c>
      <c r="AD53">
        <v>2.7063962963846149</v>
      </c>
      <c r="AE53">
        <v>6.438800770743133</v>
      </c>
      <c r="AF53">
        <v>9.7225145152069619</v>
      </c>
      <c r="AI53">
        <v>0</v>
      </c>
      <c r="AJ53">
        <v>-0.473968001191926</v>
      </c>
      <c r="AK53">
        <v>-1.2239452200860719</v>
      </c>
      <c r="AL53">
        <v>-2.0405058969068977</v>
      </c>
      <c r="AM53">
        <v>-2.867814039310689</v>
      </c>
      <c r="AN53">
        <v>-3.6841338980762988</v>
      </c>
      <c r="AO53">
        <v>-4.4802101838677766</v>
      </c>
      <c r="AP53">
        <v>-5.2522226786983772</v>
      </c>
      <c r="AQ53">
        <v>-5.998940921846895</v>
      </c>
      <c r="AR53">
        <v>-6.7204250365319584</v>
      </c>
    </row>
    <row r="54" spans="2:44">
      <c r="B54">
        <v>0</v>
      </c>
      <c r="C54">
        <v>39</v>
      </c>
      <c r="D54">
        <v>19</v>
      </c>
      <c r="E54">
        <v>9</v>
      </c>
      <c r="F54">
        <v>10</v>
      </c>
      <c r="G54">
        <v>10</v>
      </c>
      <c r="H54">
        <v>5</v>
      </c>
      <c r="I54">
        <v>0</v>
      </c>
      <c r="J54">
        <v>0</v>
      </c>
      <c r="K54">
        <v>0</v>
      </c>
      <c r="L54">
        <v>0</v>
      </c>
      <c r="W54">
        <v>-40.819006376310512</v>
      </c>
      <c r="X54">
        <v>-34.389372648186757</v>
      </c>
      <c r="Y54">
        <v>-26.314227701038391</v>
      </c>
      <c r="Z54">
        <v>-18.83203111474208</v>
      </c>
      <c r="AA54">
        <v>-12.255062834961743</v>
      </c>
      <c r="AB54">
        <v>-6.5412851479876242</v>
      </c>
      <c r="AC54">
        <v>-1.579100292795782</v>
      </c>
      <c r="AD54">
        <v>2.745131286981239</v>
      </c>
      <c r="AE54">
        <v>6.5309553778276328</v>
      </c>
      <c r="AF54">
        <v>9.8616669035047</v>
      </c>
      <c r="AI54">
        <v>0</v>
      </c>
      <c r="AJ54">
        <v>-0.48075161455032267</v>
      </c>
      <c r="AK54">
        <v>-1.2414627974837904</v>
      </c>
      <c r="AL54">
        <v>-2.0697104065474963</v>
      </c>
      <c r="AM54">
        <v>-2.9088593030785859</v>
      </c>
      <c r="AN54">
        <v>-3.736862647405923</v>
      </c>
      <c r="AO54">
        <v>-4.5443326849127432</v>
      </c>
      <c r="AP54">
        <v>-5.3273945211748588</v>
      </c>
      <c r="AQ54">
        <v>-6.0848000846412917</v>
      </c>
      <c r="AR54">
        <v>-6.8166103590374343</v>
      </c>
    </row>
    <row r="55" spans="2:44">
      <c r="B55">
        <v>0</v>
      </c>
      <c r="C55">
        <v>41</v>
      </c>
      <c r="D55">
        <v>19</v>
      </c>
      <c r="E55">
        <v>10</v>
      </c>
      <c r="F55">
        <v>9</v>
      </c>
      <c r="G55">
        <v>9</v>
      </c>
      <c r="H55">
        <v>0</v>
      </c>
      <c r="I55">
        <v>0</v>
      </c>
      <c r="J55">
        <v>0</v>
      </c>
      <c r="K55">
        <v>0</v>
      </c>
      <c r="L55">
        <v>0</v>
      </c>
      <c r="W55">
        <v>-41.307949168698357</v>
      </c>
      <c r="X55">
        <v>-34.801299281972462</v>
      </c>
      <c r="Y55">
        <v>-26.629427729502144</v>
      </c>
      <c r="Z55">
        <v>-19.057607058328021</v>
      </c>
      <c r="AA55">
        <v>-12.401857800722896</v>
      </c>
      <c r="AB55">
        <v>-6.6196387021279923</v>
      </c>
      <c r="AC55">
        <v>-1.598015248723472</v>
      </c>
      <c r="AD55">
        <v>2.7780133259156017</v>
      </c>
      <c r="AE55">
        <v>6.60918519875852</v>
      </c>
      <c r="AF55">
        <v>9.9797930261483128</v>
      </c>
      <c r="AI55">
        <v>0</v>
      </c>
      <c r="AJ55">
        <v>-0.48651020736603662</v>
      </c>
      <c r="AK55">
        <v>-1.2563334261622885</v>
      </c>
      <c r="AL55">
        <v>-2.0945020434698205</v>
      </c>
      <c r="AM55">
        <v>-2.9437025272668169</v>
      </c>
      <c r="AN55">
        <v>-3.7816239539587668</v>
      </c>
      <c r="AO55">
        <v>-4.5987661194754752</v>
      </c>
      <c r="AP55">
        <v>-5.3912077146985169</v>
      </c>
      <c r="AQ55">
        <v>-6.1576857182865288</v>
      </c>
      <c r="AR55">
        <v>-6.8982618444469859</v>
      </c>
    </row>
    <row r="56" spans="2:44">
      <c r="B56">
        <v>0</v>
      </c>
      <c r="C56">
        <v>42</v>
      </c>
      <c r="D56">
        <v>19</v>
      </c>
      <c r="E56">
        <v>9</v>
      </c>
      <c r="F56">
        <v>9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W56">
        <v>-41.836143261988155</v>
      </c>
      <c r="X56">
        <v>-35.246294521132803</v>
      </c>
      <c r="Y56">
        <v>-26.969931354530058</v>
      </c>
      <c r="Z56">
        <v>-19.301291765098078</v>
      </c>
      <c r="AA56">
        <v>-12.560437158158669</v>
      </c>
      <c r="AB56">
        <v>-6.7042823151017856</v>
      </c>
      <c r="AC56">
        <v>-1.6184486576035808</v>
      </c>
      <c r="AD56">
        <v>2.8135350659041083</v>
      </c>
      <c r="AE56">
        <v>6.6936951454805378</v>
      </c>
      <c r="AF56">
        <v>10.107402065927529</v>
      </c>
      <c r="AI56">
        <v>0</v>
      </c>
      <c r="AJ56">
        <v>-0.49273108792358938</v>
      </c>
      <c r="AK56">
        <v>-1.2723978376921714</v>
      </c>
      <c r="AL56">
        <v>-2.1212839009574944</v>
      </c>
      <c r="AM56">
        <v>-2.9813428923441214</v>
      </c>
      <c r="AN56">
        <v>-3.8299786042312087</v>
      </c>
      <c r="AO56">
        <v>-4.6575693558890796</v>
      </c>
      <c r="AP56">
        <v>-5.4601436974308655</v>
      </c>
      <c r="AQ56">
        <v>-6.2364224575870226</v>
      </c>
      <c r="AR56">
        <v>-6.9864681396886823</v>
      </c>
    </row>
    <row r="57" spans="2:44">
      <c r="B57">
        <v>0</v>
      </c>
      <c r="C57">
        <v>43</v>
      </c>
      <c r="D57">
        <v>19</v>
      </c>
      <c r="E57">
        <v>10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W57">
        <v>-40.598946195847894</v>
      </c>
      <c r="X57">
        <v>-34.203975397670931</v>
      </c>
      <c r="Y57">
        <v>-26.17236452967061</v>
      </c>
      <c r="Z57">
        <v>-18.730505366482003</v>
      </c>
      <c r="AA57">
        <v>-12.188994314964464</v>
      </c>
      <c r="AB57">
        <v>-6.50602029178674</v>
      </c>
      <c r="AC57">
        <v>-1.5705871728977217</v>
      </c>
      <c r="AD57">
        <v>2.7303319535325623</v>
      </c>
      <c r="AE57">
        <v>6.4957462106620136</v>
      </c>
      <c r="AF57">
        <v>9.808501469284165</v>
      </c>
      <c r="AI57">
        <v>0</v>
      </c>
      <c r="AJ57">
        <v>-0.47815982468458423</v>
      </c>
      <c r="AK57">
        <v>-1.2347699219950217</v>
      </c>
      <c r="AL57">
        <v>-2.0585523484269408</v>
      </c>
      <c r="AM57">
        <v>-2.8931772921723296</v>
      </c>
      <c r="AN57">
        <v>-3.7167167707284987</v>
      </c>
      <c r="AO57">
        <v>-4.5198336399946779</v>
      </c>
      <c r="AP57">
        <v>-5.2986738955692907</v>
      </c>
      <c r="AQ57">
        <v>-6.0519961944054383</v>
      </c>
      <c r="AR57">
        <v>-6.7798611914579014</v>
      </c>
    </row>
    <row r="58" spans="2:44">
      <c r="B58">
        <v>0</v>
      </c>
      <c r="C58">
        <v>43</v>
      </c>
      <c r="D58">
        <v>20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W58">
        <v>-41.449685854638986</v>
      </c>
      <c r="X58">
        <v>-34.920710216814811</v>
      </c>
      <c r="Y58">
        <v>-26.720799170370846</v>
      </c>
      <c r="Z58">
        <v>-19.12299791216525</v>
      </c>
      <c r="AA58">
        <v>-12.444411310629734</v>
      </c>
      <c r="AB58">
        <v>-6.64235214277672</v>
      </c>
      <c r="AC58">
        <v>-1.6034983915566268</v>
      </c>
      <c r="AD58">
        <v>2.7875453024537284</v>
      </c>
      <c r="AE58">
        <v>6.6318627711311926</v>
      </c>
      <c r="AF58">
        <v>10.01403589751728</v>
      </c>
      <c r="AI58">
        <v>0</v>
      </c>
      <c r="AJ58">
        <v>-0.48817953120941449</v>
      </c>
      <c r="AK58">
        <v>-1.2606441832888029</v>
      </c>
      <c r="AL58">
        <v>-2.1016887420184434</v>
      </c>
      <c r="AM58">
        <v>-2.953803020005052</v>
      </c>
      <c r="AN58">
        <v>-3.7945995399535799</v>
      </c>
      <c r="AO58">
        <v>-4.6145455004979627</v>
      </c>
      <c r="AP58">
        <v>-5.4097061376431732</v>
      </c>
      <c r="AQ58">
        <v>-6.1788140963430012</v>
      </c>
      <c r="AR58">
        <v>-6.9219313025599885</v>
      </c>
    </row>
    <row r="59" spans="2:44">
      <c r="B59">
        <v>0</v>
      </c>
      <c r="C59">
        <v>42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W59">
        <v>-43.6708214364035</v>
      </c>
      <c r="X59">
        <v>-36.791982107151085</v>
      </c>
      <c r="Y59">
        <v>-28.152668111878199</v>
      </c>
      <c r="Z59">
        <v>-20.147728744666001</v>
      </c>
      <c r="AA59">
        <v>-13.111261352704513</v>
      </c>
      <c r="AB59">
        <v>-6.9982912623799596</v>
      </c>
      <c r="AC59">
        <v>-1.6894239482732396</v>
      </c>
      <c r="AD59">
        <v>2.9369195601688216</v>
      </c>
      <c r="AE59">
        <v>6.9872398040476034</v>
      </c>
      <c r="AF59">
        <v>10.550651097136543</v>
      </c>
      <c r="AI59">
        <v>0</v>
      </c>
      <c r="AJ59">
        <v>-0.51433926932808083</v>
      </c>
      <c r="AK59">
        <v>-1.3281974492234796</v>
      </c>
      <c r="AL59">
        <v>-2.21431047968521</v>
      </c>
      <c r="AM59">
        <v>-3.1120864147758818</v>
      </c>
      <c r="AN59">
        <v>-3.9979381149742839</v>
      </c>
      <c r="AO59">
        <v>-4.8618219512959673</v>
      </c>
      <c r="AP59">
        <v>-5.6995923102753911</v>
      </c>
      <c r="AQ59">
        <v>-6.5099139239900561</v>
      </c>
      <c r="AR59">
        <v>-7.2928520367861296</v>
      </c>
    </row>
    <row r="60" spans="2:44">
      <c r="W60">
        <v>-42.753937879133794</v>
      </c>
      <c r="X60">
        <v>-36.019522090969943</v>
      </c>
      <c r="Y60">
        <v>-27.561593393427056</v>
      </c>
      <c r="Z60">
        <v>-19.724720415655835</v>
      </c>
      <c r="AA60">
        <v>-12.835986018878538</v>
      </c>
      <c r="AB60">
        <v>-6.8513597878528616</v>
      </c>
      <c r="AC60">
        <v>-1.6539539253041238</v>
      </c>
      <c r="AD60">
        <v>2.8752579480174676</v>
      </c>
      <c r="AE60">
        <v>6.8405403585983988</v>
      </c>
      <c r="AF60">
        <v>10.329136635276887</v>
      </c>
      <c r="AI60">
        <v>0</v>
      </c>
      <c r="AJ60">
        <v>-0.50354054369403733</v>
      </c>
      <c r="AK60">
        <v>-1.3003114978732393</v>
      </c>
      <c r="AL60">
        <v>-2.1678202877736616</v>
      </c>
      <c r="AM60">
        <v>-3.0467471157048585</v>
      </c>
      <c r="AN60">
        <v>-3.9140000620585642</v>
      </c>
      <c r="AO60">
        <v>-4.7597463672127178</v>
      </c>
      <c r="AP60">
        <v>-5.5799274562482548</v>
      </c>
      <c r="AQ60">
        <v>-6.3732360956409888</v>
      </c>
      <c r="AR60">
        <v>-7.1397361599101314</v>
      </c>
    </row>
    <row r="62" spans="2:44">
      <c r="AI62" cm="1">
        <f t="array" ref="AI62:AR71">_xlfn.ANCHORARRAY(AI40)-_xlfn.ANCHORARRAY(AI51)</f>
        <v>-1.895981139480809</v>
      </c>
      <c r="AJ62">
        <v>-1.9844177752371666</v>
      </c>
      <c r="AK62">
        <v>-1.5236245402116846</v>
      </c>
      <c r="AL62">
        <v>-0.87205063474818378</v>
      </c>
      <c r="AM62">
        <v>-0.14231373057899566</v>
      </c>
      <c r="AN62">
        <v>0.61667065334038984</v>
      </c>
      <c r="AO62">
        <v>1.3808915096241492</v>
      </c>
      <c r="AP62">
        <v>2.1378381688412591</v>
      </c>
      <c r="AQ62">
        <v>2.8808590315165139</v>
      </c>
      <c r="AR62">
        <v>3.6064845928411877</v>
      </c>
    </row>
    <row r="63" spans="2:44">
      <c r="F63" t="e" cm="1">
        <f t="array" ref="F63:O72">_xlfn.ANCHORARRAY(L2)*((A1:J1)^B34/((A1:J1)^B34+B35^B34))*(B35^B34)/(((A1:J1)^B34+B35^B34))*LN((A1:J1)/B35)</f>
        <v>#NUM!</v>
      </c>
      <c r="G63">
        <v>-39.363873052972025</v>
      </c>
      <c r="H63">
        <v>-33.163445646246721</v>
      </c>
      <c r="I63">
        <v>-25.376166905224405</v>
      </c>
      <c r="J63">
        <v>-18.160698849361118</v>
      </c>
      <c r="K63">
        <v>-11.81818913582366</v>
      </c>
      <c r="L63">
        <v>-6.3080986292236592</v>
      </c>
      <c r="M63">
        <v>-1.5228078530495206</v>
      </c>
      <c r="N63">
        <v>2.647271677763908</v>
      </c>
      <c r="O63">
        <v>6.2981370991095833</v>
      </c>
      <c r="Q63" cm="1">
        <f t="array" ref="Q63:Z72">IFERROR(_xlfn.ANCHORARRAY(F63),0)</f>
        <v>0</v>
      </c>
      <c r="R63">
        <v>-39.363873052972025</v>
      </c>
      <c r="S63">
        <v>-33.163445646246721</v>
      </c>
      <c r="T63">
        <v>-25.376166905224405</v>
      </c>
      <c r="U63">
        <v>-18.160698849361118</v>
      </c>
      <c r="V63">
        <v>-11.81818913582366</v>
      </c>
      <c r="W63">
        <v>-6.3080986292236592</v>
      </c>
      <c r="X63">
        <v>-1.5228078530495206</v>
      </c>
      <c r="Y63">
        <v>2.647271677763908</v>
      </c>
      <c r="Z63">
        <v>6.2981370991095833</v>
      </c>
      <c r="AI63">
        <v>-1.9224250945898571</v>
      </c>
      <c r="AJ63">
        <v>-2.0120951890432646</v>
      </c>
      <c r="AK63">
        <v>-1.5448750991467994</v>
      </c>
      <c r="AL63">
        <v>-0.88421344974560112</v>
      </c>
      <c r="AM63">
        <v>-0.14429863318401948</v>
      </c>
      <c r="AN63">
        <v>0.62527158862103605</v>
      </c>
      <c r="AO63">
        <v>1.4001513178208533</v>
      </c>
      <c r="AP63">
        <v>2.1676553940182606</v>
      </c>
      <c r="AQ63">
        <v>2.9210394454027937</v>
      </c>
      <c r="AR63">
        <v>3.656785576689944</v>
      </c>
    </row>
    <row r="64" spans="2:44">
      <c r="F64" t="e">
        <v>#NUM!</v>
      </c>
      <c r="G64">
        <v>-39.912895651485904</v>
      </c>
      <c r="H64">
        <v>-33.625988574374603</v>
      </c>
      <c r="I64">
        <v>-25.730097756385316</v>
      </c>
      <c r="J64">
        <v>-18.413992880151401</v>
      </c>
      <c r="K64">
        <v>-11.983021821376395</v>
      </c>
      <c r="L64">
        <v>-6.3960800302518983</v>
      </c>
      <c r="M64">
        <v>-1.5440470213446096</v>
      </c>
      <c r="N64">
        <v>2.6841941618279708</v>
      </c>
      <c r="O64">
        <v>6.3859795629671581</v>
      </c>
      <c r="Q64">
        <v>0</v>
      </c>
      <c r="R64">
        <v>-39.912895651485904</v>
      </c>
      <c r="S64">
        <v>-33.625988574374603</v>
      </c>
      <c r="T64">
        <v>-25.730097756385316</v>
      </c>
      <c r="U64">
        <v>-18.413992880151401</v>
      </c>
      <c r="V64">
        <v>-11.983021821376395</v>
      </c>
      <c r="W64">
        <v>-6.3960800302518983</v>
      </c>
      <c r="X64">
        <v>-1.5440470213446096</v>
      </c>
      <c r="Y64">
        <v>2.6841941618279708</v>
      </c>
      <c r="Z64">
        <v>6.3859795629671581</v>
      </c>
      <c r="AI64">
        <v>-1.9383263066676324</v>
      </c>
      <c r="AJ64">
        <v>-2.0287381013791945</v>
      </c>
      <c r="AK64">
        <v>-1.5576534313972157</v>
      </c>
      <c r="AL64">
        <v>-0.89152716283954447</v>
      </c>
      <c r="AM64">
        <v>-0.1454921897887731</v>
      </c>
      <c r="AN64">
        <v>0.63044348122941463</v>
      </c>
      <c r="AO64">
        <v>1.4117325768817661</v>
      </c>
      <c r="AP64">
        <v>2.1855850123055061</v>
      </c>
      <c r="AQ64">
        <v>2.9452006300646123</v>
      </c>
      <c r="AR64">
        <v>3.6870324368362959</v>
      </c>
    </row>
    <row r="65" spans="6:45">
      <c r="F65" t="e">
        <v>#NUM!</v>
      </c>
      <c r="G65">
        <v>-40.243032529213146</v>
      </c>
      <c r="H65">
        <v>-33.904123715842928</v>
      </c>
      <c r="I65">
        <v>-25.942922558952443</v>
      </c>
      <c r="J65">
        <v>-18.566303004904743</v>
      </c>
      <c r="K65">
        <v>-12.082138594170589</v>
      </c>
      <c r="L65">
        <v>-6.4489847833752751</v>
      </c>
      <c r="M65">
        <v>-1.55681850420423</v>
      </c>
      <c r="N65">
        <v>2.7063962963846149</v>
      </c>
      <c r="O65">
        <v>6.438800770743133</v>
      </c>
      <c r="Q65">
        <v>0</v>
      </c>
      <c r="R65">
        <v>-40.243032529213146</v>
      </c>
      <c r="S65">
        <v>-33.904123715842928</v>
      </c>
      <c r="T65">
        <v>-25.942922558952443</v>
      </c>
      <c r="U65">
        <v>-18.566303004904743</v>
      </c>
      <c r="V65">
        <v>-12.082138594170589</v>
      </c>
      <c r="W65">
        <v>-6.4489847833752751</v>
      </c>
      <c r="X65">
        <v>-1.55681850420423</v>
      </c>
      <c r="Y65">
        <v>2.7063962963846149</v>
      </c>
      <c r="Z65">
        <v>6.438800770743133</v>
      </c>
      <c r="AI65">
        <v>-1.9660683824908434</v>
      </c>
      <c r="AJ65">
        <v>-2.0577741857785523</v>
      </c>
      <c r="AK65">
        <v>-1.5799471697896941</v>
      </c>
      <c r="AL65">
        <v>-0.90428704442649277</v>
      </c>
      <c r="AM65">
        <v>-0.14757453028372547</v>
      </c>
      <c r="AN65">
        <v>0.63946663218101207</v>
      </c>
      <c r="AO65">
        <v>1.4319378395639206</v>
      </c>
      <c r="AP65">
        <v>2.2168659503606127</v>
      </c>
      <c r="AQ65">
        <v>2.987353480651616</v>
      </c>
      <c r="AR65">
        <v>3.7398026711737749</v>
      </c>
    </row>
    <row r="66" spans="6:45">
      <c r="F66" t="e">
        <v>#NUM!</v>
      </c>
      <c r="G66">
        <v>-40.819006376310512</v>
      </c>
      <c r="H66">
        <v>-34.389372648186757</v>
      </c>
      <c r="I66">
        <v>-26.314227701038391</v>
      </c>
      <c r="J66">
        <v>-18.83203111474208</v>
      </c>
      <c r="K66">
        <v>-12.255062834961743</v>
      </c>
      <c r="L66">
        <v>-6.5412851479876242</v>
      </c>
      <c r="M66">
        <v>-1.579100292795782</v>
      </c>
      <c r="N66">
        <v>2.745131286981239</v>
      </c>
      <c r="O66">
        <v>6.5309553778276328</v>
      </c>
      <c r="Q66">
        <v>0</v>
      </c>
      <c r="R66">
        <v>-40.819006376310512</v>
      </c>
      <c r="S66">
        <v>-34.389372648186757</v>
      </c>
      <c r="T66">
        <v>-26.314227701038391</v>
      </c>
      <c r="U66">
        <v>-18.83203111474208</v>
      </c>
      <c r="V66">
        <v>-12.255062834961743</v>
      </c>
      <c r="W66">
        <v>-6.5412851479876242</v>
      </c>
      <c r="X66">
        <v>-1.579100292795782</v>
      </c>
      <c r="Y66">
        <v>2.745131286981239</v>
      </c>
      <c r="Z66">
        <v>6.5309553778276328</v>
      </c>
      <c r="AI66">
        <v>-1.9896185629165586</v>
      </c>
      <c r="AJ66">
        <v>-2.0824228469248487</v>
      </c>
      <c r="AK66">
        <v>-1.5988722698742117</v>
      </c>
      <c r="AL66">
        <v>-0.91511887674857118</v>
      </c>
      <c r="AM66">
        <v>-0.14934222404523068</v>
      </c>
      <c r="AN66">
        <v>0.6471263629910915</v>
      </c>
      <c r="AO66">
        <v>1.4490900377175882</v>
      </c>
      <c r="AP66">
        <v>2.2434202622937884</v>
      </c>
      <c r="AQ66">
        <v>3.0231369325860822</v>
      </c>
      <c r="AR66">
        <v>3.7845991942484876</v>
      </c>
    </row>
    <row r="67" spans="6:45">
      <c r="F67" t="e">
        <v>#NUM!</v>
      </c>
      <c r="G67">
        <v>-41.307949168698357</v>
      </c>
      <c r="H67">
        <v>-34.801299281972462</v>
      </c>
      <c r="I67">
        <v>-26.629427729502144</v>
      </c>
      <c r="J67">
        <v>-19.057607058328021</v>
      </c>
      <c r="K67">
        <v>-12.401857800722896</v>
      </c>
      <c r="L67">
        <v>-6.6196387021279923</v>
      </c>
      <c r="M67">
        <v>-1.598015248723472</v>
      </c>
      <c r="N67">
        <v>2.7780133259156017</v>
      </c>
      <c r="O67">
        <v>6.60918519875852</v>
      </c>
      <c r="Q67">
        <v>0</v>
      </c>
      <c r="R67">
        <v>-41.307949168698357</v>
      </c>
      <c r="S67">
        <v>-34.801299281972462</v>
      </c>
      <c r="T67">
        <v>-26.629427729502144</v>
      </c>
      <c r="U67">
        <v>-19.057607058328021</v>
      </c>
      <c r="V67">
        <v>-12.401857800722896</v>
      </c>
      <c r="W67">
        <v>-6.6196387021279923</v>
      </c>
      <c r="X67">
        <v>-1.598015248723472</v>
      </c>
      <c r="Y67">
        <v>2.7780133259156017</v>
      </c>
      <c r="Z67">
        <v>6.60918519875852</v>
      </c>
      <c r="AI67">
        <v>-2.0150593023863506</v>
      </c>
      <c r="AJ67">
        <v>-2.1090502508413547</v>
      </c>
      <c r="AK67">
        <v>-1.6193166372627612</v>
      </c>
      <c r="AL67">
        <v>-0.92682026582946131</v>
      </c>
      <c r="AM67">
        <v>-0.15125182455087005</v>
      </c>
      <c r="AN67">
        <v>0.6554010009100093</v>
      </c>
      <c r="AO67">
        <v>1.4676191783302488</v>
      </c>
      <c r="AP67">
        <v>2.272106298641682</v>
      </c>
      <c r="AQ67">
        <v>3.0617930049192061</v>
      </c>
      <c r="AR67">
        <v>3.8329918881512404</v>
      </c>
    </row>
    <row r="68" spans="6:45">
      <c r="F68" t="e">
        <v>#NUM!</v>
      </c>
      <c r="G68">
        <v>-41.836143261988155</v>
      </c>
      <c r="H68">
        <v>-35.246294521132803</v>
      </c>
      <c r="I68">
        <v>-26.969931354530058</v>
      </c>
      <c r="J68">
        <v>-19.301291765098078</v>
      </c>
      <c r="K68">
        <v>-12.560437158158669</v>
      </c>
      <c r="L68">
        <v>-6.7042823151017856</v>
      </c>
      <c r="M68">
        <v>-1.6184486576035808</v>
      </c>
      <c r="N68">
        <v>2.8135350659041083</v>
      </c>
      <c r="O68">
        <v>6.6936951454805378</v>
      </c>
      <c r="Q68">
        <v>0</v>
      </c>
      <c r="R68">
        <v>-41.836143261988155</v>
      </c>
      <c r="S68">
        <v>-35.246294521132803</v>
      </c>
      <c r="T68">
        <v>-26.969931354530058</v>
      </c>
      <c r="U68">
        <v>-19.301291765098078</v>
      </c>
      <c r="V68">
        <v>-12.560437158158669</v>
      </c>
      <c r="W68">
        <v>-6.7042823151017856</v>
      </c>
      <c r="X68">
        <v>-1.6184486576035808</v>
      </c>
      <c r="Y68">
        <v>2.8135350659041083</v>
      </c>
      <c r="Z68">
        <v>6.6936951454805378</v>
      </c>
      <c r="AI68">
        <v>-1.955469071006773</v>
      </c>
      <c r="AJ68">
        <v>-2.0466804772620084</v>
      </c>
      <c r="AK68">
        <v>-1.5714294842757441</v>
      </c>
      <c r="AL68">
        <v>-0.89941192403889847</v>
      </c>
      <c r="AM68">
        <v>-0.14677893821402854</v>
      </c>
      <c r="AN68">
        <v>0.63601919053629752</v>
      </c>
      <c r="AO68">
        <v>1.4242180901785337</v>
      </c>
      <c r="AP68">
        <v>2.2049145589768937</v>
      </c>
      <c r="AQ68">
        <v>2.9712482981785966</v>
      </c>
      <c r="AR68">
        <v>3.7196409444740612</v>
      </c>
    </row>
    <row r="69" spans="6:45">
      <c r="F69" t="e">
        <v>#NUM!</v>
      </c>
      <c r="G69">
        <v>-40.598946195847894</v>
      </c>
      <c r="H69">
        <v>-34.203975397670931</v>
      </c>
      <c r="I69">
        <v>-26.17236452967061</v>
      </c>
      <c r="J69">
        <v>-18.730505366482003</v>
      </c>
      <c r="K69">
        <v>-12.188994314964464</v>
      </c>
      <c r="L69">
        <v>-6.50602029178674</v>
      </c>
      <c r="M69">
        <v>-1.5705871728977217</v>
      </c>
      <c r="N69">
        <v>2.7303319535325623</v>
      </c>
      <c r="O69">
        <v>6.4957462106620136</v>
      </c>
      <c r="Q69">
        <v>0</v>
      </c>
      <c r="R69">
        <v>-40.598946195847894</v>
      </c>
      <c r="S69">
        <v>-34.203975397670931</v>
      </c>
      <c r="T69">
        <v>-26.17236452967061</v>
      </c>
      <c r="U69">
        <v>-18.730505366482003</v>
      </c>
      <c r="V69">
        <v>-12.188994314964464</v>
      </c>
      <c r="W69">
        <v>-6.50602029178674</v>
      </c>
      <c r="X69">
        <v>-1.5705871728977217</v>
      </c>
      <c r="Y69">
        <v>2.7303319535325623</v>
      </c>
      <c r="Z69">
        <v>6.4957462106620136</v>
      </c>
      <c r="AI69">
        <v>-1.996445383106592</v>
      </c>
      <c r="AJ69">
        <v>-2.0895680990855112</v>
      </c>
      <c r="AK69">
        <v>-1.6043583533359893</v>
      </c>
      <c r="AL69">
        <v>-0.91825885148569375</v>
      </c>
      <c r="AM69">
        <v>-0.14985465016013499</v>
      </c>
      <c r="AN69">
        <v>0.64934679629560144</v>
      </c>
      <c r="AO69">
        <v>1.4540621852995654</v>
      </c>
      <c r="AP69">
        <v>2.2511179321018688</v>
      </c>
      <c r="AQ69">
        <v>3.0335099822918306</v>
      </c>
      <c r="AR69">
        <v>3.7975849889490583</v>
      </c>
    </row>
    <row r="70" spans="6:45">
      <c r="F70" t="e">
        <v>#NUM!</v>
      </c>
      <c r="G70">
        <v>-41.449685854638986</v>
      </c>
      <c r="H70">
        <v>-34.920710216814811</v>
      </c>
      <c r="I70">
        <v>-26.720799170370846</v>
      </c>
      <c r="J70">
        <v>-19.12299791216525</v>
      </c>
      <c r="K70">
        <v>-12.444411310629734</v>
      </c>
      <c r="L70">
        <v>-6.64235214277672</v>
      </c>
      <c r="M70">
        <v>-1.6034983915566268</v>
      </c>
      <c r="N70">
        <v>2.7875453024537284</v>
      </c>
      <c r="O70">
        <v>6.6318627711311926</v>
      </c>
      <c r="Q70">
        <v>0</v>
      </c>
      <c r="R70">
        <v>-41.449685854638986</v>
      </c>
      <c r="S70">
        <v>-34.920710216814811</v>
      </c>
      <c r="T70">
        <v>-26.720799170370846</v>
      </c>
      <c r="U70">
        <v>-19.12299791216525</v>
      </c>
      <c r="V70">
        <v>-12.444411310629734</v>
      </c>
      <c r="W70">
        <v>-6.64235214277672</v>
      </c>
      <c r="X70">
        <v>-1.6034983915566268</v>
      </c>
      <c r="Y70">
        <v>2.7875453024537284</v>
      </c>
      <c r="Z70">
        <v>6.6318627711311926</v>
      </c>
      <c r="AI70">
        <v>-2.1034275178571082</v>
      </c>
      <c r="AJ70">
        <v>-2.2015403362618136</v>
      </c>
      <c r="AK70">
        <v>-1.6903299922283224</v>
      </c>
      <c r="AL70">
        <v>-0.96746495199650973</v>
      </c>
      <c r="AM70">
        <v>-0.15788480741466326</v>
      </c>
      <c r="AN70">
        <v>0.68414289292260522</v>
      </c>
      <c r="AO70">
        <v>1.5319800076250085</v>
      </c>
      <c r="AP70">
        <v>2.3717470281889743</v>
      </c>
      <c r="AQ70">
        <v>3.1960645787955353</v>
      </c>
      <c r="AR70">
        <v>4.0010835431554828</v>
      </c>
    </row>
    <row r="71" spans="6:45">
      <c r="F71" t="e">
        <v>#NUM!</v>
      </c>
      <c r="G71">
        <v>-43.6708214364035</v>
      </c>
      <c r="H71">
        <v>-36.791982107151085</v>
      </c>
      <c r="I71">
        <v>-28.152668111878199</v>
      </c>
      <c r="J71">
        <v>-20.147728744666001</v>
      </c>
      <c r="K71">
        <v>-13.111261352704513</v>
      </c>
      <c r="L71">
        <v>-6.9982912623799596</v>
      </c>
      <c r="M71">
        <v>-1.6894239482732396</v>
      </c>
      <c r="N71">
        <v>2.9369195601688216</v>
      </c>
      <c r="O71">
        <v>6.9872398040476034</v>
      </c>
      <c r="Q71">
        <v>0</v>
      </c>
      <c r="R71">
        <v>-43.6708214364035</v>
      </c>
      <c r="S71">
        <v>-36.791982107151085</v>
      </c>
      <c r="T71">
        <v>-28.152668111878199</v>
      </c>
      <c r="U71">
        <v>-20.147728744666001</v>
      </c>
      <c r="V71">
        <v>-13.111261352704513</v>
      </c>
      <c r="W71">
        <v>-6.9982912623799596</v>
      </c>
      <c r="X71">
        <v>-1.6894239482732396</v>
      </c>
      <c r="Y71">
        <v>2.9369195601688216</v>
      </c>
      <c r="Z71">
        <v>6.9872398040476034</v>
      </c>
      <c r="AI71">
        <v>-2.0592653509548811</v>
      </c>
      <c r="AJ71">
        <v>-2.1553182577986449</v>
      </c>
      <c r="AK71">
        <v>-1.6548409465621914</v>
      </c>
      <c r="AL71">
        <v>-0.94715270053102918</v>
      </c>
      <c r="AM71">
        <v>-0.1545699628777446</v>
      </c>
      <c r="AN71">
        <v>0.66977908320454871</v>
      </c>
      <c r="AO71">
        <v>1.4998155730470408</v>
      </c>
      <c r="AP71">
        <v>2.3219514030868309</v>
      </c>
      <c r="AQ71">
        <v>3.128962129977686</v>
      </c>
      <c r="AR71">
        <v>3.9170794509191138</v>
      </c>
    </row>
    <row r="72" spans="6:45">
      <c r="F72" t="e">
        <v>#NUM!</v>
      </c>
      <c r="G72">
        <v>-42.753937879133794</v>
      </c>
      <c r="H72">
        <v>-36.019522090969943</v>
      </c>
      <c r="I72">
        <v>-27.561593393427056</v>
      </c>
      <c r="J72">
        <v>-19.724720415655835</v>
      </c>
      <c r="K72">
        <v>-12.835986018878538</v>
      </c>
      <c r="L72">
        <v>-6.8513597878528616</v>
      </c>
      <c r="M72">
        <v>-1.6539539253041238</v>
      </c>
      <c r="N72">
        <v>2.8752579480174676</v>
      </c>
      <c r="O72">
        <v>6.8405403585983988</v>
      </c>
      <c r="Q72">
        <v>0</v>
      </c>
      <c r="R72">
        <v>-42.753937879133794</v>
      </c>
      <c r="S72">
        <v>-36.019522090969943</v>
      </c>
      <c r="T72">
        <v>-27.561593393427056</v>
      </c>
      <c r="U72">
        <v>-19.724720415655835</v>
      </c>
      <c r="V72">
        <v>-12.835986018878538</v>
      </c>
      <c r="W72">
        <v>-6.8513597878528616</v>
      </c>
      <c r="X72">
        <v>-1.6539539253041238</v>
      </c>
      <c r="Y72">
        <v>2.8752579480174676</v>
      </c>
      <c r="Z72">
        <v>6.8405403585983988</v>
      </c>
    </row>
    <row r="73" spans="6:45">
      <c r="AI73">
        <f>SUM(_xlfn.ANCHORARRAY(AI62))</f>
        <v>44.000013900316929</v>
      </c>
    </row>
    <row r="76" spans="6:45">
      <c r="I76" cm="1">
        <f t="array" ref="I76:R85">_xlfn.ANCHORARRAY(W51)-_xlfn.ANCHORARRAY(Q63)</f>
        <v>-39.363873052972025</v>
      </c>
      <c r="J76">
        <v>6.2004274067253036</v>
      </c>
      <c r="K76">
        <v>7.7872787410223161</v>
      </c>
      <c r="L76">
        <v>7.2154680558632869</v>
      </c>
      <c r="M76">
        <v>6.3425097135374582</v>
      </c>
      <c r="N76">
        <v>5.510090506600001</v>
      </c>
      <c r="O76">
        <v>4.7852907761741381</v>
      </c>
      <c r="P76">
        <v>4.1700795308134282</v>
      </c>
      <c r="Q76">
        <v>3.6508654213456753</v>
      </c>
      <c r="R76">
        <v>3.2119769027232632</v>
      </c>
      <c r="T76" t="s">
        <v>72</v>
      </c>
      <c r="U76">
        <f>-SUM(_xlfn.ANCHORARRAY(I76))</f>
        <v>-99.526570715686219</v>
      </c>
      <c r="AM76">
        <v>1</v>
      </c>
      <c r="AN76">
        <v>5</v>
      </c>
      <c r="AO76">
        <v>2</v>
      </c>
      <c r="AQ76" cm="1">
        <f t="array" ref="AQ76:AS78">MINVERSE(AM76:AO78)</f>
        <v>-0.19999999999999976</v>
      </c>
      <c r="AR76">
        <v>1.3569392523196359E-16</v>
      </c>
      <c r="AS76">
        <v>0.19999999999999976</v>
      </c>
    </row>
    <row r="77" spans="6:45">
      <c r="I77">
        <v>-39.912895651485904</v>
      </c>
      <c r="J77">
        <v>6.2869070771113016</v>
      </c>
      <c r="K77">
        <v>7.8958908179892866</v>
      </c>
      <c r="L77">
        <v>7.3161048762339149</v>
      </c>
      <c r="M77">
        <v>6.4309710587750057</v>
      </c>
      <c r="N77">
        <v>5.586941791124497</v>
      </c>
      <c r="O77">
        <v>4.8520330089072887</v>
      </c>
      <c r="P77">
        <v>4.2282411831725799</v>
      </c>
      <c r="Q77">
        <v>3.7017854011391873</v>
      </c>
      <c r="R77">
        <v>3.2567755408838561</v>
      </c>
      <c r="AM77">
        <v>9</v>
      </c>
      <c r="AN77">
        <v>1</v>
      </c>
      <c r="AO77">
        <v>0</v>
      </c>
      <c r="AQ77">
        <v>1.7999999999999978</v>
      </c>
      <c r="AR77">
        <v>0.99999999999999878</v>
      </c>
      <c r="AS77">
        <v>-1.7999999999999978</v>
      </c>
    </row>
    <row r="78" spans="6:45">
      <c r="I78">
        <v>-40.243032529213146</v>
      </c>
      <c r="J78">
        <v>6.3389088133702174</v>
      </c>
      <c r="K78">
        <v>7.9612011568904855</v>
      </c>
      <c r="L78">
        <v>7.3766195540477</v>
      </c>
      <c r="M78">
        <v>6.4841644107341541</v>
      </c>
      <c r="N78">
        <v>5.6331538107953136</v>
      </c>
      <c r="O78">
        <v>4.892166279171045</v>
      </c>
      <c r="P78">
        <v>4.2632148005888446</v>
      </c>
      <c r="Q78">
        <v>3.7324044743585181</v>
      </c>
      <c r="R78">
        <v>3.2837137444638289</v>
      </c>
      <c r="AM78">
        <v>6</v>
      </c>
      <c r="AN78">
        <v>5</v>
      </c>
      <c r="AO78">
        <v>2</v>
      </c>
      <c r="AQ78">
        <v>-3.8999999999999955</v>
      </c>
      <c r="AR78">
        <v>-2.4999999999999969</v>
      </c>
      <c r="AS78">
        <v>4.399999999999995</v>
      </c>
    </row>
    <row r="79" spans="6:45">
      <c r="I79">
        <v>-40.819006376310512</v>
      </c>
      <c r="J79">
        <v>6.4296337281237541</v>
      </c>
      <c r="K79">
        <v>8.0751449471483667</v>
      </c>
      <c r="L79">
        <v>7.4821965862963111</v>
      </c>
      <c r="M79">
        <v>6.5769682797803366</v>
      </c>
      <c r="N79">
        <v>5.7137776869741188</v>
      </c>
      <c r="O79">
        <v>4.9621848551918424</v>
      </c>
      <c r="P79">
        <v>4.3242315797770212</v>
      </c>
      <c r="Q79">
        <v>3.7858240908463938</v>
      </c>
      <c r="R79">
        <v>3.3307115256770672</v>
      </c>
    </row>
    <row r="80" spans="6:45">
      <c r="I80">
        <v>-41.307949168698357</v>
      </c>
      <c r="J80">
        <v>6.5066498867258957</v>
      </c>
      <c r="K80">
        <v>8.1718715524703178</v>
      </c>
      <c r="L80">
        <v>7.5718206711741232</v>
      </c>
      <c r="M80">
        <v>6.6557492576051249</v>
      </c>
      <c r="N80">
        <v>5.7822190985949034</v>
      </c>
      <c r="O80">
        <v>5.0216234534045201</v>
      </c>
      <c r="P80">
        <v>4.3760285746390739</v>
      </c>
      <c r="Q80">
        <v>3.8311718728429183</v>
      </c>
      <c r="R80">
        <v>3.3706078273897928</v>
      </c>
      <c r="AM80" cm="1">
        <f t="array" ref="AM80:AO82">AM76:AO78*_xlfn.ANCHORARRAY(AQ76)</f>
        <v>-0.19999999999999976</v>
      </c>
      <c r="AN80">
        <v>6.7846962615981794E-16</v>
      </c>
      <c r="AO80">
        <v>0.39999999999999952</v>
      </c>
      <c r="AQ80" cm="1">
        <f t="array" ref="AQ80:AS82">MMULT(AM76:AO78,_xlfn.ANCHORARRAY(AQ76))</f>
        <v>0.99999999999999911</v>
      </c>
      <c r="AR80">
        <v>0</v>
      </c>
      <c r="AS80">
        <v>0</v>
      </c>
    </row>
    <row r="81" spans="2:48">
      <c r="I81">
        <v>-41.836143261988155</v>
      </c>
      <c r="J81">
        <v>6.5898487408553521</v>
      </c>
      <c r="K81">
        <v>8.2763631666027457</v>
      </c>
      <c r="L81">
        <v>7.6686395894319794</v>
      </c>
      <c r="M81">
        <v>6.7408546069394095</v>
      </c>
      <c r="N81">
        <v>5.8561548430568831</v>
      </c>
      <c r="O81">
        <v>5.0858336574982044</v>
      </c>
      <c r="P81">
        <v>4.4319837235076891</v>
      </c>
      <c r="Q81">
        <v>3.8801600795764295</v>
      </c>
      <c r="R81">
        <v>3.413706920446991</v>
      </c>
      <c r="AM81">
        <v>16.199999999999982</v>
      </c>
      <c r="AN81">
        <v>0.99999999999999878</v>
      </c>
      <c r="AO81">
        <v>0</v>
      </c>
      <c r="AQ81">
        <v>0</v>
      </c>
      <c r="AR81">
        <v>1</v>
      </c>
      <c r="AS81">
        <v>0</v>
      </c>
    </row>
    <row r="82" spans="2:48">
      <c r="I82">
        <v>-40.598946195847894</v>
      </c>
      <c r="J82">
        <v>6.3949707981769635</v>
      </c>
      <c r="K82">
        <v>8.0316108680003211</v>
      </c>
      <c r="L82">
        <v>7.4418591631886066</v>
      </c>
      <c r="M82">
        <v>6.5415110515175385</v>
      </c>
      <c r="N82">
        <v>5.6829740231777244</v>
      </c>
      <c r="O82">
        <v>4.9354331188890184</v>
      </c>
      <c r="P82">
        <v>4.3009191264302835</v>
      </c>
      <c r="Q82">
        <v>3.7654142571294513</v>
      </c>
      <c r="R82">
        <v>3.3127552586221514</v>
      </c>
      <c r="AM82">
        <v>-23.399999999999974</v>
      </c>
      <c r="AN82">
        <v>-12.499999999999984</v>
      </c>
      <c r="AO82">
        <v>8.7999999999999901</v>
      </c>
      <c r="AQ82">
        <v>0</v>
      </c>
      <c r="AR82">
        <v>8.8817841970012523E-16</v>
      </c>
      <c r="AS82">
        <v>0.99999999999999911</v>
      </c>
    </row>
    <row r="83" spans="2:48">
      <c r="I83">
        <v>-41.449685854638986</v>
      </c>
      <c r="J83">
        <v>6.5289756378241748</v>
      </c>
      <c r="K83">
        <v>8.1999110464439653</v>
      </c>
      <c r="L83">
        <v>7.597801258205596</v>
      </c>
      <c r="M83">
        <v>6.6785866015355158</v>
      </c>
      <c r="N83">
        <v>5.802059167853014</v>
      </c>
      <c r="O83">
        <v>5.0388537512200937</v>
      </c>
      <c r="P83">
        <v>4.3910436940103548</v>
      </c>
      <c r="Q83">
        <v>3.8443174686774642</v>
      </c>
      <c r="R83">
        <v>3.3821731263860872</v>
      </c>
    </row>
    <row r="84" spans="2:48">
      <c r="I84">
        <v>-43.6708214364035</v>
      </c>
      <c r="J84">
        <v>6.8788393292524148</v>
      </c>
      <c r="K84">
        <v>8.6393139952728859</v>
      </c>
      <c r="L84">
        <v>8.0049393672121987</v>
      </c>
      <c r="M84">
        <v>7.0364673919614873</v>
      </c>
      <c r="N84">
        <v>6.1129700903245539</v>
      </c>
      <c r="O84">
        <v>5.3088673141067204</v>
      </c>
      <c r="P84">
        <v>4.6263435084420612</v>
      </c>
      <c r="Q84">
        <v>4.0503202438787813</v>
      </c>
      <c r="R84">
        <v>3.5634112930889392</v>
      </c>
    </row>
    <row r="85" spans="2:48">
      <c r="I85">
        <v>-42.753937879133794</v>
      </c>
      <c r="J85">
        <v>6.7344157881638509</v>
      </c>
      <c r="K85">
        <v>8.4579286975428865</v>
      </c>
      <c r="L85">
        <v>7.8368729777712218</v>
      </c>
      <c r="M85">
        <v>6.8887343967772967</v>
      </c>
      <c r="N85">
        <v>5.9846262310256764</v>
      </c>
      <c r="O85">
        <v>5.197405862548738</v>
      </c>
      <c r="P85">
        <v>4.5292118733215911</v>
      </c>
      <c r="Q85">
        <v>3.9652824105809312</v>
      </c>
      <c r="R85">
        <v>3.4885962766784884</v>
      </c>
      <c r="AM85">
        <v>0</v>
      </c>
      <c r="AN85">
        <v>1</v>
      </c>
      <c r="AO85">
        <v>0</v>
      </c>
      <c r="AQ85" cm="1">
        <f t="array" ref="AQ85:AS87">MINVERSE(AM85:AO87)</f>
        <v>0</v>
      </c>
      <c r="AR85">
        <v>1</v>
      </c>
      <c r="AS85">
        <v>0</v>
      </c>
    </row>
    <row r="86" spans="2:48">
      <c r="O86" t="s">
        <v>99</v>
      </c>
      <c r="AM86">
        <v>1</v>
      </c>
      <c r="AN86">
        <v>0</v>
      </c>
      <c r="AO86">
        <v>0</v>
      </c>
      <c r="AQ86">
        <v>1</v>
      </c>
      <c r="AR86">
        <v>0</v>
      </c>
      <c r="AS86">
        <v>0</v>
      </c>
    </row>
    <row r="87" spans="2:48">
      <c r="B87" t="s">
        <v>89</v>
      </c>
      <c r="D87" cm="1">
        <f t="array" ref="D87:M96">-(B2:K11)/((_xlfn.ANCHORARRAY(P1))^2)</f>
        <v>-334.08629598879014</v>
      </c>
      <c r="E87">
        <v>-702.8468175724953</v>
      </c>
      <c r="F87">
        <v>-886.22704558670171</v>
      </c>
      <c r="G87">
        <v>-1233.6411603337633</v>
      </c>
      <c r="H87">
        <v>-1684.763733488162</v>
      </c>
      <c r="I87">
        <v>-1515.4935315274231</v>
      </c>
      <c r="J87">
        <v>-1249.6310250410263</v>
      </c>
      <c r="K87">
        <v>-1105.8194653259388</v>
      </c>
      <c r="L87">
        <v>-714.19658737710256</v>
      </c>
      <c r="M87">
        <v>-902.42545967994022</v>
      </c>
      <c r="O87" cm="1">
        <f t="array" ref="O87:X87">_xlfn.ANCHORARRAY(O101)^2</f>
        <v>0</v>
      </c>
      <c r="P87">
        <v>0.14539014367964181</v>
      </c>
      <c r="Q87">
        <v>2.201247054226161E-2</v>
      </c>
      <c r="R87">
        <v>3.1024106251148743E-3</v>
      </c>
      <c r="S87">
        <v>3.4957761903839027E-4</v>
      </c>
      <c r="T87">
        <v>2.4234754294985432E-5</v>
      </c>
      <c r="U87">
        <v>5.3609942470718798E-7</v>
      </c>
      <c r="V87">
        <v>1.0440744264863148E-10</v>
      </c>
      <c r="W87">
        <v>2.8874881720410593E-9</v>
      </c>
      <c r="X87">
        <v>5.3101098469963896E-7</v>
      </c>
      <c r="Z87" cm="1">
        <f t="array" ref="Z87:AI96">_xlfn.ANCHORARRAY(D87)*_xlfn.ANCHORARRAY(O87)</f>
        <v>0</v>
      </c>
      <c r="AA87">
        <v>-102.18699979164408</v>
      </c>
      <c r="AB87">
        <v>-19.508046734732808</v>
      </c>
      <c r="AC87">
        <v>-3.8272614433985095</v>
      </c>
      <c r="AD87">
        <v>-0.58895569459502073</v>
      </c>
      <c r="AE87">
        <v>-3.6727613372206855E-2</v>
      </c>
      <c r="AF87">
        <v>-6.6992647362074781E-4</v>
      </c>
      <c r="AG87">
        <v>-1.1545578240575828E-7</v>
      </c>
      <c r="AH87">
        <v>-2.0622341985634727E-6</v>
      </c>
      <c r="AI87">
        <v>-4.7919783196266938E-4</v>
      </c>
      <c r="AM87">
        <v>0</v>
      </c>
      <c r="AN87">
        <v>0</v>
      </c>
      <c r="AO87">
        <v>1</v>
      </c>
      <c r="AQ87">
        <v>0</v>
      </c>
      <c r="AR87">
        <v>0</v>
      </c>
      <c r="AS87">
        <v>1</v>
      </c>
    </row>
    <row r="88" spans="2:48">
      <c r="D88">
        <v>-318.17742475122873</v>
      </c>
      <c r="E88">
        <v>-741.89386299318949</v>
      </c>
      <c r="F88">
        <v>-725.09485548002863</v>
      </c>
      <c r="G88">
        <v>-1370.7124003708479</v>
      </c>
      <c r="H88">
        <v>-1895.3592001741822</v>
      </c>
      <c r="I88">
        <v>-1515.4935315274231</v>
      </c>
      <c r="J88">
        <v>-1249.6310250410263</v>
      </c>
      <c r="K88">
        <v>-1658.7291979889083</v>
      </c>
      <c r="L88">
        <v>-714.19658737710256</v>
      </c>
      <c r="M88">
        <v>0</v>
      </c>
      <c r="Z88">
        <v>0</v>
      </c>
      <c r="AA88">
        <v>-107.86405533562431</v>
      </c>
      <c r="AB88">
        <v>-15.961129146599569</v>
      </c>
      <c r="AC88">
        <v>-4.2525127148872324</v>
      </c>
      <c r="AD88">
        <v>-0.66257515641939835</v>
      </c>
      <c r="AE88">
        <v>-3.6727613372206855E-2</v>
      </c>
      <c r="AF88">
        <v>-6.6992647362074781E-4</v>
      </c>
      <c r="AG88">
        <v>-1.7318367360863743E-7</v>
      </c>
      <c r="AH88">
        <v>-2.0622341985634727E-6</v>
      </c>
      <c r="AI88">
        <v>0</v>
      </c>
    </row>
    <row r="89" spans="2:48">
      <c r="D89">
        <v>-286.35968227610584</v>
      </c>
      <c r="E89">
        <v>-741.89386299318949</v>
      </c>
      <c r="F89">
        <v>-805.66095053336517</v>
      </c>
      <c r="G89">
        <v>-1507.7836404079328</v>
      </c>
      <c r="H89">
        <v>-1895.3592001741822</v>
      </c>
      <c r="I89">
        <v>-1818.5922378329078</v>
      </c>
      <c r="J89">
        <v>-1249.6310250410263</v>
      </c>
      <c r="K89">
        <v>-1658.7291979889083</v>
      </c>
      <c r="L89">
        <v>0</v>
      </c>
      <c r="M89">
        <v>0</v>
      </c>
      <c r="Z89">
        <v>0</v>
      </c>
      <c r="AA89">
        <v>-107.86405533562431</v>
      </c>
      <c r="AB89">
        <v>-17.734587940666188</v>
      </c>
      <c r="AC89">
        <v>-4.6777639863759557</v>
      </c>
      <c r="AD89">
        <v>-0.66257515641939835</v>
      </c>
      <c r="AE89">
        <v>-4.4073136046648233E-2</v>
      </c>
      <c r="AF89">
        <v>-6.6992647362074781E-4</v>
      </c>
      <c r="AG89">
        <v>-1.7318367360863743E-7</v>
      </c>
      <c r="AH89">
        <v>0</v>
      </c>
      <c r="AI89">
        <v>0</v>
      </c>
      <c r="AM89" cm="1">
        <f t="array" ref="AM89:AO91">AM85:AO87*_xlfn.ANCHORARRAY(AQ85)</f>
        <v>0</v>
      </c>
      <c r="AN89">
        <v>1</v>
      </c>
      <c r="AO89">
        <v>0</v>
      </c>
      <c r="AQ89" cm="1">
        <f t="array" ref="AQ89:AS91">MMULT(AM85:AO87,_xlfn.ANCHORARRAY(AQ85))</f>
        <v>1</v>
      </c>
      <c r="AR89">
        <v>0</v>
      </c>
      <c r="AS89">
        <v>0</v>
      </c>
    </row>
    <row r="90" spans="2:48">
      <c r="D90">
        <v>-302.26855351366726</v>
      </c>
      <c r="E90">
        <v>-741.89386299318949</v>
      </c>
      <c r="F90">
        <v>-725.09485548002863</v>
      </c>
      <c r="G90">
        <v>-1507.7836404079328</v>
      </c>
      <c r="H90">
        <v>-1895.3592001741822</v>
      </c>
      <c r="I90">
        <v>-1818.5922378329078</v>
      </c>
      <c r="J90">
        <v>-1249.6310250410263</v>
      </c>
      <c r="K90">
        <v>0</v>
      </c>
      <c r="L90">
        <v>0</v>
      </c>
      <c r="M90">
        <v>0</v>
      </c>
      <c r="Z90">
        <v>0</v>
      </c>
      <c r="AA90">
        <v>-107.86405533562431</v>
      </c>
      <c r="AB90">
        <v>-15.961129146599569</v>
      </c>
      <c r="AC90">
        <v>-4.6777639863759557</v>
      </c>
      <c r="AD90">
        <v>-0.66257515641939835</v>
      </c>
      <c r="AE90">
        <v>-4.4073136046648233E-2</v>
      </c>
      <c r="AF90">
        <v>-6.6992647362074781E-4</v>
      </c>
      <c r="AG90">
        <v>0</v>
      </c>
      <c r="AH90">
        <v>0</v>
      </c>
      <c r="AI90">
        <v>0</v>
      </c>
      <c r="AM90">
        <v>1</v>
      </c>
      <c r="AN90">
        <v>0</v>
      </c>
      <c r="AO90">
        <v>0</v>
      </c>
      <c r="AQ90">
        <v>0</v>
      </c>
      <c r="AR90">
        <v>1</v>
      </c>
      <c r="AS90">
        <v>0</v>
      </c>
    </row>
    <row r="91" spans="2:48">
      <c r="D91">
        <v>-310.22298913244799</v>
      </c>
      <c r="E91">
        <v>-741.89386299318949</v>
      </c>
      <c r="F91">
        <v>-725.09485548002863</v>
      </c>
      <c r="G91">
        <v>-1370.7124003708479</v>
      </c>
      <c r="H91">
        <v>-2105.9546668602025</v>
      </c>
      <c r="I91">
        <v>-1515.4935315274231</v>
      </c>
      <c r="J91">
        <v>0</v>
      </c>
      <c r="K91">
        <v>0</v>
      </c>
      <c r="L91">
        <v>0</v>
      </c>
      <c r="M91">
        <v>0</v>
      </c>
      <c r="Z91">
        <v>0</v>
      </c>
      <c r="AA91">
        <v>-107.86405533562431</v>
      </c>
      <c r="AB91">
        <v>-15.961129146599569</v>
      </c>
      <c r="AC91">
        <v>-4.2525127148872324</v>
      </c>
      <c r="AD91">
        <v>-0.73619461824377597</v>
      </c>
      <c r="AE91">
        <v>-3.6727613372206855E-2</v>
      </c>
      <c r="AF91">
        <v>0</v>
      </c>
      <c r="AG91">
        <v>0</v>
      </c>
      <c r="AH91">
        <v>0</v>
      </c>
      <c r="AI91">
        <v>0</v>
      </c>
      <c r="AM91">
        <v>0</v>
      </c>
      <c r="AN91">
        <v>0</v>
      </c>
      <c r="AO91">
        <v>1</v>
      </c>
      <c r="AQ91">
        <v>0</v>
      </c>
      <c r="AR91">
        <v>0</v>
      </c>
      <c r="AS91">
        <v>1</v>
      </c>
    </row>
    <row r="92" spans="2:48">
      <c r="D92">
        <v>-326.13186037000946</v>
      </c>
      <c r="E92">
        <v>-741.89386299318949</v>
      </c>
      <c r="F92">
        <v>-805.66095053336517</v>
      </c>
      <c r="G92">
        <v>-1233.6411603337633</v>
      </c>
      <c r="H92">
        <v>-1895.3592001741822</v>
      </c>
      <c r="I92">
        <v>0</v>
      </c>
      <c r="J92">
        <v>0</v>
      </c>
      <c r="K92">
        <v>0</v>
      </c>
      <c r="L92">
        <v>0</v>
      </c>
      <c r="M92">
        <v>0</v>
      </c>
      <c r="Z92">
        <v>0</v>
      </c>
      <c r="AA92">
        <v>-107.86405533562431</v>
      </c>
      <c r="AB92">
        <v>-17.734587940666188</v>
      </c>
      <c r="AC92">
        <v>-3.8272614433985095</v>
      </c>
      <c r="AD92">
        <v>-0.66257515641939835</v>
      </c>
      <c r="AE92">
        <v>0</v>
      </c>
      <c r="AF92">
        <v>0</v>
      </c>
      <c r="AG92">
        <v>0</v>
      </c>
      <c r="AH92">
        <v>0</v>
      </c>
      <c r="AI92">
        <v>0</v>
      </c>
    </row>
    <row r="93" spans="2:48">
      <c r="D93">
        <v>-334.08629598879014</v>
      </c>
      <c r="E93">
        <v>-741.89386299318949</v>
      </c>
      <c r="F93">
        <v>-725.09485548002863</v>
      </c>
      <c r="G93">
        <v>-1233.6411603337633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Z93">
        <v>0</v>
      </c>
      <c r="AA93">
        <v>-107.86405533562431</v>
      </c>
      <c r="AB93">
        <v>-15.961129146599569</v>
      </c>
      <c r="AC93">
        <v>-3.8272614433985095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K93" cm="1">
        <f t="array" ref="AK93:AT102">_xlfn.ANCHORARRAY(Z98)+_xlfn.ANCHORARRAY(Z87)</f>
        <v>7.0365293668135651</v>
      </c>
      <c r="AL93">
        <v>-105.09323311445995</v>
      </c>
      <c r="AM93">
        <v>-19.390669827522018</v>
      </c>
      <c r="AN93">
        <v>-4.0259100356058877</v>
      </c>
      <c r="AO93">
        <v>-0.81063801931101964</v>
      </c>
      <c r="AP93">
        <v>1.7552270803763134E-2</v>
      </c>
      <c r="AQ93">
        <v>2.7322971216684026E-2</v>
      </c>
      <c r="AR93">
        <v>3.3876898517593438E-3</v>
      </c>
      <c r="AS93">
        <v>4.9457472769316543E-2</v>
      </c>
      <c r="AT93">
        <v>0.12602732725164334</v>
      </c>
      <c r="AV93">
        <f>SUM(_xlfn.ANCHORARRAY(AK93))</f>
        <v>-1057.4627554576064</v>
      </c>
    </row>
    <row r="94" spans="2:48">
      <c r="D94">
        <v>-342.04073160757088</v>
      </c>
      <c r="E94">
        <v>-741.89386299318949</v>
      </c>
      <c r="F94">
        <v>-805.66095053336517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Z94">
        <v>0</v>
      </c>
      <c r="AA94">
        <v>-107.86405533562431</v>
      </c>
      <c r="AB94">
        <v>-17.734587940666188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K94">
        <v>4.3538986021820554</v>
      </c>
      <c r="AL94">
        <v>-111.90095559888125</v>
      </c>
      <c r="AM94">
        <v>-14.050977806875149</v>
      </c>
      <c r="AN94">
        <v>-4.8327655670007932</v>
      </c>
      <c r="AO94">
        <v>-1.0649346677840508</v>
      </c>
      <c r="AP94">
        <v>2.3397252254345899E-2</v>
      </c>
      <c r="AQ94">
        <v>2.832994126409755E-2</v>
      </c>
      <c r="AR94">
        <v>1.9730301147439263E-3</v>
      </c>
      <c r="AS94">
        <v>5.0398888780699522E-2</v>
      </c>
      <c r="AT94">
        <v>0.18334914368275185</v>
      </c>
    </row>
    <row r="95" spans="2:48">
      <c r="D95">
        <v>-342.04073160757088</v>
      </c>
      <c r="E95">
        <v>-780.94090841388368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Z95">
        <v>0</v>
      </c>
      <c r="AA95">
        <v>-113.54111087960455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K95">
        <v>-0.26751532328833394</v>
      </c>
      <c r="AL95">
        <v>-111.70559582563891</v>
      </c>
      <c r="AM95">
        <v>-16.578481632883697</v>
      </c>
      <c r="AN95">
        <v>-5.6601967300343805</v>
      </c>
      <c r="AO95">
        <v>-1.0533824642296716</v>
      </c>
      <c r="AP95">
        <v>-5.3392408291308362E-2</v>
      </c>
      <c r="AQ95">
        <v>2.8935449941368426E-2</v>
      </c>
      <c r="AR95">
        <v>2.0266671105341198E-3</v>
      </c>
      <c r="AS95">
        <v>6.900523816716736E-2</v>
      </c>
      <c r="AT95">
        <v>0.18486570400345448</v>
      </c>
    </row>
    <row r="96" spans="2:48">
      <c r="D96">
        <v>-334.08629598879014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K96">
        <v>1.3253682810240743</v>
      </c>
      <c r="AL96">
        <v>-111.36476107571006</v>
      </c>
      <c r="AM96">
        <v>-13.837667348476046</v>
      </c>
      <c r="AN96">
        <v>-5.6060542045704116</v>
      </c>
      <c r="AO96">
        <v>-1.0332278932848142</v>
      </c>
      <c r="AP96">
        <v>-4.72604995840573E-2</v>
      </c>
      <c r="AQ96">
        <v>2.9991851651772546E-2</v>
      </c>
      <c r="AR96">
        <v>6.6318215893920607E-3</v>
      </c>
      <c r="AS96">
        <v>6.9992867826243407E-2</v>
      </c>
      <c r="AT96">
        <v>0.18751157346306685</v>
      </c>
    </row>
    <row r="97" spans="2:46">
      <c r="AK97">
        <v>1.927150723791849</v>
      </c>
      <c r="AL97">
        <v>-111.07542728874586</v>
      </c>
      <c r="AM97">
        <v>-13.722563743234668</v>
      </c>
      <c r="AN97">
        <v>-4.7016281534534254</v>
      </c>
      <c r="AO97">
        <v>-1.2896268641480413</v>
      </c>
      <c r="AP97">
        <v>3.824921272509671E-2</v>
      </c>
      <c r="AQ97">
        <v>7.5763488871957593E-2</v>
      </c>
      <c r="AR97">
        <v>6.7112596172715731E-3</v>
      </c>
      <c r="AS97">
        <v>7.0831264232238692E-2</v>
      </c>
      <c r="AT97">
        <v>0.18975764558664698</v>
      </c>
    </row>
    <row r="98" spans="2:46">
      <c r="D98" cm="1">
        <f t="array" ref="D98:M107">((B2:K11)/(_xlfn.ANCHORARRAY(P1)))-B33*_xlfn.ANCHORARRAY(L2)</f>
        <v>18.454021474716342</v>
      </c>
      <c r="E98">
        <v>12.47660678558313</v>
      </c>
      <c r="F98">
        <v>-1.2666566182039531</v>
      </c>
      <c r="G98">
        <v>5.3685482302829541</v>
      </c>
      <c r="H98">
        <v>16.094125620410821</v>
      </c>
      <c r="I98">
        <v>-12.952485322571619</v>
      </c>
      <c r="J98">
        <v>-38.77293151984636</v>
      </c>
      <c r="K98">
        <v>-52.973071067658751</v>
      </c>
      <c r="L98">
        <v>-73.276679691149027</v>
      </c>
      <c r="M98">
        <v>-69.96073928939623</v>
      </c>
      <c r="O98" cm="1">
        <f t="array" ref="O98:X98">((B1:K1)^B34/((B1:K1)^B34+B35^B34))*(B35^B34)/(((B1:K1)^B34+B35^B34))*LN((B1:K1)/B35)^2*(1-2*(B1:K1)^B34/((B1:K1)^B34+B35^B34))</f>
        <v>0.38130059491120888</v>
      </c>
      <c r="P98">
        <v>0.14836600197572761</v>
      </c>
      <c r="Q98">
        <v>5.5699287474032147E-2</v>
      </c>
      <c r="R98">
        <v>1.869699491999691E-2</v>
      </c>
      <c r="S98">
        <v>4.9228806907120381E-3</v>
      </c>
      <c r="T98">
        <v>7.3218810746090925E-4</v>
      </c>
      <c r="U98">
        <v>1.0217996019211961E-5</v>
      </c>
      <c r="V98">
        <v>-5.3735353093108632E-5</v>
      </c>
      <c r="W98">
        <v>-7.2870500526594367E-4</v>
      </c>
      <c r="X98">
        <v>-2.5369552663202931E-3</v>
      </c>
      <c r="Z98" cm="1">
        <f t="array" ref="Z98:AI107">_xlfn.ANCHORARRAY(D98)*_xlfn.ANCHORARRAY(O103)</f>
        <v>7.0365293668135651</v>
      </c>
      <c r="AA98">
        <v>-2.9062333228158699</v>
      </c>
      <c r="AB98">
        <v>0.11737690721078879</v>
      </c>
      <c r="AC98">
        <v>-0.19864859220737802</v>
      </c>
      <c r="AD98">
        <v>-0.22168232471599894</v>
      </c>
      <c r="AE98">
        <v>5.4279884175969989E-2</v>
      </c>
      <c r="AF98">
        <v>2.7992897690304774E-2</v>
      </c>
      <c r="AG98">
        <v>3.3878053075417497E-3</v>
      </c>
      <c r="AH98">
        <v>4.9459535003515104E-2</v>
      </c>
      <c r="AI98">
        <v>0.12650652508360602</v>
      </c>
      <c r="AK98">
        <v>3.5663170085835314</v>
      </c>
      <c r="AL98">
        <v>-110.76286639278231</v>
      </c>
      <c r="AM98">
        <v>-16.203442279106543</v>
      </c>
      <c r="AN98">
        <v>-3.7935124130054279</v>
      </c>
      <c r="AO98">
        <v>-0.99763607322851899</v>
      </c>
      <c r="AP98">
        <v>0.44539420051588569</v>
      </c>
      <c r="AQ98">
        <v>7.6732257065841178E-2</v>
      </c>
      <c r="AR98">
        <v>6.7970747632595833E-3</v>
      </c>
      <c r="AS98">
        <v>7.1736965341604508E-2</v>
      </c>
      <c r="AT98">
        <v>0.19218402766497572</v>
      </c>
    </row>
    <row r="99" spans="2:46">
      <c r="D99">
        <v>11.418546575296901</v>
      </c>
      <c r="E99">
        <v>17.330617201950261</v>
      </c>
      <c r="F99">
        <v>-20.613133313251012</v>
      </c>
      <c r="G99">
        <v>15.68153787407104</v>
      </c>
      <c r="H99">
        <v>29.211280280310419</v>
      </c>
      <c r="I99">
        <v>-14.347238417547686</v>
      </c>
      <c r="J99">
        <v>-40.167684614822427</v>
      </c>
      <c r="K99">
        <v>-30.853791487166973</v>
      </c>
      <c r="L99">
        <v>-74.671432786125095</v>
      </c>
      <c r="M99">
        <v>-101.39588951357051</v>
      </c>
      <c r="Z99">
        <v>4.3538986021820554</v>
      </c>
      <c r="AA99">
        <v>-4.0369002632569337</v>
      </c>
      <c r="AB99">
        <v>1.9101513397244194</v>
      </c>
      <c r="AC99">
        <v>-0.58025285211356048</v>
      </c>
      <c r="AD99">
        <v>-0.40235951136465237</v>
      </c>
      <c r="AE99">
        <v>6.0124865626552754E-2</v>
      </c>
      <c r="AF99">
        <v>2.8999867737718298E-2</v>
      </c>
      <c r="AG99">
        <v>1.9732032984175348E-3</v>
      </c>
      <c r="AH99">
        <v>5.0400951014898082E-2</v>
      </c>
      <c r="AI99">
        <v>0.18334914368275185</v>
      </c>
      <c r="AK99">
        <v>5.8401545200431864</v>
      </c>
      <c r="AL99">
        <v>-111.49498253794357</v>
      </c>
      <c r="AM99">
        <v>-13.889472427793429</v>
      </c>
      <c r="AN99">
        <v>-3.9098110505130497</v>
      </c>
      <c r="AO99">
        <v>1.4206449572568012</v>
      </c>
      <c r="AP99">
        <v>0.43222280479942615</v>
      </c>
      <c r="AQ99">
        <v>7.4463096576412563E-2</v>
      </c>
      <c r="AR99">
        <v>6.596068640329477E-3</v>
      </c>
      <c r="AS99">
        <v>6.9615527844399117E-2</v>
      </c>
      <c r="AT99">
        <v>0.18650067598274359</v>
      </c>
    </row>
    <row r="100" spans="2:46">
      <c r="D100">
        <v>-0.70158643038736557</v>
      </c>
      <c r="E100">
        <v>16.491927805152741</v>
      </c>
      <c r="F100">
        <v>-12.475960910013029</v>
      </c>
      <c r="G100">
        <v>26.550591216037688</v>
      </c>
      <c r="H100">
        <v>28.372590883512899</v>
      </c>
      <c r="I100">
        <v>2.2238024048593559</v>
      </c>
      <c r="J100">
        <v>-41.006374011619947</v>
      </c>
      <c r="K100">
        <v>-31.692480883964492</v>
      </c>
      <c r="L100">
        <v>-102.23457891036803</v>
      </c>
      <c r="M100">
        <v>-102.23457891036803</v>
      </c>
      <c r="O100" t="e" cm="1">
        <f t="array" ref="O100:X100">((A1:J1)^B34/((A1:J1)^B34+B35^B34))*(B35^B34)/(((A1:J1)^B34+B35^B34))*LN((A1:J1)/B35)^2*(1-2*(A1:J1)^B34/((A1:J1)^B34+B35^B34))</f>
        <v>#NUM!</v>
      </c>
      <c r="P100">
        <v>0.38130059491120888</v>
      </c>
      <c r="Q100">
        <v>0.14836600197572761</v>
      </c>
      <c r="R100">
        <v>5.5699287474032147E-2</v>
      </c>
      <c r="S100">
        <v>1.869699491999691E-2</v>
      </c>
      <c r="T100">
        <v>4.9228806907120381E-3</v>
      </c>
      <c r="U100">
        <v>7.3218810746090925E-4</v>
      </c>
      <c r="V100">
        <v>1.0217996019211961E-5</v>
      </c>
      <c r="W100">
        <v>-5.3735353093108632E-5</v>
      </c>
      <c r="X100">
        <v>-7.2870500526594367E-4</v>
      </c>
      <c r="Z100">
        <v>-0.26751532328833394</v>
      </c>
      <c r="AA100">
        <v>-3.8415404900145989</v>
      </c>
      <c r="AB100">
        <v>1.15610630778249</v>
      </c>
      <c r="AC100">
        <v>-0.98243274365842481</v>
      </c>
      <c r="AD100">
        <v>-0.39080730781027329</v>
      </c>
      <c r="AE100">
        <v>-9.3192722446601272E-3</v>
      </c>
      <c r="AF100">
        <v>2.9605376414989174E-2</v>
      </c>
      <c r="AG100">
        <v>2.0268402942077283E-3</v>
      </c>
      <c r="AH100">
        <v>6.900523816716736E-2</v>
      </c>
      <c r="AI100">
        <v>0.18486570400345448</v>
      </c>
      <c r="AK100">
        <v>6.091476204189572</v>
      </c>
      <c r="AL100">
        <v>-110.99155405708478</v>
      </c>
      <c r="AM100">
        <v>-16.294419468157404</v>
      </c>
      <c r="AN100">
        <v>3.8963412716878993</v>
      </c>
      <c r="AO100">
        <v>1.4504141783683466</v>
      </c>
      <c r="AP100">
        <v>0.44127991381163978</v>
      </c>
      <c r="AQ100">
        <v>7.6023450115353039E-2</v>
      </c>
      <c r="AR100">
        <v>6.73428742949131E-3</v>
      </c>
      <c r="AS100">
        <v>7.1074301924869285E-2</v>
      </c>
      <c r="AT100">
        <v>0.19040874592831505</v>
      </c>
    </row>
    <row r="101" spans="2:46">
      <c r="D101">
        <v>3.4759145375388272</v>
      </c>
      <c r="E101">
        <v>15.028706968635561</v>
      </c>
      <c r="F101">
        <v>-22.915043546565713</v>
      </c>
      <c r="G101">
        <v>25.087370379520507</v>
      </c>
      <c r="H101">
        <v>26.909370046995718</v>
      </c>
      <c r="I101">
        <v>0.76058156834217527</v>
      </c>
      <c r="J101">
        <v>-42.469594848137127</v>
      </c>
      <c r="K101">
        <v>-103.69779974688521</v>
      </c>
      <c r="L101">
        <v>-103.69779974688521</v>
      </c>
      <c r="M101">
        <v>-103.69779974688521</v>
      </c>
      <c r="O101" cm="1">
        <f t="array" ref="O101:X101">IFERROR(_xlfn.ANCHORARRAY(O100),0)</f>
        <v>0</v>
      </c>
      <c r="P101">
        <v>0.38130059491120888</v>
      </c>
      <c r="Q101">
        <v>0.14836600197572761</v>
      </c>
      <c r="R101">
        <v>5.5699287474032147E-2</v>
      </c>
      <c r="S101">
        <v>1.869699491999691E-2</v>
      </c>
      <c r="T101">
        <v>4.9228806907120381E-3</v>
      </c>
      <c r="U101">
        <v>7.3218810746090925E-4</v>
      </c>
      <c r="V101">
        <v>1.0217996019211961E-5</v>
      </c>
      <c r="W101">
        <v>-5.3735353093108632E-5</v>
      </c>
      <c r="X101">
        <v>-7.2870500526594367E-4</v>
      </c>
      <c r="Z101">
        <v>1.3253682810240743</v>
      </c>
      <c r="AA101">
        <v>-3.5007057400857549</v>
      </c>
      <c r="AB101">
        <v>2.123461798123524</v>
      </c>
      <c r="AC101">
        <v>-0.9282902181944559</v>
      </c>
      <c r="AD101">
        <v>-0.37065273686541589</v>
      </c>
      <c r="AE101">
        <v>-3.1873635374090655E-3</v>
      </c>
      <c r="AF101">
        <v>3.0661778125393294E-2</v>
      </c>
      <c r="AG101">
        <v>6.6318215893920607E-3</v>
      </c>
      <c r="AH101">
        <v>6.9992867826243407E-2</v>
      </c>
      <c r="AI101">
        <v>0.18751157346306685</v>
      </c>
      <c r="AK101">
        <v>3.9399350127892001</v>
      </c>
      <c r="AL101">
        <v>-116.80979722161838</v>
      </c>
      <c r="AM101">
        <v>10.280689416922888</v>
      </c>
      <c r="AN101">
        <v>4.1051318103567223</v>
      </c>
      <c r="AO101">
        <v>1.5281365174752695</v>
      </c>
      <c r="AP101">
        <v>0.46492647464499082</v>
      </c>
      <c r="AQ101">
        <v>8.0097266035017281E-2</v>
      </c>
      <c r="AR101">
        <v>7.0951530215715109E-3</v>
      </c>
      <c r="AS101">
        <v>7.4882911271343569E-2</v>
      </c>
      <c r="AT101">
        <v>0.2006120473994939</v>
      </c>
    </row>
    <row r="102" spans="2:46">
      <c r="D102">
        <v>5.0541508445341208</v>
      </c>
      <c r="E102">
        <v>13.786582373409175</v>
      </c>
      <c r="F102">
        <v>-24.157168141792098</v>
      </c>
      <c r="G102">
        <v>12.137503045529954</v>
      </c>
      <c r="H102">
        <v>40.179153206644969</v>
      </c>
      <c r="I102">
        <v>-17.891273246088772</v>
      </c>
      <c r="J102">
        <v>-104.9399243421116</v>
      </c>
      <c r="K102">
        <v>-104.9399243421116</v>
      </c>
      <c r="L102">
        <v>-104.9399243421116</v>
      </c>
      <c r="M102">
        <v>-104.9399243421116</v>
      </c>
      <c r="Z102">
        <v>1.927150723791849</v>
      </c>
      <c r="AA102">
        <v>-3.2113719531215472</v>
      </c>
      <c r="AB102">
        <v>2.2385654033649014</v>
      </c>
      <c r="AC102">
        <v>-0.44911543856619307</v>
      </c>
      <c r="AD102">
        <v>-0.55343224590426543</v>
      </c>
      <c r="AE102">
        <v>7.4976826097303564E-2</v>
      </c>
      <c r="AF102">
        <v>7.5763488871957593E-2</v>
      </c>
      <c r="AG102">
        <v>6.7112596172715731E-3</v>
      </c>
      <c r="AH102">
        <v>7.0831264232238692E-2</v>
      </c>
      <c r="AI102">
        <v>0.18975764558664698</v>
      </c>
      <c r="AK102">
        <v>3.7526847537754864</v>
      </c>
      <c r="AL102">
        <v>25.299807966879239</v>
      </c>
      <c r="AM102">
        <v>10.064842891171127</v>
      </c>
      <c r="AN102">
        <v>4.0189431898192733</v>
      </c>
      <c r="AO102">
        <v>1.4960527782633364</v>
      </c>
      <c r="AP102">
        <v>0.45516518722423221</v>
      </c>
      <c r="AQ102">
        <v>7.8415597044276794E-2</v>
      </c>
      <c r="AR102">
        <v>6.9461879018916572E-3</v>
      </c>
      <c r="AS102">
        <v>7.3310719409434885E-2</v>
      </c>
      <c r="AT102">
        <v>0.19640013011466176</v>
      </c>
    </row>
    <row r="103" spans="2:46">
      <c r="D103">
        <v>9.3530328989232174</v>
      </c>
      <c r="E103">
        <v>12.444742623354898</v>
      </c>
      <c r="F103">
        <v>-16.523146091810872</v>
      </c>
      <c r="G103">
        <v>-0.91207944328847645</v>
      </c>
      <c r="H103">
        <v>24.325405701715056</v>
      </c>
      <c r="I103">
        <v>-106.28176409216587</v>
      </c>
      <c r="J103">
        <v>-106.28176409216587</v>
      </c>
      <c r="K103">
        <v>-106.28176409216587</v>
      </c>
      <c r="L103">
        <v>-106.28176409216587</v>
      </c>
      <c r="M103">
        <v>-106.28176409216587</v>
      </c>
      <c r="O103" cm="1">
        <f t="array" ref="O103:X103">_xlfn.ANCHORARRAY(O98)-_xlfn.ANCHORARRAY(O101)</f>
        <v>0.38130059491120888</v>
      </c>
      <c r="P103">
        <v>-0.23293459293548127</v>
      </c>
      <c r="Q103">
        <v>-9.266671450169546E-2</v>
      </c>
      <c r="R103">
        <v>-3.700229255403524E-2</v>
      </c>
      <c r="S103">
        <v>-1.3774114229284873E-2</v>
      </c>
      <c r="T103">
        <v>-4.190692583251129E-3</v>
      </c>
      <c r="U103">
        <v>-7.2197011144169729E-4</v>
      </c>
      <c r="V103">
        <v>-6.3953349112320598E-5</v>
      </c>
      <c r="W103">
        <v>-6.7496965217283503E-4</v>
      </c>
      <c r="X103">
        <v>-1.8082502610543495E-3</v>
      </c>
      <c r="Z103">
        <v>3.5663170085835314</v>
      </c>
      <c r="AA103">
        <v>-2.8988110571580066</v>
      </c>
      <c r="AB103">
        <v>1.5311456615596433</v>
      </c>
      <c r="AC103">
        <v>3.3749030393081803E-2</v>
      </c>
      <c r="AD103">
        <v>-0.3350609168091207</v>
      </c>
      <c r="AE103">
        <v>0.44539420051588569</v>
      </c>
      <c r="AF103">
        <v>7.6732257065841178E-2</v>
      </c>
      <c r="AG103">
        <v>6.7970747632595833E-3</v>
      </c>
      <c r="AH103">
        <v>7.1736965341604508E-2</v>
      </c>
      <c r="AI103">
        <v>0.19218402766497572</v>
      </c>
    </row>
    <row r="104" spans="2:46">
      <c r="D104">
        <v>15.316405476375266</v>
      </c>
      <c r="E104">
        <v>15.587754298585253</v>
      </c>
      <c r="F104">
        <v>-22.35599621661602</v>
      </c>
      <c r="G104">
        <v>2.2309322319418783</v>
      </c>
      <c r="H104">
        <v>-103.13875241693552</v>
      </c>
      <c r="I104">
        <v>-103.13875241693552</v>
      </c>
      <c r="J104">
        <v>-103.13875241693552</v>
      </c>
      <c r="K104">
        <v>-103.13875241693552</v>
      </c>
      <c r="L104">
        <v>-103.13875241693552</v>
      </c>
      <c r="M104">
        <v>-103.13875241693552</v>
      </c>
      <c r="Z104">
        <v>5.8401545200431864</v>
      </c>
      <c r="AA104">
        <v>-3.6309272023192545</v>
      </c>
      <c r="AB104">
        <v>2.0716567188061408</v>
      </c>
      <c r="AC104">
        <v>-8.254960711454018E-2</v>
      </c>
      <c r="AD104">
        <v>1.4206449572568012</v>
      </c>
      <c r="AE104">
        <v>0.43222280479942615</v>
      </c>
      <c r="AF104">
        <v>7.4463096576412563E-2</v>
      </c>
      <c r="AG104">
        <v>6.596068640329477E-3</v>
      </c>
      <c r="AH104">
        <v>6.9615527844399117E-2</v>
      </c>
      <c r="AI104">
        <v>0.18650067598274359</v>
      </c>
    </row>
    <row r="105" spans="2:46">
      <c r="D105">
        <v>15.975522423740401</v>
      </c>
      <c r="E105">
        <v>13.426510343728708</v>
      </c>
      <c r="F105">
        <v>-15.541378371437062</v>
      </c>
      <c r="G105">
        <v>-105.29999637179206</v>
      </c>
      <c r="H105">
        <v>-105.29999637179206</v>
      </c>
      <c r="I105">
        <v>-105.29999637179206</v>
      </c>
      <c r="J105">
        <v>-105.29999637179206</v>
      </c>
      <c r="K105">
        <v>-105.29999637179206</v>
      </c>
      <c r="L105">
        <v>-105.29999637179206</v>
      </c>
      <c r="M105">
        <v>-105.29999637179206</v>
      </c>
      <c r="Z105">
        <v>6.091476204189572</v>
      </c>
      <c r="AA105">
        <v>-3.1274987214604755</v>
      </c>
      <c r="AB105">
        <v>1.4401684725087831</v>
      </c>
      <c r="AC105">
        <v>3.8963412716878993</v>
      </c>
      <c r="AD105">
        <v>1.4504141783683466</v>
      </c>
      <c r="AE105">
        <v>0.44127991381163978</v>
      </c>
      <c r="AF105">
        <v>7.6023450115353039E-2</v>
      </c>
      <c r="AG105">
        <v>6.73428742949131E-3</v>
      </c>
      <c r="AH105">
        <v>7.1074301924869285E-2</v>
      </c>
      <c r="AI105">
        <v>0.19040874592831505</v>
      </c>
    </row>
    <row r="106" spans="2:46">
      <c r="D106">
        <v>10.332884515185896</v>
      </c>
      <c r="E106">
        <v>14.032635946517402</v>
      </c>
      <c r="F106">
        <v>-110.94263428034657</v>
      </c>
      <c r="G106">
        <v>-110.94263428034657</v>
      </c>
      <c r="H106">
        <v>-110.94263428034657</v>
      </c>
      <c r="I106">
        <v>-110.94263428034657</v>
      </c>
      <c r="J106">
        <v>-110.94263428034657</v>
      </c>
      <c r="K106">
        <v>-110.94263428034657</v>
      </c>
      <c r="L106">
        <v>-110.94263428034657</v>
      </c>
      <c r="M106">
        <v>-110.94263428034657</v>
      </c>
      <c r="Z106">
        <v>3.9399350127892001</v>
      </c>
      <c r="AA106">
        <v>-3.268686342013833</v>
      </c>
      <c r="AB106">
        <v>10.280689416922888</v>
      </c>
      <c r="AC106">
        <v>4.1051318103567223</v>
      </c>
      <c r="AD106">
        <v>1.5281365174752695</v>
      </c>
      <c r="AE106">
        <v>0.46492647464499082</v>
      </c>
      <c r="AF106">
        <v>8.0097266035017281E-2</v>
      </c>
      <c r="AG106">
        <v>7.0951530215715109E-3</v>
      </c>
      <c r="AH106">
        <v>7.4882911271343569E-2</v>
      </c>
      <c r="AI106">
        <v>0.2006120473994939</v>
      </c>
    </row>
    <row r="107" spans="2:46">
      <c r="D107">
        <v>9.8418014654536563</v>
      </c>
      <c r="E107">
        <v>-108.61335642785713</v>
      </c>
      <c r="F107">
        <v>-108.61335642785713</v>
      </c>
      <c r="G107">
        <v>-108.61335642785713</v>
      </c>
      <c r="H107">
        <v>-108.61335642785713</v>
      </c>
      <c r="I107">
        <v>-108.61335642785713</v>
      </c>
      <c r="J107">
        <v>-108.61335642785713</v>
      </c>
      <c r="K107">
        <v>-108.61335642785713</v>
      </c>
      <c r="L107">
        <v>-108.61335642785713</v>
      </c>
      <c r="M107">
        <v>-108.61335642785713</v>
      </c>
      <c r="Z107">
        <v>3.7526847537754864</v>
      </c>
      <c r="AA107">
        <v>25.299807966879239</v>
      </c>
      <c r="AB107">
        <v>10.064842891171127</v>
      </c>
      <c r="AC107">
        <v>4.0189431898192733</v>
      </c>
      <c r="AD107">
        <v>1.4960527782633364</v>
      </c>
      <c r="AE107">
        <v>0.45516518722423221</v>
      </c>
      <c r="AF107">
        <v>7.8415597044276794E-2</v>
      </c>
      <c r="AG107">
        <v>6.9461879018916572E-3</v>
      </c>
      <c r="AH107">
        <v>7.3310719409434885E-2</v>
      </c>
      <c r="AI107">
        <v>0.19640013011466176</v>
      </c>
    </row>
    <row r="109" spans="2:46">
      <c r="D109" cm="1">
        <f t="array" ref="D109">SUM(_xlfn.ANCHORARRAY(Z87)+_xlfn.ANCHORARRAY(Z98))</f>
        <v>-1057.4627554576064</v>
      </c>
    </row>
    <row r="110" spans="2:46">
      <c r="O110" t="s">
        <v>98</v>
      </c>
    </row>
    <row r="111" spans="2:46">
      <c r="B111" t="s">
        <v>91</v>
      </c>
      <c r="D111" cm="1">
        <f t="array" ref="D111:M120">-(B2:K11)/((_xlfn.ANCHORARRAY(P1))^2)</f>
        <v>-334.08629598879014</v>
      </c>
      <c r="E111">
        <v>-702.8468175724953</v>
      </c>
      <c r="F111">
        <v>-886.22704558670171</v>
      </c>
      <c r="G111">
        <v>-1233.6411603337633</v>
      </c>
      <c r="H111">
        <v>-1684.763733488162</v>
      </c>
      <c r="I111">
        <v>-1515.4935315274231</v>
      </c>
      <c r="J111">
        <v>-1249.6310250410263</v>
      </c>
      <c r="K111">
        <v>-1105.8194653259388</v>
      </c>
      <c r="L111">
        <v>-714.19658737710256</v>
      </c>
      <c r="M111">
        <v>-902.42545967994022</v>
      </c>
      <c r="O111" t="e" cm="1">
        <f t="array" ref="O111:X111">((B1:K1)^B34/((B1:K1)^B34+B35^B34))*(B35^B34)/(((B1:K1)^B34+B35^B34))*LN((B1:K1)/B35)-((A1:J1)^B34/((A1:J1)^B34+B35^B34))*(B35^B34)/(((A1:J1)^B34+B35^B34))*LN((A1:J1)/B35)</f>
        <v>#NUM!</v>
      </c>
      <c r="P111">
        <v>4.9602855557728531E-2</v>
      </c>
      <c r="Q111">
        <v>6.2297521967554947E-2</v>
      </c>
      <c r="R111">
        <v>5.7723088470995665E-2</v>
      </c>
      <c r="S111">
        <v>5.07395010951745E-2</v>
      </c>
      <c r="T111">
        <v>4.4080223116948015E-2</v>
      </c>
      <c r="U111">
        <v>3.8281891166863591E-2</v>
      </c>
      <c r="V111">
        <v>3.3360257134342208E-2</v>
      </c>
      <c r="W111">
        <v>2.9206591461629242E-2</v>
      </c>
      <c r="X111">
        <v>2.5695523213082348E-2</v>
      </c>
      <c r="Z111" cm="1">
        <f t="array" ref="Z111:AI111">((B1:K1)^B34/((B1:K1)^B34+B35^B34))*(B35^B34)/(((B1:K1)^B34+B35^B34))*(-B34/B35)-((A1:J1)^B34/((A1:J1)^B34+B35^B34))*(A1:J1)/(((A1:J1)^B34+B35^B34))*(-B34/B35)</f>
        <v>-1.5167676747547569E-2</v>
      </c>
      <c r="AA111">
        <v>-1.5875161793606807E-2</v>
      </c>
      <c r="AB111">
        <v>-1.2188857805246929E-2</v>
      </c>
      <c r="AC111">
        <v>-6.9763257977219009E-3</v>
      </c>
      <c r="AD111">
        <v>-1.1384969065414176E-3</v>
      </c>
      <c r="AE111">
        <v>4.9333091636804584E-3</v>
      </c>
      <c r="AF111">
        <v>1.1047006536756793E-2</v>
      </c>
      <c r="AG111">
        <v>1.7102510994615017E-2</v>
      </c>
      <c r="AH111">
        <v>2.304661034616675E-2</v>
      </c>
      <c r="AI111">
        <v>2.8851548868363389E-2</v>
      </c>
      <c r="AK111" cm="1">
        <f t="array" ref="AK111:AT120">_xlfn.ANCHORARRAY(D111)*_xlfn.ANCHORARRAY(O112)*_xlfn.ANCHORARRAY(Z111)</f>
        <v>0</v>
      </c>
      <c r="AL111">
        <v>0.55345908623807205</v>
      </c>
      <c r="AM111">
        <v>0.67294377808243122</v>
      </c>
      <c r="AN111">
        <v>0.49678121492594485</v>
      </c>
      <c r="AO111">
        <v>9.7323350734108804E-2</v>
      </c>
      <c r="AP111">
        <v>-0.32956129753089736</v>
      </c>
      <c r="AQ111">
        <v>-0.52846933782812722</v>
      </c>
      <c r="AR111">
        <v>-0.63091884284737676</v>
      </c>
      <c r="AS111">
        <v>-0.48073495963646046</v>
      </c>
      <c r="AT111">
        <v>-0.66901820753461305</v>
      </c>
    </row>
    <row r="112" spans="2:46">
      <c r="D112">
        <v>-318.17742475122873</v>
      </c>
      <c r="E112">
        <v>-741.89386299318949</v>
      </c>
      <c r="F112">
        <v>-725.09485548002863</v>
      </c>
      <c r="G112">
        <v>-1370.7124003708479</v>
      </c>
      <c r="H112">
        <v>-1895.3592001741822</v>
      </c>
      <c r="I112">
        <v>-1515.4935315274231</v>
      </c>
      <c r="J112">
        <v>-1249.6310250410263</v>
      </c>
      <c r="K112">
        <v>-1658.7291979889083</v>
      </c>
      <c r="L112">
        <v>-714.19658737710256</v>
      </c>
      <c r="M112">
        <v>0</v>
      </c>
      <c r="O112" cm="1">
        <f t="array" ref="O112:X112">IFERROR(_xlfn.ANCHORARRAY(O111),0)</f>
        <v>0</v>
      </c>
      <c r="P112">
        <v>4.9602855557728531E-2</v>
      </c>
      <c r="Q112">
        <v>6.2297521967554947E-2</v>
      </c>
      <c r="R112">
        <v>5.7723088470995665E-2</v>
      </c>
      <c r="S112">
        <v>5.07395010951745E-2</v>
      </c>
      <c r="T112">
        <v>4.4080223116948015E-2</v>
      </c>
      <c r="U112">
        <v>3.8281891166863591E-2</v>
      </c>
      <c r="V112">
        <v>3.3360257134342208E-2</v>
      </c>
      <c r="W112">
        <v>2.9206591461629242E-2</v>
      </c>
      <c r="X112">
        <v>2.5695523213082348E-2</v>
      </c>
      <c r="AK112">
        <v>0</v>
      </c>
      <c r="AL112">
        <v>0.58420681325129831</v>
      </c>
      <c r="AM112">
        <v>0.55059036388562554</v>
      </c>
      <c r="AN112">
        <v>0.55197912769549418</v>
      </c>
      <c r="AO112">
        <v>0.1094887695758724</v>
      </c>
      <c r="AP112">
        <v>-0.32956129753089736</v>
      </c>
      <c r="AQ112">
        <v>-0.52846933782812722</v>
      </c>
      <c r="AR112">
        <v>-0.94637826427106519</v>
      </c>
      <c r="AS112">
        <v>-0.48073495963646046</v>
      </c>
      <c r="AT112">
        <v>0</v>
      </c>
    </row>
    <row r="113" spans="4:57">
      <c r="D113">
        <v>-286.35968227610584</v>
      </c>
      <c r="E113">
        <v>-741.89386299318949</v>
      </c>
      <c r="F113">
        <v>-805.66095053336517</v>
      </c>
      <c r="G113">
        <v>-1507.7836404079328</v>
      </c>
      <c r="H113">
        <v>-1895.3592001741822</v>
      </c>
      <c r="I113">
        <v>-1818.5922378329078</v>
      </c>
      <c r="J113">
        <v>-1249.6310250410263</v>
      </c>
      <c r="K113">
        <v>-1658.7291979889083</v>
      </c>
      <c r="L113">
        <v>0</v>
      </c>
      <c r="M113">
        <v>0</v>
      </c>
      <c r="AK113">
        <v>0</v>
      </c>
      <c r="AL113">
        <v>0.58420681325129831</v>
      </c>
      <c r="AM113">
        <v>0.61176707098402838</v>
      </c>
      <c r="AN113">
        <v>0.60717704046504362</v>
      </c>
      <c r="AO113">
        <v>0.1094887695758724</v>
      </c>
      <c r="AP113">
        <v>-0.39547355703707687</v>
      </c>
      <c r="AQ113">
        <v>-0.52846933782812722</v>
      </c>
      <c r="AR113">
        <v>-0.94637826427106519</v>
      </c>
      <c r="AS113">
        <v>0</v>
      </c>
      <c r="AT113">
        <v>0</v>
      </c>
    </row>
    <row r="114" spans="4:57">
      <c r="D114">
        <v>-302.26855351366726</v>
      </c>
      <c r="E114">
        <v>-741.89386299318949</v>
      </c>
      <c r="F114">
        <v>-725.09485548002863</v>
      </c>
      <c r="G114">
        <v>-1507.7836404079328</v>
      </c>
      <c r="H114">
        <v>-1895.3592001741822</v>
      </c>
      <c r="I114">
        <v>-1818.5922378329078</v>
      </c>
      <c r="J114">
        <v>-1249.6310250410263</v>
      </c>
      <c r="K114">
        <v>0</v>
      </c>
      <c r="L114">
        <v>0</v>
      </c>
      <c r="M114">
        <v>0</v>
      </c>
      <c r="AK114">
        <v>0</v>
      </c>
      <c r="AL114">
        <v>0.58420681325129831</v>
      </c>
      <c r="AM114">
        <v>0.55059036388562554</v>
      </c>
      <c r="AN114">
        <v>0.60717704046504362</v>
      </c>
      <c r="AO114">
        <v>0.1094887695758724</v>
      </c>
      <c r="AP114">
        <v>-0.39547355703707687</v>
      </c>
      <c r="AQ114">
        <v>-0.52846933782812722</v>
      </c>
      <c r="AR114">
        <v>0</v>
      </c>
      <c r="AS114">
        <v>0</v>
      </c>
      <c r="AT114">
        <v>0</v>
      </c>
    </row>
    <row r="115" spans="4:57">
      <c r="D115">
        <v>-310.22298913244799</v>
      </c>
      <c r="E115">
        <v>-741.89386299318949</v>
      </c>
      <c r="F115">
        <v>-725.09485548002863</v>
      </c>
      <c r="G115">
        <v>-1370.7124003708479</v>
      </c>
      <c r="H115">
        <v>-2105.9546668602025</v>
      </c>
      <c r="I115">
        <v>-1515.4935315274231</v>
      </c>
      <c r="J115">
        <v>0</v>
      </c>
      <c r="K115">
        <v>0</v>
      </c>
      <c r="L115">
        <v>0</v>
      </c>
      <c r="M115">
        <v>0</v>
      </c>
      <c r="AK115">
        <v>0</v>
      </c>
      <c r="AL115">
        <v>0.58420681325129831</v>
      </c>
      <c r="AM115">
        <v>0.55059036388562554</v>
      </c>
      <c r="AN115">
        <v>0.55197912769549418</v>
      </c>
      <c r="AO115">
        <v>0.12165418841763599</v>
      </c>
      <c r="AP115">
        <v>-0.32956129753089736</v>
      </c>
      <c r="AQ115">
        <v>0</v>
      </c>
      <c r="AR115">
        <v>0</v>
      </c>
      <c r="AS115">
        <v>0</v>
      </c>
      <c r="AT115">
        <v>0</v>
      </c>
    </row>
    <row r="116" spans="4:57">
      <c r="D116">
        <v>-326.13186037000946</v>
      </c>
      <c r="E116">
        <v>-741.89386299318949</v>
      </c>
      <c r="F116">
        <v>-805.66095053336517</v>
      </c>
      <c r="G116">
        <v>-1233.6411603337633</v>
      </c>
      <c r="H116">
        <v>-1895.3592001741822</v>
      </c>
      <c r="I116">
        <v>0</v>
      </c>
      <c r="J116">
        <v>0</v>
      </c>
      <c r="K116">
        <v>0</v>
      </c>
      <c r="L116">
        <v>0</v>
      </c>
      <c r="M116">
        <v>0</v>
      </c>
      <c r="AK116">
        <v>0</v>
      </c>
      <c r="AL116">
        <v>0.58420681325129831</v>
      </c>
      <c r="AM116">
        <v>0.61176707098402838</v>
      </c>
      <c r="AN116">
        <v>0.49678121492594485</v>
      </c>
      <c r="AO116">
        <v>0.1094887695758724</v>
      </c>
      <c r="AP116">
        <v>0</v>
      </c>
      <c r="AQ116">
        <v>0</v>
      </c>
      <c r="AR116">
        <v>0</v>
      </c>
      <c r="AS116">
        <v>0</v>
      </c>
      <c r="AT116">
        <v>0</v>
      </c>
    </row>
    <row r="117" spans="4:57">
      <c r="D117">
        <v>-334.08629598879014</v>
      </c>
      <c r="E117">
        <v>-741.89386299318949</v>
      </c>
      <c r="F117">
        <v>-725.09485548002863</v>
      </c>
      <c r="G117">
        <v>-1233.6411603337633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AK117">
        <v>0</v>
      </c>
      <c r="AL117">
        <v>0.58420681325129831</v>
      </c>
      <c r="AM117">
        <v>0.55059036388562554</v>
      </c>
      <c r="AN117">
        <v>0.49678121492594485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</row>
    <row r="118" spans="4:57">
      <c r="D118">
        <v>-342.04073160757088</v>
      </c>
      <c r="E118">
        <v>-741.89386299318949</v>
      </c>
      <c r="F118">
        <v>-805.66095053336517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AK118">
        <v>0</v>
      </c>
      <c r="AL118">
        <v>0.58420681325129831</v>
      </c>
      <c r="AM118">
        <v>0.61176707098402838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</row>
    <row r="119" spans="4:57">
      <c r="D119">
        <v>-342.04073160757088</v>
      </c>
      <c r="E119">
        <v>-780.94090841388368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AK119">
        <v>0</v>
      </c>
      <c r="AL119">
        <v>0.61495454026452456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</row>
    <row r="120" spans="4:57">
      <c r="D120">
        <v>-334.08629598879014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</row>
    <row r="122" spans="4:57">
      <c r="D122" cm="1">
        <f t="array" ref="D122:M131">((B2:K11)/(_xlfn.ANCHORARRAY(P1)))-B33*_xlfn.ANCHORARRAY(L2)</f>
        <v>18.454021474716342</v>
      </c>
      <c r="E122">
        <v>12.47660678558313</v>
      </c>
      <c r="F122">
        <v>-1.2666566182039531</v>
      </c>
      <c r="G122">
        <v>5.3685482302829541</v>
      </c>
      <c r="H122">
        <v>16.094125620410821</v>
      </c>
      <c r="I122">
        <v>-12.952485322571619</v>
      </c>
      <c r="J122">
        <v>-38.77293151984636</v>
      </c>
      <c r="K122">
        <v>-52.973071067658751</v>
      </c>
      <c r="L122">
        <v>-73.276679691149027</v>
      </c>
      <c r="M122">
        <v>-69.96073928939623</v>
      </c>
      <c r="O122" cm="1">
        <f t="array" ref="O122:X122">((B1:K1)^B34/((B1:K1)^B34+B35^B34))*(B35^B34)/(((B1:K1)^B34+B35^B34))*(-1/B35)</f>
        <v>-2.1480686410314878E-2</v>
      </c>
      <c r="P122">
        <v>-2.7735188229960829E-2</v>
      </c>
      <c r="Q122">
        <v>-3.0825897655276869E-2</v>
      </c>
      <c r="R122">
        <v>-3.2493023741378219E-2</v>
      </c>
      <c r="S122">
        <v>-3.3393699473033549E-2</v>
      </c>
      <c r="T122">
        <v>-3.3841240256003692E-2</v>
      </c>
      <c r="U122">
        <v>-3.4005113074102283E-2</v>
      </c>
      <c r="V122">
        <v>-3.3984722706000239E-2</v>
      </c>
      <c r="W122">
        <v>-3.3841792974007544E-2</v>
      </c>
      <c r="X122">
        <v>-3.3616298230742268E-2</v>
      </c>
      <c r="Z122" cm="1">
        <f t="array" ref="Z122:AI122">1+B34*LN((B1:K1)/B35)*(1-2*((B1:K1)^B34/((B1:K1)^B34+B35^B34)))</f>
        <v>0.14502086141941317</v>
      </c>
      <c r="AA122">
        <v>0.60512412183825603</v>
      </c>
      <c r="AB122">
        <v>0.80626438075192097</v>
      </c>
      <c r="AC122">
        <v>0.90912904106527437</v>
      </c>
      <c r="AD122">
        <v>0.96323333549198276</v>
      </c>
      <c r="AE122">
        <v>0.98975504504264367</v>
      </c>
      <c r="AF122">
        <v>0.99940774807748978</v>
      </c>
      <c r="AG122">
        <v>0.99820837360741987</v>
      </c>
      <c r="AH122">
        <v>0.98978765447876627</v>
      </c>
      <c r="AI122">
        <v>0.97645422746381483</v>
      </c>
      <c r="AK122" cm="1">
        <f t="array" ref="AK122:AT122">_xlfn.ANCHORARRAY(O122)*_xlfn.ANCHORARRAY(Z122)</f>
        <v>-3.1151476471041458E-3</v>
      </c>
      <c r="AL122">
        <v>-1.6783231421673782E-2</v>
      </c>
      <c r="AM122">
        <v>-2.4853823284153899E-2</v>
      </c>
      <c r="AN122">
        <v>-2.9540351515310374E-2</v>
      </c>
      <c r="AO122">
        <v>-3.2165924527826975E-2</v>
      </c>
      <c r="AP122">
        <v>-3.3494538273879861E-2</v>
      </c>
      <c r="AQ122">
        <v>-3.3984973480508968E-2</v>
      </c>
      <c r="AR122">
        <v>-3.3923834779855652E-2</v>
      </c>
      <c r="AS122">
        <v>-3.349618889109892E-2</v>
      </c>
      <c r="AT122">
        <v>-3.2824776519092644E-2</v>
      </c>
    </row>
    <row r="123" spans="4:57">
      <c r="D123">
        <v>11.418546575296901</v>
      </c>
      <c r="E123">
        <v>17.330617201950261</v>
      </c>
      <c r="F123">
        <v>-20.613133313251012</v>
      </c>
      <c r="G123">
        <v>15.68153787407104</v>
      </c>
      <c r="H123">
        <v>29.211280280310419</v>
      </c>
      <c r="I123">
        <v>-14.347238417547686</v>
      </c>
      <c r="J123">
        <v>-40.167684614822427</v>
      </c>
      <c r="K123">
        <v>-30.853791487166973</v>
      </c>
      <c r="L123">
        <v>-74.671432786125095</v>
      </c>
      <c r="M123">
        <v>-101.39588951357051</v>
      </c>
    </row>
    <row r="124" spans="4:57">
      <c r="D124">
        <v>-0.70158643038736557</v>
      </c>
      <c r="E124">
        <v>16.491927805152741</v>
      </c>
      <c r="F124">
        <v>-12.475960910013029</v>
      </c>
      <c r="G124">
        <v>26.550591216037688</v>
      </c>
      <c r="H124">
        <v>28.372590883512899</v>
      </c>
      <c r="I124">
        <v>2.2238024048593559</v>
      </c>
      <c r="J124">
        <v>-41.006374011619947</v>
      </c>
      <c r="K124">
        <v>-31.692480883964492</v>
      </c>
      <c r="L124">
        <v>-102.23457891036803</v>
      </c>
      <c r="M124">
        <v>-102.23457891036803</v>
      </c>
    </row>
    <row r="125" spans="4:57">
      <c r="D125">
        <v>3.4759145375388272</v>
      </c>
      <c r="E125">
        <v>15.028706968635561</v>
      </c>
      <c r="F125">
        <v>-22.915043546565713</v>
      </c>
      <c r="G125">
        <v>25.087370379520507</v>
      </c>
      <c r="H125">
        <v>26.909370046995718</v>
      </c>
      <c r="I125">
        <v>0.76058156834217527</v>
      </c>
      <c r="J125">
        <v>-42.469594848137127</v>
      </c>
      <c r="K125">
        <v>-103.69779974688521</v>
      </c>
      <c r="L125">
        <v>-103.69779974688521</v>
      </c>
      <c r="M125">
        <v>-103.69779974688521</v>
      </c>
    </row>
    <row r="126" spans="4:57">
      <c r="D126">
        <v>5.0541508445341208</v>
      </c>
      <c r="E126">
        <v>13.786582373409175</v>
      </c>
      <c r="F126">
        <v>-24.157168141792098</v>
      </c>
      <c r="G126">
        <v>12.137503045529954</v>
      </c>
      <c r="H126">
        <v>40.179153206644969</v>
      </c>
      <c r="I126">
        <v>-17.891273246088772</v>
      </c>
      <c r="J126">
        <v>-104.9399243421116</v>
      </c>
      <c r="K126">
        <v>-104.9399243421116</v>
      </c>
      <c r="L126">
        <v>-104.9399243421116</v>
      </c>
      <c r="M126">
        <v>-104.9399243421116</v>
      </c>
    </row>
    <row r="127" spans="4:57">
      <c r="D127">
        <v>9.3530328989232174</v>
      </c>
      <c r="E127">
        <v>12.444742623354898</v>
      </c>
      <c r="F127">
        <v>-16.523146091810872</v>
      </c>
      <c r="G127">
        <v>-0.91207944328847645</v>
      </c>
      <c r="H127">
        <v>24.325405701715056</v>
      </c>
      <c r="I127">
        <v>-106.28176409216587</v>
      </c>
      <c r="J127">
        <v>-106.28176409216587</v>
      </c>
      <c r="K127">
        <v>-106.28176409216587</v>
      </c>
      <c r="L127">
        <v>-106.28176409216587</v>
      </c>
      <c r="M127">
        <v>-106.28176409216587</v>
      </c>
      <c r="AV127" cm="1">
        <f t="array" ref="AV127:BE127">_xlfn.ANCHORARRAY(AK122)-_xlfn.ANCHORARRAY(AK133)</f>
        <v>-3.1151476471041458E-3</v>
      </c>
      <c r="AW127">
        <v>-1.3668083774569635E-2</v>
      </c>
      <c r="AX127">
        <v>-8.0705918624801171E-3</v>
      </c>
      <c r="AY127">
        <v>-4.6865282311564747E-3</v>
      </c>
      <c r="AZ127">
        <v>-2.6255730125166014E-3</v>
      </c>
      <c r="BA127">
        <v>-1.3286137460528855E-3</v>
      </c>
      <c r="BB127">
        <v>-4.9043520662910706E-4</v>
      </c>
      <c r="BC127">
        <v>6.1138700653315392E-5</v>
      </c>
      <c r="BD127">
        <v>4.2764588875673221E-4</v>
      </c>
      <c r="BE127">
        <v>6.7141237200627618E-4</v>
      </c>
    </row>
    <row r="128" spans="4:57">
      <c r="D128">
        <v>15.316405476375266</v>
      </c>
      <c r="E128">
        <v>15.587754298585253</v>
      </c>
      <c r="F128">
        <v>-22.35599621661602</v>
      </c>
      <c r="G128">
        <v>2.2309322319418783</v>
      </c>
      <c r="H128">
        <v>-103.13875241693552</v>
      </c>
      <c r="I128">
        <v>-103.13875241693552</v>
      </c>
      <c r="J128">
        <v>-103.13875241693552</v>
      </c>
      <c r="K128">
        <v>-103.13875241693552</v>
      </c>
      <c r="L128">
        <v>-103.13875241693552</v>
      </c>
      <c r="M128">
        <v>-103.13875241693552</v>
      </c>
    </row>
    <row r="129" spans="4:46">
      <c r="D129">
        <v>15.975522423740401</v>
      </c>
      <c r="E129">
        <v>13.426510343728708</v>
      </c>
      <c r="F129">
        <v>-15.541378371437062</v>
      </c>
      <c r="G129">
        <v>-105.29999637179206</v>
      </c>
      <c r="H129">
        <v>-105.29999637179206</v>
      </c>
      <c r="I129">
        <v>-105.29999637179206</v>
      </c>
      <c r="J129">
        <v>-105.29999637179206</v>
      </c>
      <c r="K129">
        <v>-105.29999637179206</v>
      </c>
      <c r="L129">
        <v>-105.29999637179206</v>
      </c>
      <c r="M129">
        <v>-105.29999637179206</v>
      </c>
    </row>
    <row r="130" spans="4:46">
      <c r="D130">
        <v>10.332884515185896</v>
      </c>
      <c r="E130">
        <v>14.032635946517402</v>
      </c>
      <c r="F130">
        <v>-110.94263428034657</v>
      </c>
      <c r="G130">
        <v>-110.94263428034657</v>
      </c>
      <c r="H130">
        <v>-110.94263428034657</v>
      </c>
      <c r="I130">
        <v>-110.94263428034657</v>
      </c>
      <c r="J130">
        <v>-110.94263428034657</v>
      </c>
      <c r="K130">
        <v>-110.94263428034657</v>
      </c>
      <c r="L130">
        <v>-110.94263428034657</v>
      </c>
      <c r="M130">
        <v>-110.94263428034657</v>
      </c>
    </row>
    <row r="131" spans="4:46">
      <c r="D131">
        <v>9.8418014654536563</v>
      </c>
      <c r="E131">
        <v>-108.61335642785713</v>
      </c>
      <c r="F131">
        <v>-108.61335642785713</v>
      </c>
      <c r="G131">
        <v>-108.61335642785713</v>
      </c>
      <c r="H131">
        <v>-108.61335642785713</v>
      </c>
      <c r="I131">
        <v>-108.61335642785713</v>
      </c>
      <c r="J131">
        <v>-108.61335642785713</v>
      </c>
      <c r="K131">
        <v>-108.61335642785713</v>
      </c>
      <c r="L131">
        <v>-108.61335642785713</v>
      </c>
      <c r="M131">
        <v>-108.61335642785713</v>
      </c>
    </row>
    <row r="133" spans="4:46">
      <c r="O133" cm="1">
        <f t="array" ref="O133:X133">((A1:J1)^B34/((A1:J1)^B34+B35^B34))*(B35^B34)/(((A1:J1)^B34+B35^B34))*(-1/B35)</f>
        <v>0</v>
      </c>
      <c r="P133">
        <v>-2.1480686410314878E-2</v>
      </c>
      <c r="Q133">
        <v>-2.7735188229960829E-2</v>
      </c>
      <c r="R133">
        <v>-3.0825897655276869E-2</v>
      </c>
      <c r="S133">
        <v>-3.2493023741378219E-2</v>
      </c>
      <c r="T133">
        <v>-3.3393699473033549E-2</v>
      </c>
      <c r="U133">
        <v>-3.3841240256003692E-2</v>
      </c>
      <c r="V133">
        <v>-3.4005113074102283E-2</v>
      </c>
      <c r="W133">
        <v>-3.3984722706000239E-2</v>
      </c>
      <c r="X133">
        <v>-3.3841792974007544E-2</v>
      </c>
      <c r="Z133" t="e" cm="1">
        <f t="array" ref="Z133:AI133">1+B34*LN((A1:J1)/B35)*(1-2*((A1:J1)^B34/((A1:J1)^B34+B35^B34)))</f>
        <v>#NUM!</v>
      </c>
      <c r="AA133">
        <v>0.14502086141941317</v>
      </c>
      <c r="AB133">
        <v>0.60512412183825603</v>
      </c>
      <c r="AC133">
        <v>0.80626438075192097</v>
      </c>
      <c r="AD133">
        <v>0.90912904106527437</v>
      </c>
      <c r="AE133">
        <v>0.96323333549198276</v>
      </c>
      <c r="AF133">
        <v>0.98975504504264367</v>
      </c>
      <c r="AG133">
        <v>0.99940774807748978</v>
      </c>
      <c r="AH133">
        <v>0.99820837360741987</v>
      </c>
      <c r="AI133">
        <v>0.98978765447876627</v>
      </c>
      <c r="AK133" cm="1">
        <f t="array" ref="AK133:AT133">_xlfn.ANCHORARRAY(O133)*_xlfn.ANCHORARRAY(Z134)</f>
        <v>0</v>
      </c>
      <c r="AL133">
        <v>-3.1151476471041458E-3</v>
      </c>
      <c r="AM133">
        <v>-1.6783231421673782E-2</v>
      </c>
      <c r="AN133">
        <v>-2.4853823284153899E-2</v>
      </c>
      <c r="AO133">
        <v>-2.9540351515310374E-2</v>
      </c>
      <c r="AP133">
        <v>-3.2165924527826975E-2</v>
      </c>
      <c r="AQ133">
        <v>-3.3494538273879861E-2</v>
      </c>
      <c r="AR133">
        <v>-3.3984973480508968E-2</v>
      </c>
      <c r="AS133">
        <v>-3.3923834779855652E-2</v>
      </c>
      <c r="AT133">
        <v>-3.349618889109892E-2</v>
      </c>
    </row>
    <row r="134" spans="4:46">
      <c r="D134" cm="1">
        <f t="array" ref="D134:M143">_xlfn.ANCHORARRAY(D122)*_xlfn.ANCHORARRAY(AV127)</f>
        <v>-5.7487001576571994E-2</v>
      </c>
      <c r="E134">
        <v>-0.17053130676771419</v>
      </c>
      <c r="F134">
        <v>1.0222668595433408E-2</v>
      </c>
      <c r="G134">
        <v>-2.5159852841546197E-2</v>
      </c>
      <c r="H134">
        <v>-4.2256301889002659E-2</v>
      </c>
      <c r="I134">
        <v>1.7208850045116894E-2</v>
      </c>
      <c r="J134">
        <v>1.9015610681552067E-2</v>
      </c>
      <c r="K134">
        <v>-3.2387047346923909E-3</v>
      </c>
      <c r="L134">
        <v>-3.1336470811663818E-2</v>
      </c>
      <c r="M134">
        <v>-4.6972505913606202E-2</v>
      </c>
      <c r="Z134" cm="1">
        <f t="array" ref="Z134:AI134">IFERROR(_xlfn.ANCHORARRAY(Z133),0)</f>
        <v>0</v>
      </c>
      <c r="AA134">
        <v>0.14502086141941317</v>
      </c>
      <c r="AB134">
        <v>0.60512412183825603</v>
      </c>
      <c r="AC134">
        <v>0.80626438075192097</v>
      </c>
      <c r="AD134">
        <v>0.90912904106527437</v>
      </c>
      <c r="AE134">
        <v>0.96323333549198276</v>
      </c>
      <c r="AF134">
        <v>0.98975504504264367</v>
      </c>
      <c r="AG134">
        <v>0.99940774807748978</v>
      </c>
      <c r="AH134">
        <v>0.99820837360741987</v>
      </c>
      <c r="AI134">
        <v>0.98978765447876627</v>
      </c>
    </row>
    <row r="135" spans="4:46">
      <c r="D135">
        <v>-3.5570458497385243E-2</v>
      </c>
      <c r="E135">
        <v>-0.23687632778125378</v>
      </c>
      <c r="F135">
        <v>0.16636018597814142</v>
      </c>
      <c r="G135">
        <v>-7.3491969954783423E-2</v>
      </c>
      <c r="H135">
        <v>-7.6696349165041422E-2</v>
      </c>
      <c r="I135">
        <v>1.9061938179451905E-2</v>
      </c>
      <c r="J135">
        <v>1.9699646703883241E-2</v>
      </c>
      <c r="K135">
        <v>-1.8863607217537123E-3</v>
      </c>
      <c r="L135">
        <v>-3.1932931238561058E-2</v>
      </c>
      <c r="M135">
        <v>-6.8078454689992685E-2</v>
      </c>
    </row>
    <row r="136" spans="4:46">
      <c r="D136">
        <v>2.1855453178613983E-3</v>
      </c>
      <c r="E136">
        <v>-0.225413050844982</v>
      </c>
      <c r="F136">
        <v>0.10068838859697118</v>
      </c>
      <c r="G136">
        <v>-0.12443009528785574</v>
      </c>
      <c r="H136">
        <v>-7.4494308918926028E-2</v>
      </c>
      <c r="I136">
        <v>-2.9545744436016044E-3</v>
      </c>
      <c r="J136">
        <v>2.0110969511499273E-2</v>
      </c>
      <c r="K136">
        <v>-1.9376371017256254E-3</v>
      </c>
      <c r="L136">
        <v>-4.3720197359794606E-2</v>
      </c>
      <c r="M136">
        <v>-6.8641561127273015E-2</v>
      </c>
    </row>
    <row r="137" spans="4:46">
      <c r="D137">
        <v>-1.0827986993149174E-2</v>
      </c>
      <c r="E137">
        <v>-0.20541362587076931</v>
      </c>
      <c r="F137">
        <v>0.18493796397529075</v>
      </c>
      <c r="G137">
        <v>-0.11757266952910159</v>
      </c>
      <c r="H137">
        <v>-7.0652515779214553E-2</v>
      </c>
      <c r="I137">
        <v>-1.0105191266938762E-3</v>
      </c>
      <c r="J137">
        <v>2.0828584524800593E-2</v>
      </c>
      <c r="K137">
        <v>-6.3399487371322595E-3</v>
      </c>
      <c r="L137">
        <v>-4.4345937734874365E-2</v>
      </c>
      <c r="M137">
        <v>-6.9623985699888022E-2</v>
      </c>
    </row>
    <row r="138" spans="4:46">
      <c r="D138">
        <v>-1.5744426111459899E-2</v>
      </c>
      <c r="E138">
        <v>-0.18843616284476167</v>
      </c>
      <c r="F138">
        <v>0.19496264462571125</v>
      </c>
      <c r="G138">
        <v>-5.688275067862382E-2</v>
      </c>
      <c r="H138">
        <v>-0.1054933003251369</v>
      </c>
      <c r="I138">
        <v>2.3770591569141773E-2</v>
      </c>
      <c r="J138">
        <v>5.1466233478366361E-2</v>
      </c>
      <c r="K138">
        <v>-6.4158906209339263E-3</v>
      </c>
      <c r="L138">
        <v>-4.4877127211346547E-2</v>
      </c>
      <c r="M138">
        <v>-7.0457963520696304E-2</v>
      </c>
    </row>
    <row r="139" spans="4:46">
      <c r="D139">
        <v>-2.913607842836833E-2</v>
      </c>
      <c r="E139">
        <v>-0.17009578472897224</v>
      </c>
      <c r="F139">
        <v>0.13335156839113899</v>
      </c>
      <c r="G139">
        <v>4.2744860600289255E-3</v>
      </c>
      <c r="H139">
        <v>-6.3868128728940515E-2</v>
      </c>
      <c r="I139">
        <v>0.14120741272760154</v>
      </c>
      <c r="J139">
        <v>5.2124318933447378E-2</v>
      </c>
      <c r="K139">
        <v>-6.4979289597372142E-3</v>
      </c>
      <c r="L139">
        <v>-4.5450959463827621E-2</v>
      </c>
      <c r="M139">
        <v>-7.1358891330132554E-2</v>
      </c>
    </row>
    <row r="140" spans="4:46">
      <c r="D140">
        <v>-4.7712864481823464E-2</v>
      </c>
      <c r="E140">
        <v>-0.21305473161047117</v>
      </c>
      <c r="F140">
        <v>0.18042612114345755</v>
      </c>
      <c r="G140">
        <v>-1.0455326886792538E-2</v>
      </c>
      <c r="H140">
        <v>0.27079832489053729</v>
      </c>
      <c r="I140">
        <v>0.13703156421188578</v>
      </c>
      <c r="J140">
        <v>5.0582875353068088E-2</v>
      </c>
      <c r="K140">
        <v>-6.3057693097754303E-3</v>
      </c>
      <c r="L140">
        <v>-4.4106863442600952E-2</v>
      </c>
      <c r="M140">
        <v>-6.9248634406022733E-2</v>
      </c>
    </row>
    <row r="141" spans="4:46">
      <c r="D141">
        <v>-4.9766111089574433E-2</v>
      </c>
      <c r="E141">
        <v>-0.18351466817820972</v>
      </c>
      <c r="F141">
        <v>0.12542812181624444</v>
      </c>
      <c r="G141">
        <v>0.49349140573707784</v>
      </c>
      <c r="H141">
        <v>0.27647282869187328</v>
      </c>
      <c r="I141">
        <v>0.13990302263888191</v>
      </c>
      <c r="J141">
        <v>5.1642825478644065E-2</v>
      </c>
      <c r="K141">
        <v>-6.4379049569701918E-3</v>
      </c>
      <c r="L141">
        <v>-4.503111053449569E-2</v>
      </c>
      <c r="M141">
        <v>-7.0699720336237185E-2</v>
      </c>
    </row>
    <row r="142" spans="4:46">
      <c r="D142">
        <v>-3.2188460885280205E-2</v>
      </c>
      <c r="E142">
        <v>-0.19179924369503712</v>
      </c>
      <c r="F142">
        <v>0.89537272142507274</v>
      </c>
      <c r="G142">
        <v>0.51993578759371228</v>
      </c>
      <c r="H142">
        <v>0.29128798650397714</v>
      </c>
      <c r="I142">
        <v>0.14739990892818652</v>
      </c>
      <c r="J142">
        <v>5.4410173767259228E-2</v>
      </c>
      <c r="K142">
        <v>-6.7828885069563553E-3</v>
      </c>
      <c r="L142">
        <v>-4.7444161437831915E-2</v>
      </c>
      <c r="M142">
        <v>-7.4488257238792294E-2</v>
      </c>
    </row>
    <row r="143" spans="4:46">
      <c r="D143">
        <v>-3.0658664678374092E-2</v>
      </c>
      <c r="E143">
        <v>1.4845364546931425</v>
      </c>
      <c r="F143">
        <v>0.87657407054331626</v>
      </c>
      <c r="G143">
        <v>0.50901956117981295</v>
      </c>
      <c r="H143">
        <v>0.28517229743582823</v>
      </c>
      <c r="I143">
        <v>0.1443051983549925</v>
      </c>
      <c r="J143">
        <v>5.3267813902376962E-2</v>
      </c>
      <c r="K143">
        <v>-6.6404794855946057E-3</v>
      </c>
      <c r="L143">
        <v>-4.6448055340442697E-2</v>
      </c>
      <c r="M143">
        <v>-7.292435127079068E-2</v>
      </c>
    </row>
    <row r="144" spans="4:46">
      <c r="O144" t="s">
        <v>91</v>
      </c>
    </row>
    <row r="145" spans="2:35">
      <c r="D145" cm="1">
        <f t="array" ref="D145:M154">_xlfn.ANCHORARRAY(AK111)+_xlfn.ANCHORARRAY(D134)</f>
        <v>-5.7487001576571994E-2</v>
      </c>
      <c r="E145">
        <v>0.38292777947035783</v>
      </c>
      <c r="F145">
        <v>0.68316644667786464</v>
      </c>
      <c r="G145">
        <v>0.47162136208439864</v>
      </c>
      <c r="H145">
        <v>5.5067048845106145E-2</v>
      </c>
      <c r="I145">
        <v>-0.31235244748578045</v>
      </c>
      <c r="J145">
        <v>-0.50945372714657511</v>
      </c>
      <c r="K145">
        <v>-0.6341575475820691</v>
      </c>
      <c r="L145">
        <v>-0.51207143044812431</v>
      </c>
      <c r="M145">
        <v>-0.7159907134482193</v>
      </c>
      <c r="O145">
        <f>SUM(_xlfn.ANCHORARRAY(D145))</f>
        <v>10.455603908537674</v>
      </c>
    </row>
    <row r="146" spans="2:35">
      <c r="D146">
        <v>-3.5570458497385243E-2</v>
      </c>
      <c r="E146">
        <v>0.34733048547004453</v>
      </c>
      <c r="F146">
        <v>0.71695054986376694</v>
      </c>
      <c r="G146">
        <v>0.47848715774071077</v>
      </c>
      <c r="H146">
        <v>3.2792420410830983E-2</v>
      </c>
      <c r="I146">
        <v>-0.31049935935144546</v>
      </c>
      <c r="J146">
        <v>-0.50876969112424397</v>
      </c>
      <c r="K146">
        <v>-0.94826462499281894</v>
      </c>
      <c r="L146">
        <v>-0.51266789087502151</v>
      </c>
      <c r="M146">
        <v>-6.8078454689992685E-2</v>
      </c>
    </row>
    <row r="147" spans="2:35">
      <c r="D147">
        <v>2.1855453178613983E-3</v>
      </c>
      <c r="E147">
        <v>0.35879376240631633</v>
      </c>
      <c r="F147">
        <v>0.71245545958099954</v>
      </c>
      <c r="G147">
        <v>0.48274694517718786</v>
      </c>
      <c r="H147">
        <v>3.4994460656946377E-2</v>
      </c>
      <c r="I147">
        <v>-0.39842813148067846</v>
      </c>
      <c r="J147">
        <v>-0.50835836831662795</v>
      </c>
      <c r="K147">
        <v>-0.94831590137279087</v>
      </c>
      <c r="L147">
        <v>-4.3720197359794606E-2</v>
      </c>
      <c r="M147">
        <v>-6.8641561127273015E-2</v>
      </c>
    </row>
    <row r="148" spans="2:35">
      <c r="D148">
        <v>-1.0827986993149174E-2</v>
      </c>
      <c r="E148">
        <v>0.37879318738052903</v>
      </c>
      <c r="F148">
        <v>0.73552832786091626</v>
      </c>
      <c r="G148">
        <v>0.489604370935942</v>
      </c>
      <c r="H148">
        <v>3.8836253796657852E-2</v>
      </c>
      <c r="I148">
        <v>-0.39648407616377074</v>
      </c>
      <c r="J148">
        <v>-0.50764075330332659</v>
      </c>
      <c r="K148">
        <v>-6.3399487371322595E-3</v>
      </c>
      <c r="L148">
        <v>-4.4345937734874365E-2</v>
      </c>
      <c r="M148">
        <v>-6.9623985699888022E-2</v>
      </c>
    </row>
    <row r="149" spans="2:35">
      <c r="D149">
        <v>-1.5744426111459899E-2</v>
      </c>
      <c r="E149">
        <v>0.39577065040653664</v>
      </c>
      <c r="F149">
        <v>0.74555300851133677</v>
      </c>
      <c r="G149">
        <v>0.49509637701687037</v>
      </c>
      <c r="H149">
        <v>1.616088809249909E-2</v>
      </c>
      <c r="I149">
        <v>-0.30579070596175556</v>
      </c>
      <c r="J149">
        <v>5.1466233478366361E-2</v>
      </c>
      <c r="K149">
        <v>-6.4158906209339263E-3</v>
      </c>
      <c r="L149">
        <v>-4.4877127211346547E-2</v>
      </c>
      <c r="M149">
        <v>-7.0457963520696304E-2</v>
      </c>
    </row>
    <row r="150" spans="2:35">
      <c r="D150">
        <v>-2.913607842836833E-2</v>
      </c>
      <c r="E150">
        <v>0.41411102852232606</v>
      </c>
      <c r="F150">
        <v>0.74511863937516742</v>
      </c>
      <c r="G150">
        <v>0.50105570098597374</v>
      </c>
      <c r="H150">
        <v>4.562064084693189E-2</v>
      </c>
      <c r="I150">
        <v>0.14120741272760154</v>
      </c>
      <c r="J150">
        <v>5.2124318933447378E-2</v>
      </c>
      <c r="K150">
        <v>-6.4979289597372142E-3</v>
      </c>
      <c r="L150">
        <v>-4.5450959463827621E-2</v>
      </c>
      <c r="M150">
        <v>-7.1358891330132554E-2</v>
      </c>
    </row>
    <row r="151" spans="2:35">
      <c r="D151">
        <v>-4.7712864481823464E-2</v>
      </c>
      <c r="E151">
        <v>0.37115208164082714</v>
      </c>
      <c r="F151">
        <v>0.73101648502908312</v>
      </c>
      <c r="G151">
        <v>0.48632588803915233</v>
      </c>
      <c r="H151">
        <v>0.27079832489053729</v>
      </c>
      <c r="I151">
        <v>0.13703156421188578</v>
      </c>
      <c r="J151">
        <v>5.0582875353068088E-2</v>
      </c>
      <c r="K151">
        <v>-6.3057693097754303E-3</v>
      </c>
      <c r="L151">
        <v>-4.4106863442600952E-2</v>
      </c>
      <c r="M151">
        <v>-6.9248634406022733E-2</v>
      </c>
    </row>
    <row r="152" spans="2:35">
      <c r="D152">
        <v>-4.9766111089574433E-2</v>
      </c>
      <c r="E152">
        <v>0.40069214507308859</v>
      </c>
      <c r="F152">
        <v>0.73719519280027279</v>
      </c>
      <c r="G152">
        <v>0.49349140573707784</v>
      </c>
      <c r="H152">
        <v>0.27647282869187328</v>
      </c>
      <c r="I152">
        <v>0.13990302263888191</v>
      </c>
      <c r="J152">
        <v>5.1642825478644065E-2</v>
      </c>
      <c r="K152">
        <v>-6.4379049569701918E-3</v>
      </c>
      <c r="L152">
        <v>-4.503111053449569E-2</v>
      </c>
      <c r="M152">
        <v>-7.0699720336237185E-2</v>
      </c>
    </row>
    <row r="153" spans="2:35">
      <c r="D153">
        <v>-3.2188460885280205E-2</v>
      </c>
      <c r="E153">
        <v>0.42315529656948747</v>
      </c>
      <c r="F153">
        <v>0.89537272142507274</v>
      </c>
      <c r="G153">
        <v>0.51993578759371228</v>
      </c>
      <c r="H153">
        <v>0.29128798650397714</v>
      </c>
      <c r="I153">
        <v>0.14739990892818652</v>
      </c>
      <c r="J153">
        <v>5.4410173767259228E-2</v>
      </c>
      <c r="K153">
        <v>-6.7828885069563553E-3</v>
      </c>
      <c r="L153">
        <v>-4.7444161437831915E-2</v>
      </c>
      <c r="M153">
        <v>-7.4488257238792294E-2</v>
      </c>
    </row>
    <row r="154" spans="2:35">
      <c r="D154">
        <v>-3.0658664678374092E-2</v>
      </c>
      <c r="E154">
        <v>1.4845364546931425</v>
      </c>
      <c r="F154">
        <v>0.87657407054331626</v>
      </c>
      <c r="G154">
        <v>0.50901956117981295</v>
      </c>
      <c r="H154">
        <v>0.28517229743582823</v>
      </c>
      <c r="I154">
        <v>0.1443051983549925</v>
      </c>
      <c r="J154">
        <v>5.3267813902376962E-2</v>
      </c>
      <c r="K154">
        <v>-6.6404794855946057E-3</v>
      </c>
      <c r="L154">
        <v>-4.6448055340442697E-2</v>
      </c>
      <c r="M154">
        <v>-7.292435127079068E-2</v>
      </c>
    </row>
    <row r="157" spans="2:35">
      <c r="B157" t="s">
        <v>92</v>
      </c>
      <c r="D157" cm="1">
        <f t="array" ref="D157:M166">-(B2:K11)/((_xlfn.ANCHORARRAY(P1))^2)</f>
        <v>-334.08629598879014</v>
      </c>
      <c r="E157">
        <v>-702.8468175724953</v>
      </c>
      <c r="F157">
        <v>-886.22704558670171</v>
      </c>
      <c r="G157">
        <v>-1233.6411603337633</v>
      </c>
      <c r="H157">
        <v>-1684.763733488162</v>
      </c>
      <c r="I157">
        <v>-1515.4935315274231</v>
      </c>
      <c r="J157">
        <v>-1249.6310250410263</v>
      </c>
      <c r="K157">
        <v>-1105.8194653259388</v>
      </c>
      <c r="L157">
        <v>-714.19658737710256</v>
      </c>
      <c r="M157">
        <v>-902.42545967994022</v>
      </c>
      <c r="O157" cm="1">
        <f t="array" ref="O157:X157">(((B1:K1)^B34/((B1:K1)^B34+B35^B34))*(B35^B34)/(((B1:K1)^B34+B35^B34))*(-B34/B35)-((A1:J1)^B34/((A1:J1)^B34+B35^B34))*(A1:J1)/(((A1:J1)^B34+B35^B34))*(-B34/B35))^2</f>
        <v>2.300584179180952E-4</v>
      </c>
      <c r="P157">
        <v>2.520207619731933E-4</v>
      </c>
      <c r="Q157">
        <v>1.4856825459652899E-4</v>
      </c>
      <c r="R157">
        <v>4.8669121635960118E-5</v>
      </c>
      <c r="S157">
        <v>1.2961752062043772E-6</v>
      </c>
      <c r="T157">
        <v>2.4337539304453584E-5</v>
      </c>
      <c r="U157">
        <v>1.2203635342314732E-4</v>
      </c>
      <c r="V157">
        <v>2.9249588232092751E-4</v>
      </c>
      <c r="W157">
        <v>5.3114624844804027E-4</v>
      </c>
      <c r="X157">
        <v>8.3241187210356072E-4</v>
      </c>
      <c r="Z157" cm="1">
        <f t="array" ref="Z157:AI166">_xlfn.ANCHORARRAY(D157)*_xlfn.ANCHORARRAY(O157)</f>
        <v>-7.6859364703297531E-2</v>
      </c>
      <c r="AA157">
        <v>-0.17713199051505424</v>
      </c>
      <c r="AB157">
        <v>-0.13166520533905479</v>
      </c>
      <c r="AC157">
        <v>-6.0040231687410905E-2</v>
      </c>
      <c r="AD157">
        <v>-2.1837489796596747E-3</v>
      </c>
      <c r="AE157">
        <v>-3.6883383389193829E-2</v>
      </c>
      <c r="AF157">
        <v>-0.15250041342043655</v>
      </c>
      <c r="AG157">
        <v>-0.3234476401981668</v>
      </c>
      <c r="AH157">
        <v>-0.379342838039741</v>
      </c>
      <c r="AI157">
        <v>-0.75118966632609541</v>
      </c>
    </row>
    <row r="158" spans="2:35">
      <c r="D158">
        <v>-318.17742475122873</v>
      </c>
      <c r="E158">
        <v>-741.89386299318949</v>
      </c>
      <c r="F158">
        <v>-725.09485548002863</v>
      </c>
      <c r="G158">
        <v>-1370.7124003708479</v>
      </c>
      <c r="H158">
        <v>-1895.3592001741822</v>
      </c>
      <c r="I158">
        <v>-1515.4935315274231</v>
      </c>
      <c r="J158">
        <v>-1249.6310250410263</v>
      </c>
      <c r="K158">
        <v>-1658.7291979889083</v>
      </c>
      <c r="L158">
        <v>-714.19658737710256</v>
      </c>
      <c r="M158">
        <v>0</v>
      </c>
      <c r="Z158">
        <v>-7.3199394955521468E-2</v>
      </c>
      <c r="AA158">
        <v>-0.1869726566547795</v>
      </c>
      <c r="AB158">
        <v>-0.10772607709559029</v>
      </c>
      <c r="AC158">
        <v>-6.6711368541567659E-2</v>
      </c>
      <c r="AD158">
        <v>-2.4567176021171341E-3</v>
      </c>
      <c r="AE158">
        <v>-3.6883383389193829E-2</v>
      </c>
      <c r="AF158">
        <v>-0.15250041342043655</v>
      </c>
      <c r="AG158">
        <v>-0.48517146029725017</v>
      </c>
      <c r="AH158">
        <v>-0.379342838039741</v>
      </c>
      <c r="AI158">
        <v>0</v>
      </c>
    </row>
    <row r="159" spans="2:35">
      <c r="D159">
        <v>-286.35968227610584</v>
      </c>
      <c r="E159">
        <v>-741.89386299318949</v>
      </c>
      <c r="F159">
        <v>-805.66095053336517</v>
      </c>
      <c r="G159">
        <v>-1507.7836404079328</v>
      </c>
      <c r="H159">
        <v>-1895.3592001741822</v>
      </c>
      <c r="I159">
        <v>-1818.5922378329078</v>
      </c>
      <c r="J159">
        <v>-1249.6310250410263</v>
      </c>
      <c r="K159">
        <v>-1658.7291979889083</v>
      </c>
      <c r="L159">
        <v>0</v>
      </c>
      <c r="M159">
        <v>0</v>
      </c>
      <c r="Z159">
        <v>-6.5879455459969316E-2</v>
      </c>
      <c r="AA159">
        <v>-0.1869726566547795</v>
      </c>
      <c r="AB159">
        <v>-0.11969564121732254</v>
      </c>
      <c r="AC159">
        <v>-7.338250539572444E-2</v>
      </c>
      <c r="AD159">
        <v>-2.4567176021171341E-3</v>
      </c>
      <c r="AE159">
        <v>-4.4260060067032592E-2</v>
      </c>
      <c r="AF159">
        <v>-0.15250041342043655</v>
      </c>
      <c r="AG159">
        <v>-0.48517146029725017</v>
      </c>
      <c r="AH159">
        <v>0</v>
      </c>
      <c r="AI159">
        <v>0</v>
      </c>
    </row>
    <row r="160" spans="2:35">
      <c r="D160">
        <v>-302.26855351366726</v>
      </c>
      <c r="E160">
        <v>-741.89386299318949</v>
      </c>
      <c r="F160">
        <v>-725.09485548002863</v>
      </c>
      <c r="G160">
        <v>-1507.7836404079328</v>
      </c>
      <c r="H160">
        <v>-1895.3592001741822</v>
      </c>
      <c r="I160">
        <v>-1818.5922378329078</v>
      </c>
      <c r="J160">
        <v>-1249.6310250410263</v>
      </c>
      <c r="K160">
        <v>0</v>
      </c>
      <c r="L160">
        <v>0</v>
      </c>
      <c r="M160">
        <v>0</v>
      </c>
      <c r="Z160">
        <v>-6.9539425207745392E-2</v>
      </c>
      <c r="AA160">
        <v>-0.1869726566547795</v>
      </c>
      <c r="AB160">
        <v>-0.10772607709559029</v>
      </c>
      <c r="AC160">
        <v>-7.338250539572444E-2</v>
      </c>
      <c r="AD160">
        <v>-2.4567176021171341E-3</v>
      </c>
      <c r="AE160">
        <v>-4.4260060067032592E-2</v>
      </c>
      <c r="AF160">
        <v>-0.15250041342043655</v>
      </c>
      <c r="AG160">
        <v>0</v>
      </c>
      <c r="AH160">
        <v>0</v>
      </c>
      <c r="AI160">
        <v>0</v>
      </c>
    </row>
    <row r="161" spans="4:35">
      <c r="D161">
        <v>-310.22298913244799</v>
      </c>
      <c r="E161">
        <v>-741.89386299318949</v>
      </c>
      <c r="F161">
        <v>-725.09485548002863</v>
      </c>
      <c r="G161">
        <v>-1370.7124003708479</v>
      </c>
      <c r="H161">
        <v>-2105.9546668602025</v>
      </c>
      <c r="I161">
        <v>-1515.4935315274231</v>
      </c>
      <c r="J161">
        <v>0</v>
      </c>
      <c r="K161">
        <v>0</v>
      </c>
      <c r="L161">
        <v>0</v>
      </c>
      <c r="M161">
        <v>0</v>
      </c>
      <c r="Z161">
        <v>-7.136941008163343E-2</v>
      </c>
      <c r="AA161">
        <v>-0.1869726566547795</v>
      </c>
      <c r="AB161">
        <v>-0.10772607709559029</v>
      </c>
      <c r="AC161">
        <v>-6.6711368541567659E-2</v>
      </c>
      <c r="AD161">
        <v>-2.7296862245745936E-3</v>
      </c>
      <c r="AE161">
        <v>-3.6883383389193829E-2</v>
      </c>
      <c r="AF161">
        <v>0</v>
      </c>
      <c r="AG161">
        <v>0</v>
      </c>
      <c r="AH161">
        <v>0</v>
      </c>
      <c r="AI161">
        <v>0</v>
      </c>
    </row>
    <row r="162" spans="4:35">
      <c r="D162">
        <v>-326.13186037000946</v>
      </c>
      <c r="E162">
        <v>-741.89386299318949</v>
      </c>
      <c r="F162">
        <v>-805.66095053336517</v>
      </c>
      <c r="G162">
        <v>-1233.6411603337633</v>
      </c>
      <c r="H162">
        <v>-1895.3592001741822</v>
      </c>
      <c r="I162">
        <v>0</v>
      </c>
      <c r="J162">
        <v>0</v>
      </c>
      <c r="K162">
        <v>0</v>
      </c>
      <c r="L162">
        <v>0</v>
      </c>
      <c r="M162">
        <v>0</v>
      </c>
      <c r="Z162">
        <v>-7.5029379829409507E-2</v>
      </c>
      <c r="AA162">
        <v>-0.1869726566547795</v>
      </c>
      <c r="AB162">
        <v>-0.11969564121732254</v>
      </c>
      <c r="AC162">
        <v>-6.0040231687410905E-2</v>
      </c>
      <c r="AD162">
        <v>-2.4567176021171341E-3</v>
      </c>
      <c r="AE162">
        <v>0</v>
      </c>
      <c r="AF162">
        <v>0</v>
      </c>
      <c r="AG162">
        <v>0</v>
      </c>
      <c r="AH162">
        <v>0</v>
      </c>
      <c r="AI162">
        <v>0</v>
      </c>
    </row>
    <row r="163" spans="4:35">
      <c r="D163">
        <v>-334.08629598879014</v>
      </c>
      <c r="E163">
        <v>-741.89386299318949</v>
      </c>
      <c r="F163">
        <v>-725.09485548002863</v>
      </c>
      <c r="G163">
        <v>-1233.6411603337633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Z163">
        <v>-7.6859364703297531E-2</v>
      </c>
      <c r="AA163">
        <v>-0.1869726566547795</v>
      </c>
      <c r="AB163">
        <v>-0.10772607709559029</v>
      </c>
      <c r="AC163">
        <v>-6.0040231687410905E-2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</row>
    <row r="164" spans="4:35">
      <c r="D164">
        <v>-342.04073160757088</v>
      </c>
      <c r="E164">
        <v>-741.89386299318949</v>
      </c>
      <c r="F164">
        <v>-805.66095053336517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Z164">
        <v>-7.8689349577185569E-2</v>
      </c>
      <c r="AA164">
        <v>-0.1869726566547795</v>
      </c>
      <c r="AB164">
        <v>-0.11969564121732254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</row>
    <row r="165" spans="4:35">
      <c r="D165">
        <v>-342.04073160757088</v>
      </c>
      <c r="E165">
        <v>-780.94090841388368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Z165">
        <v>-7.8689349577185569E-2</v>
      </c>
      <c r="AA165">
        <v>-0.19681332279450472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</row>
    <row r="166" spans="4:35">
      <c r="D166">
        <v>-334.08629598879014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Z166">
        <v>-7.6859364703297531E-2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</row>
    <row r="168" spans="4:35">
      <c r="D168" cm="1">
        <f t="array" ref="D168:M177">((B2:K11)/(_xlfn.ANCHORARRAY(P1)))-B33*_xlfn.ANCHORARRAY(L2)</f>
        <v>18.454021474716342</v>
      </c>
      <c r="E168">
        <v>12.47660678558313</v>
      </c>
      <c r="F168">
        <v>-1.2666566182039531</v>
      </c>
      <c r="G168">
        <v>5.3685482302829541</v>
      </c>
      <c r="H168">
        <v>16.094125620410821</v>
      </c>
      <c r="I168">
        <v>-12.952485322571619</v>
      </c>
      <c r="J168">
        <v>-38.77293151984636</v>
      </c>
      <c r="K168">
        <v>-52.973071067658751</v>
      </c>
      <c r="L168">
        <v>-73.276679691149027</v>
      </c>
      <c r="M168">
        <v>-69.96073928939623</v>
      </c>
      <c r="O168" cm="1">
        <f t="array" ref="O168:X168">((B1:K1)^B34/((B1:K1)^B34+B35^B34))*(B35^B34)/(((B1:K1)^B34+B35^B34))*(B34/B35^2)</f>
        <v>2.0637253138075635E-3</v>
      </c>
      <c r="P168">
        <v>2.664617365574619E-3</v>
      </c>
      <c r="Q168">
        <v>2.9615527221461616E-3</v>
      </c>
      <c r="R168">
        <v>3.1217194058115491E-3</v>
      </c>
      <c r="S168">
        <v>3.2082505003699006E-3</v>
      </c>
      <c r="T168">
        <v>3.2512473220326025E-3</v>
      </c>
      <c r="U168">
        <v>3.2669911617077005E-3</v>
      </c>
      <c r="V168">
        <v>3.2650321871197266E-3</v>
      </c>
      <c r="W168">
        <v>3.2513004236008748E-3</v>
      </c>
      <c r="X168">
        <v>3.2296363482115695E-3</v>
      </c>
      <c r="Z168" cm="1">
        <f t="array" ref="Z168:AI168">(1+B34*(1-2*(((B1:K1)^B34)/((B1:K1)^B34+B35^B34))))</f>
        <v>1.4286353373845413</v>
      </c>
      <c r="AA168">
        <v>1.3033990362865717</v>
      </c>
      <c r="AB168">
        <v>1.2162127531161371</v>
      </c>
      <c r="AC168">
        <v>1.1493704893204442</v>
      </c>
      <c r="AD168">
        <v>1.0954442901042414</v>
      </c>
      <c r="AE168">
        <v>1.0504940227110493</v>
      </c>
      <c r="AF168">
        <v>1.0121503200061908</v>
      </c>
      <c r="AG168">
        <v>0.97886925591151352</v>
      </c>
      <c r="AH168">
        <v>0.94958626480797881</v>
      </c>
      <c r="AI168">
        <v>0.92353560957759406</v>
      </c>
    </row>
    <row r="169" spans="4:35">
      <c r="D169">
        <v>11.418546575296901</v>
      </c>
      <c r="E169">
        <v>17.330617201950261</v>
      </c>
      <c r="F169">
        <v>-20.613133313251012</v>
      </c>
      <c r="G169">
        <v>15.68153787407104</v>
      </c>
      <c r="H169">
        <v>29.211280280310419</v>
      </c>
      <c r="I169">
        <v>-14.347238417547686</v>
      </c>
      <c r="J169">
        <v>-40.167684614822427</v>
      </c>
      <c r="K169">
        <v>-30.853791487166973</v>
      </c>
      <c r="L169">
        <v>-74.671432786125095</v>
      </c>
      <c r="M169">
        <v>-101.39588951357051</v>
      </c>
    </row>
    <row r="170" spans="4:35">
      <c r="D170">
        <v>-0.70158643038736557</v>
      </c>
      <c r="E170">
        <v>16.491927805152741</v>
      </c>
      <c r="F170">
        <v>-12.475960910013029</v>
      </c>
      <c r="G170">
        <v>26.550591216037688</v>
      </c>
      <c r="H170">
        <v>28.372590883512899</v>
      </c>
      <c r="I170">
        <v>2.2238024048593559</v>
      </c>
      <c r="J170">
        <v>-41.006374011619947</v>
      </c>
      <c r="K170">
        <v>-31.692480883964492</v>
      </c>
      <c r="L170">
        <v>-102.23457891036803</v>
      </c>
      <c r="M170">
        <v>-102.23457891036803</v>
      </c>
    </row>
    <row r="171" spans="4:35">
      <c r="D171">
        <v>3.4759145375388272</v>
      </c>
      <c r="E171">
        <v>15.028706968635561</v>
      </c>
      <c r="F171">
        <v>-22.915043546565713</v>
      </c>
      <c r="G171">
        <v>25.087370379520507</v>
      </c>
      <c r="H171">
        <v>26.909370046995718</v>
      </c>
      <c r="I171">
        <v>0.76058156834217527</v>
      </c>
      <c r="J171">
        <v>-42.469594848137127</v>
      </c>
      <c r="K171">
        <v>-103.69779974688521</v>
      </c>
      <c r="L171">
        <v>-103.69779974688521</v>
      </c>
      <c r="M171">
        <v>-103.69779974688521</v>
      </c>
      <c r="O171" cm="1">
        <f t="array" ref="O171:X171">_xlfn.ANCHORARRAY(O168)*_xlfn.ANCHORARRAY(Z168)</f>
        <v>2.9483109099604867E-3</v>
      </c>
      <c r="P171">
        <v>3.4730597063624218E-3</v>
      </c>
      <c r="Q171">
        <v>3.6018781896999734E-3</v>
      </c>
      <c r="R171">
        <v>3.5880121609787462E-3</v>
      </c>
      <c r="S171">
        <v>3.5144596918542828E-3</v>
      </c>
      <c r="T171">
        <v>3.4154158781505551E-3</v>
      </c>
      <c r="U171">
        <v>3.3066861497798462E-3</v>
      </c>
      <c r="V171">
        <v>3.1960396275330285E-3</v>
      </c>
      <c r="W171">
        <v>3.087390225015754E-3</v>
      </c>
      <c r="X171">
        <v>2.9826841735595268E-3</v>
      </c>
    </row>
    <row r="172" spans="4:35">
      <c r="D172">
        <v>5.0541508445341208</v>
      </c>
      <c r="E172">
        <v>13.786582373409175</v>
      </c>
      <c r="F172">
        <v>-24.157168141792098</v>
      </c>
      <c r="G172">
        <v>12.137503045529954</v>
      </c>
      <c r="H172">
        <v>40.179153206644969</v>
      </c>
      <c r="I172">
        <v>-17.891273246088772</v>
      </c>
      <c r="J172">
        <v>-104.9399243421116</v>
      </c>
      <c r="K172">
        <v>-104.9399243421116</v>
      </c>
      <c r="L172">
        <v>-104.9399243421116</v>
      </c>
      <c r="M172">
        <v>-104.9399243421116</v>
      </c>
      <c r="Z172" cm="1">
        <f t="array" ref="Z172:AI181">_xlfn.ANCHORARRAY(D168)*_xlfn.ANCHORARRAY(O171)</f>
        <v>5.4408192846551302E-2</v>
      </c>
      <c r="AA172">
        <v>4.3332000299136746E-2</v>
      </c>
      <c r="AB172">
        <v>-4.5623428469479454E-3</v>
      </c>
      <c r="AC172">
        <v>1.9262416337056165E-2</v>
      </c>
      <c r="AD172">
        <v>5.6562155768573132E-2</v>
      </c>
      <c r="AE172">
        <v>-4.4238124032223124E-2</v>
      </c>
      <c r="AF172">
        <v>-0.12820991564303841</v>
      </c>
      <c r="AG172">
        <v>-0.16930403432436072</v>
      </c>
      <c r="AH172">
        <v>-0.22623370460006392</v>
      </c>
      <c r="AI172">
        <v>-0.20867078984900631</v>
      </c>
    </row>
    <row r="173" spans="4:35">
      <c r="D173">
        <v>9.3530328989232174</v>
      </c>
      <c r="E173">
        <v>12.444742623354898</v>
      </c>
      <c r="F173">
        <v>-16.523146091810872</v>
      </c>
      <c r="G173">
        <v>-0.91207944328847645</v>
      </c>
      <c r="H173">
        <v>24.325405701715056</v>
      </c>
      <c r="I173">
        <v>-106.28176409216587</v>
      </c>
      <c r="J173">
        <v>-106.28176409216587</v>
      </c>
      <c r="K173">
        <v>-106.28176409216587</v>
      </c>
      <c r="L173">
        <v>-106.28176409216587</v>
      </c>
      <c r="M173">
        <v>-106.28176409216587</v>
      </c>
      <c r="Z173">
        <v>3.3665425443839804E-2</v>
      </c>
      <c r="AA173">
        <v>6.0190268290484912E-2</v>
      </c>
      <c r="AB173">
        <v>-7.4245995302376772E-2</v>
      </c>
      <c r="AC173">
        <v>5.6265548595015688E-2</v>
      </c>
      <c r="AD173">
        <v>0.10266186709260884</v>
      </c>
      <c r="AE173">
        <v>-4.9001785898904013E-2</v>
      </c>
      <c r="AF173">
        <v>-0.13282192638455834</v>
      </c>
      <c r="AG173">
        <v>-9.8609940252626857E-2</v>
      </c>
      <c r="AH173">
        <v>-0.23053985167180352</v>
      </c>
      <c r="AI173">
        <v>-0.30243191491611715</v>
      </c>
    </row>
    <row r="174" spans="4:35">
      <c r="D174">
        <v>15.316405476375266</v>
      </c>
      <c r="E174">
        <v>15.587754298585253</v>
      </c>
      <c r="F174">
        <v>-22.35599621661602</v>
      </c>
      <c r="G174">
        <v>2.2309322319418783</v>
      </c>
      <c r="H174">
        <v>-103.13875241693552</v>
      </c>
      <c r="I174">
        <v>-103.13875241693552</v>
      </c>
      <c r="J174">
        <v>-103.13875241693552</v>
      </c>
      <c r="K174">
        <v>-103.13875241693552</v>
      </c>
      <c r="L174">
        <v>-103.13875241693552</v>
      </c>
      <c r="M174">
        <v>-103.13875241693552</v>
      </c>
      <c r="Z174">
        <v>-2.0684949269913033E-3</v>
      </c>
      <c r="AA174">
        <v>5.7277449940314036E-2</v>
      </c>
      <c r="AB174">
        <v>-4.4936891497325361E-2</v>
      </c>
      <c r="AC174">
        <v>9.5263844164318698E-2</v>
      </c>
      <c r="AD174">
        <v>9.971432701357838E-2</v>
      </c>
      <c r="AE174">
        <v>7.5952100434260334E-3</v>
      </c>
      <c r="AF174">
        <v>-0.13559520899691591</v>
      </c>
      <c r="AG174">
        <v>-0.1012904247999835</v>
      </c>
      <c r="AH174">
        <v>-0.31563803958647202</v>
      </c>
      <c r="AI174">
        <v>-0.30493346050647729</v>
      </c>
    </row>
    <row r="175" spans="4:35">
      <c r="D175">
        <v>15.975522423740401</v>
      </c>
      <c r="E175">
        <v>13.426510343728708</v>
      </c>
      <c r="F175">
        <v>-15.541378371437062</v>
      </c>
      <c r="G175">
        <v>-105.29999637179206</v>
      </c>
      <c r="H175">
        <v>-105.29999637179206</v>
      </c>
      <c r="I175">
        <v>-105.29999637179206</v>
      </c>
      <c r="J175">
        <v>-105.29999637179206</v>
      </c>
      <c r="K175">
        <v>-105.29999637179206</v>
      </c>
      <c r="L175">
        <v>-105.29999637179206</v>
      </c>
      <c r="M175">
        <v>-105.29999637179206</v>
      </c>
      <c r="Z175">
        <v>1.0248076753115985E-2</v>
      </c>
      <c r="AA175">
        <v>5.2195596611496302E-2</v>
      </c>
      <c r="AB175">
        <v>-8.2537195566400171E-2</v>
      </c>
      <c r="AC175">
        <v>9.0013790008697567E-2</v>
      </c>
      <c r="AD175">
        <v>9.4571896363357444E-2</v>
      </c>
      <c r="AE175">
        <v>2.597702365144517E-3</v>
      </c>
      <c r="AF175">
        <v>-0.14043362107109655</v>
      </c>
      <c r="AG175">
        <v>-0.33142227727902956</v>
      </c>
      <c r="AH175">
        <v>-0.32015557329417454</v>
      </c>
      <c r="AI175">
        <v>-0.30929778613797959</v>
      </c>
    </row>
    <row r="176" spans="4:35">
      <c r="D176">
        <v>10.332884515185896</v>
      </c>
      <c r="E176">
        <v>14.032635946517402</v>
      </c>
      <c r="F176">
        <v>-110.94263428034657</v>
      </c>
      <c r="G176">
        <v>-110.94263428034657</v>
      </c>
      <c r="H176">
        <v>-110.94263428034657</v>
      </c>
      <c r="I176">
        <v>-110.94263428034657</v>
      </c>
      <c r="J176">
        <v>-110.94263428034657</v>
      </c>
      <c r="K176">
        <v>-110.94263428034657</v>
      </c>
      <c r="L176">
        <v>-110.94263428034657</v>
      </c>
      <c r="M176">
        <v>-110.94263428034657</v>
      </c>
      <c r="Z176">
        <v>1.4901208075525956E-2</v>
      </c>
      <c r="AA176">
        <v>4.7881623729533807E-2</v>
      </c>
      <c r="AB176">
        <v>-8.7011177054835992E-2</v>
      </c>
      <c r="AC176">
        <v>4.3549508531278043E-2</v>
      </c>
      <c r="AD176">
        <v>0.14120801439759151</v>
      </c>
      <c r="AE176">
        <v>-6.1106138725021818E-2</v>
      </c>
      <c r="AF176">
        <v>-0.34700339438100536</v>
      </c>
      <c r="AG176">
        <v>-0.33539215670770656</v>
      </c>
      <c r="AH176">
        <v>-0.32399049662772811</v>
      </c>
      <c r="AI176">
        <v>-0.31300265150975037</v>
      </c>
    </row>
    <row r="177" spans="4:35">
      <c r="D177">
        <v>9.8418014654536563</v>
      </c>
      <c r="E177">
        <v>-108.61335642785713</v>
      </c>
      <c r="F177">
        <v>-108.61335642785713</v>
      </c>
      <c r="G177">
        <v>-108.61335642785713</v>
      </c>
      <c r="H177">
        <v>-108.61335642785713</v>
      </c>
      <c r="I177">
        <v>-108.61335642785713</v>
      </c>
      <c r="J177">
        <v>-108.61335642785713</v>
      </c>
      <c r="K177">
        <v>-108.61335642785713</v>
      </c>
      <c r="L177">
        <v>-108.61335642785713</v>
      </c>
      <c r="M177">
        <v>-108.61335642785713</v>
      </c>
      <c r="Z177">
        <v>2.7575648937114679E-2</v>
      </c>
      <c r="AA177">
        <v>4.3221334161224874E-2</v>
      </c>
      <c r="AB177">
        <v>-5.9514359533319933E-2</v>
      </c>
      <c r="AC177">
        <v>-3.2725521342977784E-3</v>
      </c>
      <c r="AD177">
        <v>8.5490657826679903E-2</v>
      </c>
      <c r="AE177">
        <v>-0.36299642463823484</v>
      </c>
      <c r="AF177">
        <v>-0.35144043729773389</v>
      </c>
      <c r="AG177">
        <v>-0.33968072972267904</v>
      </c>
      <c r="AH177">
        <v>-0.3281332795555833</v>
      </c>
      <c r="AI177">
        <v>-0.31700493569569033</v>
      </c>
    </row>
    <row r="178" spans="4:35">
      <c r="Z178">
        <v>4.5157525367375745E-2</v>
      </c>
      <c r="AA178">
        <v>5.4137201367094073E-2</v>
      </c>
      <c r="AB178">
        <v>-8.0523575181644366E-2</v>
      </c>
      <c r="AC178">
        <v>8.0046119785269158E-3</v>
      </c>
      <c r="AD178">
        <v>-0.36247698803745837</v>
      </c>
      <c r="AE178">
        <v>-0.35226173265744049</v>
      </c>
      <c r="AF178">
        <v>-0.34104748412265329</v>
      </c>
      <c r="AG178">
        <v>-0.32963553985884381</v>
      </c>
      <c r="AH178">
        <v>-0.31842957603236671</v>
      </c>
      <c r="AI178">
        <v>-0.30763032451466793</v>
      </c>
    </row>
    <row r="179" spans="4:35">
      <c r="Z179">
        <v>4.7100807054232224E-2</v>
      </c>
      <c r="AA179">
        <v>4.6631072071862449E-2</v>
      </c>
      <c r="AB179">
        <v>-5.5978151793954045E-2</v>
      </c>
      <c r="AC179">
        <v>-0.37781766753300777</v>
      </c>
      <c r="AD179">
        <v>-0.37007259280106541</v>
      </c>
      <c r="AE179">
        <v>-0.35964327957741443</v>
      </c>
      <c r="AF179">
        <v>-0.34819403957447287</v>
      </c>
      <c r="AG179">
        <v>-0.33654296118333155</v>
      </c>
      <c r="AH179">
        <v>-0.32510217949246517</v>
      </c>
      <c r="AI179">
        <v>-0.31407663265401975</v>
      </c>
    </row>
    <row r="180" spans="4:35">
      <c r="O180" t="s">
        <v>93</v>
      </c>
      <c r="Z180">
        <v>3.0464556147484351E-2</v>
      </c>
      <c r="AA180">
        <v>4.8736182479902496E-2</v>
      </c>
      <c r="AB180">
        <v>-0.39960185472224091</v>
      </c>
      <c r="AC180">
        <v>-0.39806352096890102</v>
      </c>
      <c r="AD180">
        <v>-0.38990341628640918</v>
      </c>
      <c r="AE180">
        <v>-0.37891523468494576</v>
      </c>
      <c r="AF180">
        <v>-0.36685247219491274</v>
      </c>
      <c r="AG180">
        <v>-0.35457705554289182</v>
      </c>
      <c r="AH180">
        <v>-0.3425232046146397</v>
      </c>
      <c r="AI180">
        <v>-0.33090683944099231</v>
      </c>
    </row>
    <row r="181" spans="4:35">
      <c r="D181" cm="1">
        <f t="array" ref="D181:M190">_xlfn.ANCHORARRAY(Z157)+_xlfn.ANCHORARRAY(Z172)</f>
        <v>-2.2451171856746228E-2</v>
      </c>
      <c r="E181">
        <v>-0.13379999021591749</v>
      </c>
      <c r="F181">
        <v>-0.13622754818600274</v>
      </c>
      <c r="G181">
        <v>-4.077781535035474E-2</v>
      </c>
      <c r="H181">
        <v>5.437840678891346E-2</v>
      </c>
      <c r="I181">
        <v>-8.1121507421416952E-2</v>
      </c>
      <c r="J181">
        <v>-0.28071032906347493</v>
      </c>
      <c r="K181">
        <v>-0.49275167452252755</v>
      </c>
      <c r="L181">
        <v>-0.60557654263980498</v>
      </c>
      <c r="M181">
        <v>-0.95986045617510174</v>
      </c>
      <c r="O181">
        <f>SUM(_xlfn.ANCHORARRAY(D181))</f>
        <v>-23.590262594742327</v>
      </c>
      <c r="Z181">
        <v>2.901669063426212E-2</v>
      </c>
      <c r="AA181">
        <v>-0.37722067178237051</v>
      </c>
      <c r="AB181">
        <v>-0.39121207962760801</v>
      </c>
      <c r="AC181">
        <v>-0.38970604370787043</v>
      </c>
      <c r="AD181">
        <v>-0.38171726316270616</v>
      </c>
      <c r="AE181">
        <v>-0.3709597821229289</v>
      </c>
      <c r="AF181">
        <v>-0.359150281381097</v>
      </c>
      <c r="AG181">
        <v>-0.34713259122280055</v>
      </c>
      <c r="AH181">
        <v>-0.33533181494151809</v>
      </c>
      <c r="AI181">
        <v>-0.32395933925454934</v>
      </c>
    </row>
    <row r="182" spans="4:35">
      <c r="D182">
        <v>-3.9533969511681664E-2</v>
      </c>
      <c r="E182">
        <v>-0.12678238836429459</v>
      </c>
      <c r="F182">
        <v>-0.18197207239796706</v>
      </c>
      <c r="G182">
        <v>-1.0445819946551971E-2</v>
      </c>
      <c r="H182">
        <v>0.10020514949049171</v>
      </c>
      <c r="I182">
        <v>-8.5885169288097835E-2</v>
      </c>
      <c r="J182">
        <v>-0.28532233980499488</v>
      </c>
      <c r="K182">
        <v>-0.58378140054987704</v>
      </c>
      <c r="L182">
        <v>-0.60988268971154458</v>
      </c>
      <c r="M182">
        <v>-0.30243191491611715</v>
      </c>
    </row>
    <row r="183" spans="4:35">
      <c r="D183">
        <v>-6.7947950386960623E-2</v>
      </c>
      <c r="E183">
        <v>-0.12969520671446547</v>
      </c>
      <c r="F183">
        <v>-0.16463253271464789</v>
      </c>
      <c r="G183">
        <v>2.1881338768594258E-2</v>
      </c>
      <c r="H183">
        <v>9.7257609411461249E-2</v>
      </c>
      <c r="I183">
        <v>-3.666485002360656E-2</v>
      </c>
      <c r="J183">
        <v>-0.28809562241735243</v>
      </c>
      <c r="K183">
        <v>-0.58646188509723363</v>
      </c>
      <c r="L183">
        <v>-0.31563803958647202</v>
      </c>
      <c r="M183">
        <v>-0.30493346050647729</v>
      </c>
    </row>
    <row r="184" spans="4:35">
      <c r="D184">
        <v>-5.9291348454629411E-2</v>
      </c>
      <c r="E184">
        <v>-0.13477706004328319</v>
      </c>
      <c r="F184">
        <v>-0.19026327266199045</v>
      </c>
      <c r="G184">
        <v>1.6631284612973127E-2</v>
      </c>
      <c r="H184">
        <v>9.2115178761240313E-2</v>
      </c>
      <c r="I184">
        <v>-4.1662357701888073E-2</v>
      </c>
      <c r="J184">
        <v>-0.2929340344915331</v>
      </c>
      <c r="K184">
        <v>-0.33142227727902956</v>
      </c>
      <c r="L184">
        <v>-0.32015557329417454</v>
      </c>
      <c r="M184">
        <v>-0.30929778613797959</v>
      </c>
    </row>
    <row r="185" spans="4:35">
      <c r="D185">
        <v>-5.6468202006107471E-2</v>
      </c>
      <c r="E185">
        <v>-0.13909103292524569</v>
      </c>
      <c r="F185">
        <v>-0.19473725415042628</v>
      </c>
      <c r="G185">
        <v>-2.3161860010289616E-2</v>
      </c>
      <c r="H185">
        <v>0.13847832817301692</v>
      </c>
      <c r="I185">
        <v>-9.7989522114215646E-2</v>
      </c>
      <c r="J185">
        <v>-0.34700339438100536</v>
      </c>
      <c r="K185">
        <v>-0.33539215670770656</v>
      </c>
      <c r="L185">
        <v>-0.32399049662772811</v>
      </c>
      <c r="M185">
        <v>-0.31300265150975037</v>
      </c>
    </row>
    <row r="186" spans="4:35">
      <c r="D186">
        <v>-4.7453730892294828E-2</v>
      </c>
      <c r="E186">
        <v>-0.14375132249355463</v>
      </c>
      <c r="F186">
        <v>-0.17921000075064247</v>
      </c>
      <c r="G186">
        <v>-6.3312783821708685E-2</v>
      </c>
      <c r="H186">
        <v>8.3033940224562772E-2</v>
      </c>
      <c r="I186">
        <v>-0.36299642463823484</v>
      </c>
      <c r="J186">
        <v>-0.35144043729773389</v>
      </c>
      <c r="K186">
        <v>-0.33968072972267904</v>
      </c>
      <c r="L186">
        <v>-0.3281332795555833</v>
      </c>
      <c r="M186">
        <v>-0.31700493569569033</v>
      </c>
    </row>
    <row r="187" spans="4:35">
      <c r="D187">
        <v>-3.1701839335921786E-2</v>
      </c>
      <c r="E187">
        <v>-0.13283545528768542</v>
      </c>
      <c r="F187">
        <v>-0.18824965227723467</v>
      </c>
      <c r="G187">
        <v>-5.2035619708883991E-2</v>
      </c>
      <c r="H187">
        <v>-0.36247698803745837</v>
      </c>
      <c r="I187">
        <v>-0.35226173265744049</v>
      </c>
      <c r="J187">
        <v>-0.34104748412265329</v>
      </c>
      <c r="K187">
        <v>-0.32963553985884381</v>
      </c>
      <c r="L187">
        <v>-0.31842957603236671</v>
      </c>
      <c r="M187">
        <v>-0.30763032451466793</v>
      </c>
    </row>
    <row r="188" spans="4:35">
      <c r="D188">
        <v>-3.1588542522953345E-2</v>
      </c>
      <c r="E188">
        <v>-0.14034158458291704</v>
      </c>
      <c r="F188">
        <v>-0.17567379301127659</v>
      </c>
      <c r="G188">
        <v>-0.37781766753300777</v>
      </c>
      <c r="H188">
        <v>-0.37007259280106541</v>
      </c>
      <c r="I188">
        <v>-0.35964327957741443</v>
      </c>
      <c r="J188">
        <v>-0.34819403957447287</v>
      </c>
      <c r="K188">
        <v>-0.33654296118333155</v>
      </c>
      <c r="L188">
        <v>-0.32510217949246517</v>
      </c>
      <c r="M188">
        <v>-0.31407663265401975</v>
      </c>
    </row>
    <row r="189" spans="4:35">
      <c r="D189">
        <v>-4.8224793429701221E-2</v>
      </c>
      <c r="E189">
        <v>-0.14807714031460223</v>
      </c>
      <c r="F189">
        <v>-0.39960185472224091</v>
      </c>
      <c r="G189">
        <v>-0.39806352096890102</v>
      </c>
      <c r="H189">
        <v>-0.38990341628640918</v>
      </c>
      <c r="I189">
        <v>-0.37891523468494576</v>
      </c>
      <c r="J189">
        <v>-0.36685247219491274</v>
      </c>
      <c r="K189">
        <v>-0.35457705554289182</v>
      </c>
      <c r="L189">
        <v>-0.3425232046146397</v>
      </c>
      <c r="M189">
        <v>-0.33090683944099231</v>
      </c>
    </row>
    <row r="190" spans="4:35">
      <c r="D190">
        <v>-4.7842674069035411E-2</v>
      </c>
      <c r="E190">
        <v>-0.37722067178237051</v>
      </c>
      <c r="F190">
        <v>-0.39121207962760801</v>
      </c>
      <c r="G190">
        <v>-0.38970604370787043</v>
      </c>
      <c r="H190">
        <v>-0.38171726316270616</v>
      </c>
      <c r="I190">
        <v>-0.3709597821229289</v>
      </c>
      <c r="J190">
        <v>-0.359150281381097</v>
      </c>
      <c r="K190">
        <v>-0.34713259122280055</v>
      </c>
      <c r="L190">
        <v>-0.33533181494151809</v>
      </c>
      <c r="M190">
        <v>-0.32395933925454934</v>
      </c>
    </row>
    <row r="192" spans="4:35">
      <c r="AB192" s="1" t="s">
        <v>101</v>
      </c>
    </row>
    <row r="194" spans="2:28">
      <c r="B194" t="s">
        <v>101</v>
      </c>
      <c r="D194" cm="1">
        <f t="array" ref="D194:M203">(B2:K11-D206:M215)^2/(D206:M215)</f>
        <v>0.12155342926804692</v>
      </c>
      <c r="E194">
        <v>0.20079583545174709</v>
      </c>
      <c r="F194">
        <v>0.6149331169777279</v>
      </c>
      <c r="G194">
        <v>0.26334755197507409</v>
      </c>
      <c r="H194">
        <v>4.372616413667698E-2</v>
      </c>
      <c r="I194">
        <v>0.66188106082196618</v>
      </c>
      <c r="J194">
        <v>1.59415817723864</v>
      </c>
      <c r="K194">
        <v>2.0684754874823068</v>
      </c>
      <c r="L194">
        <v>2.8912099365018666</v>
      </c>
      <c r="M194">
        <v>2.4014312324271896</v>
      </c>
      <c r="O194">
        <f>1/7</f>
        <v>0.14285714285714285</v>
      </c>
      <c r="Q194" cm="1">
        <f t="array" ref="Q194:Z203">_xlfn.ANCHORARRAY(D194)*O194</f>
        <v>1.7364775609720988E-2</v>
      </c>
      <c r="R194">
        <v>2.8685119350249581E-2</v>
      </c>
      <c r="S194">
        <v>8.7847588139675414E-2</v>
      </c>
      <c r="T194">
        <v>3.7621078853582013E-2</v>
      </c>
      <c r="U194">
        <v>6.2465948766681394E-3</v>
      </c>
      <c r="V194">
        <v>9.4554437260280871E-2</v>
      </c>
      <c r="W194">
        <v>0.22773688246266283</v>
      </c>
      <c r="X194">
        <v>0.29549649821175811</v>
      </c>
      <c r="Y194">
        <v>0.41302999092883808</v>
      </c>
      <c r="Z194">
        <v>0.34306160463245566</v>
      </c>
      <c r="AB194" s="1">
        <f>SUM(_xlfn.ANCHORARRAY(Q206))</f>
        <v>6.5204237711582351</v>
      </c>
    </row>
    <row r="195" spans="2:28">
      <c r="D195">
        <v>0.54286736553885007</v>
      </c>
      <c r="E195">
        <v>8.1179454352361846E-2</v>
      </c>
      <c r="F195">
        <v>1.8569205158262632</v>
      </c>
      <c r="G195">
        <v>6.2982361971840956E-2</v>
      </c>
      <c r="H195">
        <v>8.1103372482061765E-3</v>
      </c>
      <c r="I195">
        <v>0.71412740952664244</v>
      </c>
      <c r="J195">
        <v>1.6593684327084486</v>
      </c>
      <c r="K195">
        <v>1.0598828543106251</v>
      </c>
      <c r="L195">
        <v>2.9535067727084803</v>
      </c>
      <c r="M195" t="e">
        <v>#DIV/0!</v>
      </c>
      <c r="Q195">
        <v>7.7552480791264297E-2</v>
      </c>
      <c r="R195">
        <v>1.1597064907480263E-2</v>
      </c>
      <c r="S195">
        <v>0.26527435940375188</v>
      </c>
      <c r="T195">
        <v>8.9974802816915646E-3</v>
      </c>
      <c r="U195">
        <v>1.1586196068865966E-3</v>
      </c>
      <c r="V195">
        <v>0.10201820136094891</v>
      </c>
      <c r="W195">
        <v>0.23705263324406406</v>
      </c>
      <c r="X195">
        <v>0.15141183633008928</v>
      </c>
      <c r="Y195">
        <v>0.42192953895835428</v>
      </c>
      <c r="Z195" t="e">
        <v>#DIV/0!</v>
      </c>
    </row>
    <row r="196" spans="2:28">
      <c r="D196">
        <v>1.9133066381286443</v>
      </c>
      <c r="E196">
        <v>0.10294332671174207</v>
      </c>
      <c r="F196">
        <v>1.2611706419683695</v>
      </c>
      <c r="G196">
        <v>6.5765101127806646E-4</v>
      </c>
      <c r="H196">
        <v>4.2697183848786997E-3</v>
      </c>
      <c r="I196">
        <v>0.24474277186035556</v>
      </c>
      <c r="J196">
        <v>1.6988460295106198</v>
      </c>
      <c r="K196">
        <v>1.0907698286107181</v>
      </c>
      <c r="L196" t="e">
        <v>#DIV/0!</v>
      </c>
      <c r="M196" t="e">
        <v>#DIV/0!</v>
      </c>
      <c r="Q196">
        <v>0.27332951973266345</v>
      </c>
      <c r="R196">
        <v>1.4706189530248867E-2</v>
      </c>
      <c r="S196">
        <v>0.18016723456690992</v>
      </c>
      <c r="T196">
        <v>9.3950144468295203E-5</v>
      </c>
      <c r="U196">
        <v>6.0995976926838562E-4</v>
      </c>
      <c r="V196">
        <v>3.4963253122907934E-2</v>
      </c>
      <c r="W196">
        <v>0.24269228993008854</v>
      </c>
      <c r="X196">
        <v>0.1558242612301026</v>
      </c>
      <c r="Y196" t="e">
        <v>#DIV/0!</v>
      </c>
      <c r="Z196" t="e">
        <v>#DIV/0!</v>
      </c>
    </row>
    <row r="197" spans="2:28">
      <c r="D197">
        <v>1.3784524299411391</v>
      </c>
      <c r="E197">
        <v>0.14656830173800844</v>
      </c>
      <c r="F197">
        <v>2.0501544988524425</v>
      </c>
      <c r="G197">
        <v>4.6172218935367008E-4</v>
      </c>
      <c r="H197">
        <v>5.1570096763312436E-4</v>
      </c>
      <c r="I197">
        <v>0.28059712275351562</v>
      </c>
      <c r="J197">
        <v>1.7681811240445864</v>
      </c>
      <c r="K197" t="e">
        <v>#DIV/0!</v>
      </c>
      <c r="L197" t="e">
        <v>#DIV/0!</v>
      </c>
      <c r="M197" t="e">
        <v>#DIV/0!</v>
      </c>
      <c r="Q197">
        <v>0.19692177570587702</v>
      </c>
      <c r="R197">
        <v>2.0938328819715493E-2</v>
      </c>
      <c r="S197">
        <v>0.29287921412177748</v>
      </c>
      <c r="T197">
        <v>6.5960312764810008E-5</v>
      </c>
      <c r="U197">
        <v>7.3671566804732049E-5</v>
      </c>
      <c r="V197">
        <v>4.0085303250502226E-2</v>
      </c>
      <c r="W197">
        <v>0.25259730343494091</v>
      </c>
      <c r="X197" t="e">
        <v>#DIV/0!</v>
      </c>
      <c r="Y197" t="e">
        <v>#DIV/0!</v>
      </c>
      <c r="Z197" t="e">
        <v>#DIV/0!</v>
      </c>
    </row>
    <row r="198" spans="2:28">
      <c r="D198">
        <v>1.2126361576708513</v>
      </c>
      <c r="E198">
        <v>0.18905237227513022</v>
      </c>
      <c r="F198">
        <v>2.1567452285265185</v>
      </c>
      <c r="G198">
        <v>0.12940734375970472</v>
      </c>
      <c r="H198">
        <v>0.10214337435656036</v>
      </c>
      <c r="I198">
        <v>0.85261177566061719</v>
      </c>
      <c r="J198" t="e">
        <v>#DIV/0!</v>
      </c>
      <c r="K198" t="e">
        <v>#DIV/0!</v>
      </c>
      <c r="L198" t="e">
        <v>#DIV/0!</v>
      </c>
      <c r="M198" t="e">
        <v>#DIV/0!</v>
      </c>
      <c r="Q198">
        <v>0.17323373681012161</v>
      </c>
      <c r="R198">
        <v>2.7007481753590031E-2</v>
      </c>
      <c r="S198">
        <v>0.30810646121807406</v>
      </c>
      <c r="T198">
        <v>1.848676339424353E-2</v>
      </c>
      <c r="U198">
        <v>1.4591910622365764E-2</v>
      </c>
      <c r="V198">
        <v>0.12180168223723102</v>
      </c>
      <c r="W198" t="e">
        <v>#DIV/0!</v>
      </c>
      <c r="X198" t="e">
        <v>#DIV/0!</v>
      </c>
      <c r="Y198" t="e">
        <v>#DIV/0!</v>
      </c>
      <c r="Z198" t="e">
        <v>#DIV/0!</v>
      </c>
    </row>
    <row r="199" spans="2:28">
      <c r="D199">
        <v>0.79115594425204749</v>
      </c>
      <c r="E199">
        <v>0.24035712603157749</v>
      </c>
      <c r="F199">
        <v>1.5573289897637175</v>
      </c>
      <c r="G199">
        <v>0.48559161837919296</v>
      </c>
      <c r="H199">
        <v>2.6142858960028223E-3</v>
      </c>
      <c r="I199" t="e">
        <v>#DIV/0!</v>
      </c>
      <c r="J199" t="e">
        <v>#DIV/0!</v>
      </c>
      <c r="K199" t="e">
        <v>#DIV/0!</v>
      </c>
      <c r="L199" t="e">
        <v>#DIV/0!</v>
      </c>
      <c r="M199" t="e">
        <v>#DIV/0!</v>
      </c>
      <c r="Q199">
        <v>0.1130222777502925</v>
      </c>
      <c r="R199">
        <v>3.4336732290225352E-2</v>
      </c>
      <c r="S199">
        <v>0.22247556996624535</v>
      </c>
      <c r="T199">
        <v>6.9370231197027565E-2</v>
      </c>
      <c r="U199">
        <v>3.7346941371468889E-4</v>
      </c>
      <c r="V199" t="e">
        <v>#DIV/0!</v>
      </c>
      <c r="W199" t="e">
        <v>#DIV/0!</v>
      </c>
      <c r="X199" t="e">
        <v>#DIV/0!</v>
      </c>
      <c r="Y199" t="e">
        <v>#DIV/0!</v>
      </c>
      <c r="Z199" t="e">
        <v>#DIV/0!</v>
      </c>
    </row>
    <row r="200" spans="2:28">
      <c r="D200">
        <v>0.30137991528896818</v>
      </c>
      <c r="E200">
        <v>0.12906640827906421</v>
      </c>
      <c r="F200">
        <v>2.0027026614387835</v>
      </c>
      <c r="G200" t="e">
        <v>#DIV/0!</v>
      </c>
      <c r="H200" t="e">
        <v>#DIV/0!</v>
      </c>
      <c r="I200" t="e">
        <v>#DIV/0!</v>
      </c>
      <c r="J200" t="e">
        <v>#DIV/0!</v>
      </c>
      <c r="K200" t="e">
        <v>#DIV/0!</v>
      </c>
      <c r="L200" t="e">
        <v>#DIV/0!</v>
      </c>
      <c r="M200" t="e">
        <v>#DIV/0!</v>
      </c>
      <c r="Q200">
        <v>4.3054273612709741E-2</v>
      </c>
      <c r="R200">
        <v>1.8438058325580601E-2</v>
      </c>
      <c r="S200">
        <v>0.28610038020554046</v>
      </c>
      <c r="T200" t="e">
        <v>#DIV/0!</v>
      </c>
      <c r="U200" t="e">
        <v>#DIV/0!</v>
      </c>
      <c r="V200" t="e">
        <v>#DIV/0!</v>
      </c>
      <c r="W200" t="e">
        <v>#DIV/0!</v>
      </c>
      <c r="X200" t="e">
        <v>#DIV/0!</v>
      </c>
      <c r="Y200" t="e">
        <v>#DIV/0!</v>
      </c>
      <c r="Z200" t="e">
        <v>#DIV/0!</v>
      </c>
    </row>
    <row r="201" spans="2:28">
      <c r="D201">
        <v>0.28853182645175957</v>
      </c>
      <c r="E201">
        <v>0.2022763928426313</v>
      </c>
      <c r="F201">
        <v>1.483598012874235</v>
      </c>
      <c r="G201" t="e">
        <v>#DIV/0!</v>
      </c>
      <c r="H201" t="e">
        <v>#DIV/0!</v>
      </c>
      <c r="I201" t="e">
        <v>#DIV/0!</v>
      </c>
      <c r="J201" t="e">
        <v>#DIV/0!</v>
      </c>
      <c r="K201" t="e">
        <v>#DIV/0!</v>
      </c>
      <c r="L201" t="e">
        <v>#DIV/0!</v>
      </c>
      <c r="M201" t="e">
        <v>#DIV/0!</v>
      </c>
      <c r="Q201">
        <v>4.1218832350251366E-2</v>
      </c>
      <c r="R201">
        <v>2.8896627548947326E-2</v>
      </c>
      <c r="S201">
        <v>0.21194257326774785</v>
      </c>
      <c r="T201" t="e">
        <v>#DIV/0!</v>
      </c>
      <c r="U201" t="e">
        <v>#DIV/0!</v>
      </c>
      <c r="V201" t="e">
        <v>#DIV/0!</v>
      </c>
      <c r="W201" t="e">
        <v>#DIV/0!</v>
      </c>
      <c r="X201" t="e">
        <v>#DIV/0!</v>
      </c>
      <c r="Y201" t="e">
        <v>#DIV/0!</v>
      </c>
      <c r="Z201" t="e">
        <v>#DIV/0!</v>
      </c>
    </row>
    <row r="202" spans="2:28">
      <c r="D202">
        <v>0.77432590888181807</v>
      </c>
      <c r="E202">
        <v>0.21668566135140596</v>
      </c>
      <c r="F202" t="e">
        <v>#DIV/0!</v>
      </c>
      <c r="G202" t="e">
        <v>#DIV/0!</v>
      </c>
      <c r="H202" t="e">
        <v>#DIV/0!</v>
      </c>
      <c r="I202" t="e">
        <v>#DIV/0!</v>
      </c>
      <c r="J202" t="e">
        <v>#DIV/0!</v>
      </c>
      <c r="K202" t="e">
        <v>#DIV/0!</v>
      </c>
      <c r="L202" t="e">
        <v>#DIV/0!</v>
      </c>
      <c r="M202" t="e">
        <v>#DIV/0!</v>
      </c>
      <c r="Q202">
        <v>0.11061798698311687</v>
      </c>
      <c r="R202">
        <v>3.0955094478772278E-2</v>
      </c>
      <c r="S202" t="e">
        <v>#DIV/0!</v>
      </c>
      <c r="T202" t="e">
        <v>#DIV/0!</v>
      </c>
      <c r="U202" t="e">
        <v>#DIV/0!</v>
      </c>
      <c r="V202" t="e">
        <v>#DIV/0!</v>
      </c>
      <c r="W202" t="e">
        <v>#DIV/0!</v>
      </c>
      <c r="X202" t="e">
        <v>#DIV/0!</v>
      </c>
      <c r="Y202" t="e">
        <v>#DIV/0!</v>
      </c>
      <c r="Z202" t="e">
        <v>#DIV/0!</v>
      </c>
    </row>
    <row r="203" spans="2:28">
      <c r="D203">
        <v>0.78266039098081508</v>
      </c>
      <c r="E203" t="e">
        <v>#DIV/0!</v>
      </c>
      <c r="F203" t="e">
        <v>#DIV/0!</v>
      </c>
      <c r="G203" t="e">
        <v>#DIV/0!</v>
      </c>
      <c r="H203" t="e">
        <v>#DIV/0!</v>
      </c>
      <c r="I203" t="e">
        <v>#DIV/0!</v>
      </c>
      <c r="J203" t="e">
        <v>#DIV/0!</v>
      </c>
      <c r="K203" t="e">
        <v>#DIV/0!</v>
      </c>
      <c r="L203" t="e">
        <v>#DIV/0!</v>
      </c>
      <c r="M203" t="e">
        <v>#DIV/0!</v>
      </c>
      <c r="Q203">
        <v>0.11180862728297358</v>
      </c>
      <c r="R203" t="e">
        <v>#DIV/0!</v>
      </c>
      <c r="S203" t="e">
        <v>#DIV/0!</v>
      </c>
      <c r="T203" t="e">
        <v>#DIV/0!</v>
      </c>
      <c r="U203" t="e">
        <v>#DIV/0!</v>
      </c>
      <c r="V203" t="e">
        <v>#DIV/0!</v>
      </c>
      <c r="W203" t="e">
        <v>#DIV/0!</v>
      </c>
      <c r="X203" t="e">
        <v>#DIV/0!</v>
      </c>
      <c r="Y203" t="e">
        <v>#DIV/0!</v>
      </c>
      <c r="Z203" t="e">
        <v>#DIV/0!</v>
      </c>
    </row>
    <row r="206" spans="2:28">
      <c r="B206" t="s">
        <v>105</v>
      </c>
      <c r="D206">
        <v>44.321072677179565</v>
      </c>
      <c r="E206">
        <v>20.004184875348795</v>
      </c>
      <c r="F206">
        <v>13.926397632676192</v>
      </c>
      <c r="G206">
        <v>10.676816472005767</v>
      </c>
      <c r="H206" s="10">
        <v>8.6137138296820783</v>
      </c>
      <c r="I206">
        <v>7.1799745860136737</v>
      </c>
      <c r="J206">
        <v>6.124697958887845</v>
      </c>
      <c r="K206">
        <v>5.31603499274103</v>
      </c>
      <c r="L206">
        <v>4.6774167122682568</v>
      </c>
      <c r="M206">
        <v>4.1611107864398384</v>
      </c>
      <c r="Q206" cm="1">
        <f t="array" ref="Q206:Z215">IFERROR(_xlfn.ANCHORARRAY(Q194),0)</f>
        <v>1.7364775609720988E-2</v>
      </c>
      <c r="R206">
        <v>2.8685119350249581E-2</v>
      </c>
      <c r="S206">
        <v>8.7847588139675414E-2</v>
      </c>
      <c r="T206">
        <v>3.7621078853582013E-2</v>
      </c>
      <c r="U206">
        <v>6.2465948766681394E-3</v>
      </c>
      <c r="V206">
        <v>9.4554437260280871E-2</v>
      </c>
      <c r="W206">
        <v>0.22773688246266283</v>
      </c>
      <c r="X206">
        <v>0.29549649821175811</v>
      </c>
      <c r="Y206">
        <v>0.41302999092883808</v>
      </c>
      <c r="Z206">
        <v>0.34306160463245566</v>
      </c>
    </row>
    <row r="207" spans="2:28">
      <c r="D207">
        <v>44.939235185157436</v>
      </c>
      <c r="E207">
        <v>20.283190692348473</v>
      </c>
      <c r="F207">
        <v>14.120634287335156</v>
      </c>
      <c r="G207">
        <v>10.82573000791287</v>
      </c>
      <c r="H207" s="10">
        <v>8.7338525046357081</v>
      </c>
      <c r="I207">
        <v>7.2801163657407892</v>
      </c>
      <c r="J207">
        <v>6.210121402459472</v>
      </c>
      <c r="K207">
        <v>5.3901797127379112</v>
      </c>
      <c r="L207">
        <v>4.7426543852545002</v>
      </c>
      <c r="M207">
        <v>0</v>
      </c>
      <c r="Q207">
        <v>7.7552480791264297E-2</v>
      </c>
      <c r="R207">
        <v>1.1597064907480263E-2</v>
      </c>
      <c r="S207">
        <v>0.26527435940375188</v>
      </c>
      <c r="T207">
        <v>8.9974802816915646E-3</v>
      </c>
      <c r="U207">
        <v>1.1586196068865966E-3</v>
      </c>
      <c r="V207">
        <v>0.10201820136094891</v>
      </c>
      <c r="W207">
        <v>0.23705263324406406</v>
      </c>
      <c r="X207">
        <v>0.15141183633008928</v>
      </c>
      <c r="Y207">
        <v>0.42192953895835428</v>
      </c>
      <c r="Z207">
        <v>0</v>
      </c>
    </row>
    <row r="208" spans="2:28">
      <c r="D208">
        <v>45.310947098044565</v>
      </c>
      <c r="E208">
        <v>20.450961763232151</v>
      </c>
      <c r="F208">
        <v>14.237432180323298</v>
      </c>
      <c r="G208">
        <v>10.915274317980924</v>
      </c>
      <c r="H208" s="10">
        <v>8.8060939882300815</v>
      </c>
      <c r="I208">
        <v>7.3403333669692437</v>
      </c>
      <c r="J208">
        <v>6.2614880110868469</v>
      </c>
      <c r="K208">
        <v>5.4347642278853554</v>
      </c>
      <c r="L208">
        <v>0</v>
      </c>
      <c r="M208">
        <v>0</v>
      </c>
      <c r="Q208">
        <v>0.27332951973266345</v>
      </c>
      <c r="R208">
        <v>1.4706189530248867E-2</v>
      </c>
      <c r="S208">
        <v>0.18016723456690992</v>
      </c>
      <c r="T208">
        <v>9.3950144468295203E-5</v>
      </c>
      <c r="U208">
        <v>6.0995976926838562E-4</v>
      </c>
      <c r="V208">
        <v>3.4963253122907934E-2</v>
      </c>
      <c r="W208">
        <v>0.24269228993008854</v>
      </c>
      <c r="X208">
        <v>0.1558242612301026</v>
      </c>
      <c r="Y208">
        <v>0</v>
      </c>
      <c r="Z208">
        <v>0</v>
      </c>
    </row>
    <row r="209" spans="4:26">
      <c r="D209">
        <v>45.959454898661747</v>
      </c>
      <c r="E209">
        <v>20.743663838182865</v>
      </c>
      <c r="F209">
        <v>14.441203816562087</v>
      </c>
      <c r="G209">
        <v>11.071497945921653</v>
      </c>
      <c r="H209" s="10">
        <v>8.9321302114848748</v>
      </c>
      <c r="I209">
        <v>7.445391057273306</v>
      </c>
      <c r="J209">
        <v>6.3511048493726223</v>
      </c>
      <c r="K209">
        <v>0</v>
      </c>
      <c r="L209">
        <v>0</v>
      </c>
      <c r="M209">
        <v>0</v>
      </c>
      <c r="Q209">
        <v>0.19692177570587702</v>
      </c>
      <c r="R209">
        <v>2.0938328819715493E-2</v>
      </c>
      <c r="S209">
        <v>0.29287921412177748</v>
      </c>
      <c r="T209">
        <v>6.5960312764810008E-5</v>
      </c>
      <c r="U209">
        <v>7.3671566804732049E-5</v>
      </c>
      <c r="V209">
        <v>4.0085303250502226E-2</v>
      </c>
      <c r="W209">
        <v>0.25259730343494091</v>
      </c>
      <c r="X209">
        <v>0</v>
      </c>
      <c r="Y209">
        <v>0</v>
      </c>
      <c r="Z209">
        <v>0</v>
      </c>
    </row>
    <row r="210" spans="4:26">
      <c r="D210">
        <v>46.50997158707915</v>
      </c>
      <c r="E210">
        <v>20.99213791488852</v>
      </c>
      <c r="F210">
        <v>14.614185060995558</v>
      </c>
      <c r="G210">
        <v>11.204115802213641</v>
      </c>
      <c r="H210" s="10">
        <v>9.0391220536505834</v>
      </c>
      <c r="I210">
        <v>7.5345742740425274</v>
      </c>
      <c r="J210">
        <v>0</v>
      </c>
      <c r="K210">
        <v>0</v>
      </c>
      <c r="L210">
        <v>0</v>
      </c>
      <c r="M210">
        <v>0</v>
      </c>
      <c r="Q210">
        <v>0.17323373681012161</v>
      </c>
      <c r="R210">
        <v>2.7007481753590031E-2</v>
      </c>
      <c r="S210">
        <v>0.30810646121807406</v>
      </c>
      <c r="T210">
        <v>1.848676339424353E-2</v>
      </c>
      <c r="U210">
        <v>1.4591910622365764E-2</v>
      </c>
      <c r="V210">
        <v>0.12180168223723102</v>
      </c>
      <c r="W210">
        <v>0</v>
      </c>
      <c r="X210">
        <v>0</v>
      </c>
      <c r="Y210">
        <v>0</v>
      </c>
      <c r="Z210">
        <v>0</v>
      </c>
    </row>
    <row r="211" spans="4:26">
      <c r="D211">
        <v>47.104682599505459</v>
      </c>
      <c r="E211">
        <v>21.260558968833529</v>
      </c>
      <c r="F211">
        <v>14.801052876580821</v>
      </c>
      <c r="G211">
        <v>11.347379941595038</v>
      </c>
      <c r="H211" s="10">
        <v>9.1547029762900838</v>
      </c>
      <c r="I211">
        <v>0</v>
      </c>
      <c r="J211">
        <v>0</v>
      </c>
      <c r="K211">
        <v>0</v>
      </c>
      <c r="L211">
        <v>0</v>
      </c>
      <c r="M211">
        <v>0</v>
      </c>
      <c r="Q211">
        <v>0.1130222777502925</v>
      </c>
      <c r="R211">
        <v>3.4336732290225352E-2</v>
      </c>
      <c r="S211">
        <v>0.22247556996624535</v>
      </c>
      <c r="T211">
        <v>6.9370231197027565E-2</v>
      </c>
      <c r="U211">
        <v>3.7346941371468889E-4</v>
      </c>
      <c r="V211">
        <v>0</v>
      </c>
      <c r="W211">
        <v>0</v>
      </c>
      <c r="X211">
        <v>0</v>
      </c>
      <c r="Y211">
        <v>0</v>
      </c>
      <c r="Z211">
        <v>0</v>
      </c>
    </row>
    <row r="212" spans="4:26">
      <c r="D212">
        <v>45.711681940992882</v>
      </c>
      <c r="E212">
        <v>20.631832247634019</v>
      </c>
      <c r="F212">
        <v>14.363349547188829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Q212">
        <v>4.3054273612709741E-2</v>
      </c>
      <c r="R212">
        <v>1.8438058325580601E-2</v>
      </c>
      <c r="S212">
        <v>0.28610038020554046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</row>
    <row r="213" spans="4:26">
      <c r="D213">
        <v>46.669557559479358</v>
      </c>
      <c r="E213">
        <v>21.064166570843181</v>
      </c>
      <c r="F213">
        <v>14.664329553761567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Q213">
        <v>4.1218832350251366E-2</v>
      </c>
      <c r="R213">
        <v>2.8896627548947326E-2</v>
      </c>
      <c r="S213">
        <v>0.21194257326774785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</row>
    <row r="214" spans="4:26">
      <c r="D214">
        <v>49.170406787724232</v>
      </c>
      <c r="E214">
        <v>22.192917462581921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Q214">
        <v>0.11061798698311687</v>
      </c>
      <c r="R214">
        <v>3.0955094478772278E-2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</row>
    <row r="215" spans="4:26">
      <c r="D215">
        <v>48.138057589677189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Q215">
        <v>0.11180862728297358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83708-5E45-414D-ADC8-6472BA6025F4}">
  <dimension ref="A1:AT68"/>
  <sheetViews>
    <sheetView workbookViewId="0">
      <selection activeCell="I21" sqref="I21"/>
    </sheetView>
  </sheetViews>
  <sheetFormatPr defaultRowHeight="15"/>
  <sheetData>
    <row r="1" spans="1:25">
      <c r="A1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 t="s">
        <v>36</v>
      </c>
      <c r="N1" t="s">
        <v>13</v>
      </c>
      <c r="P1">
        <v>0.35456455207993742</v>
      </c>
      <c r="Q1">
        <v>0.1600316603732449</v>
      </c>
      <c r="R1">
        <v>0.11140991497841968</v>
      </c>
      <c r="S1">
        <v>8.5413561120455395E-2</v>
      </c>
      <c r="T1">
        <v>6.8908927543590792E-2</v>
      </c>
      <c r="U1">
        <v>5.7439143938997184E-2</v>
      </c>
      <c r="V1">
        <v>4.8997026859778803E-2</v>
      </c>
      <c r="W1">
        <v>4.2527796648139327E-2</v>
      </c>
      <c r="X1">
        <v>3.7418908462712452E-2</v>
      </c>
      <c r="Y1">
        <v>3.3288507994724048E-2</v>
      </c>
    </row>
    <row r="2" spans="1:25">
      <c r="A2">
        <v>2000</v>
      </c>
      <c r="B2">
        <v>42</v>
      </c>
      <c r="C2">
        <v>18</v>
      </c>
      <c r="D2">
        <v>11</v>
      </c>
      <c r="E2">
        <v>9</v>
      </c>
      <c r="F2">
        <v>8</v>
      </c>
      <c r="G2">
        <v>5</v>
      </c>
      <c r="H2">
        <v>3</v>
      </c>
      <c r="I2">
        <v>2</v>
      </c>
      <c r="J2">
        <v>1</v>
      </c>
      <c r="K2">
        <v>1</v>
      </c>
      <c r="L2">
        <v>125.00142052324304</v>
      </c>
      <c r="M2">
        <v>100.00113641859444</v>
      </c>
      <c r="O2">
        <v>125.00142052324304</v>
      </c>
      <c r="P2">
        <v>44.321072677179565</v>
      </c>
      <c r="Q2">
        <v>20.004184875348795</v>
      </c>
      <c r="R2">
        <v>13.926397632676192</v>
      </c>
      <c r="S2">
        <v>10.676816472005767</v>
      </c>
      <c r="T2">
        <v>8.6137138296820783</v>
      </c>
      <c r="U2">
        <v>7.1799745860136737</v>
      </c>
      <c r="V2">
        <v>6.124697958887845</v>
      </c>
      <c r="W2">
        <v>5.31603499274103</v>
      </c>
      <c r="X2">
        <v>4.6774167122682568</v>
      </c>
      <c r="Y2">
        <v>4.1611107864398384</v>
      </c>
    </row>
    <row r="3" spans="1:25">
      <c r="A3">
        <v>2001</v>
      </c>
      <c r="B3">
        <v>40</v>
      </c>
      <c r="C3">
        <v>19</v>
      </c>
      <c r="D3">
        <v>9</v>
      </c>
      <c r="E3">
        <v>10</v>
      </c>
      <c r="F3">
        <v>9</v>
      </c>
      <c r="G3">
        <v>5</v>
      </c>
      <c r="H3">
        <v>3</v>
      </c>
      <c r="I3">
        <v>3</v>
      </c>
      <c r="J3">
        <v>1</v>
      </c>
      <c r="K3">
        <v>0</v>
      </c>
      <c r="L3">
        <v>126.74486189196313</v>
      </c>
      <c r="M3">
        <v>101.39588951357051</v>
      </c>
      <c r="O3">
        <v>126.74486189196314</v>
      </c>
      <c r="P3">
        <v>44.939235185157436</v>
      </c>
      <c r="Q3">
        <v>20.283190692348473</v>
      </c>
      <c r="R3">
        <v>14.120634287335156</v>
      </c>
      <c r="S3">
        <v>10.82573000791287</v>
      </c>
      <c r="T3">
        <v>8.7338525046357081</v>
      </c>
      <c r="U3">
        <v>7.2801163657407892</v>
      </c>
      <c r="V3">
        <v>6.210121402459472</v>
      </c>
      <c r="W3">
        <v>5.3901797127379112</v>
      </c>
      <c r="X3">
        <v>4.7426543852545002</v>
      </c>
      <c r="Y3">
        <v>4.21914734838081</v>
      </c>
    </row>
    <row r="4" spans="1:25">
      <c r="A4">
        <v>2002</v>
      </c>
      <c r="B4">
        <v>36</v>
      </c>
      <c r="C4">
        <v>19</v>
      </c>
      <c r="D4">
        <v>10</v>
      </c>
      <c r="E4">
        <v>11</v>
      </c>
      <c r="F4">
        <v>9</v>
      </c>
      <c r="G4">
        <v>6</v>
      </c>
      <c r="H4">
        <v>3</v>
      </c>
      <c r="I4">
        <v>3</v>
      </c>
      <c r="J4">
        <v>0</v>
      </c>
      <c r="K4">
        <v>0</v>
      </c>
      <c r="L4">
        <v>127.79322363796003</v>
      </c>
      <c r="M4">
        <v>102.23457891036803</v>
      </c>
      <c r="O4">
        <v>127.79322363796</v>
      </c>
      <c r="P4">
        <v>45.310947098044565</v>
      </c>
      <c r="Q4">
        <v>20.450961763232151</v>
      </c>
      <c r="R4">
        <v>14.237432180323298</v>
      </c>
      <c r="S4">
        <v>10.915274317980924</v>
      </c>
      <c r="T4">
        <v>8.8060939882300815</v>
      </c>
      <c r="U4">
        <v>7.3403333669692437</v>
      </c>
      <c r="V4">
        <v>6.2614880110868469</v>
      </c>
      <c r="W4">
        <v>5.4347642278853554</v>
      </c>
      <c r="X4">
        <v>4.7818829374637675</v>
      </c>
      <c r="Y4">
        <v>4.2540457467437909</v>
      </c>
    </row>
    <row r="5" spans="1:25">
      <c r="A5">
        <v>2003</v>
      </c>
      <c r="B5">
        <v>38</v>
      </c>
      <c r="C5">
        <v>19</v>
      </c>
      <c r="D5">
        <v>9</v>
      </c>
      <c r="E5">
        <v>11</v>
      </c>
      <c r="F5">
        <v>9</v>
      </c>
      <c r="G5">
        <v>6</v>
      </c>
      <c r="H5">
        <v>3</v>
      </c>
      <c r="I5">
        <v>0</v>
      </c>
      <c r="J5">
        <v>0</v>
      </c>
      <c r="K5">
        <v>0</v>
      </c>
      <c r="L5">
        <v>129.6222496836065</v>
      </c>
      <c r="M5">
        <v>103.69779974688521</v>
      </c>
      <c r="O5">
        <v>129.6222496836065</v>
      </c>
      <c r="P5">
        <v>45.959454898661747</v>
      </c>
      <c r="Q5">
        <v>20.743663838182865</v>
      </c>
      <c r="R5">
        <v>14.441203816562087</v>
      </c>
      <c r="S5">
        <v>11.071497945921653</v>
      </c>
      <c r="T5">
        <v>8.9321302114848748</v>
      </c>
      <c r="U5">
        <v>7.445391057273306</v>
      </c>
      <c r="V5">
        <v>6.3511048493726223</v>
      </c>
      <c r="W5">
        <v>5.5125486756187589</v>
      </c>
      <c r="X5">
        <v>4.8503230956417296</v>
      </c>
      <c r="Y5">
        <v>4.3149312948868515</v>
      </c>
    </row>
    <row r="6" spans="1:25">
      <c r="A6">
        <v>2004</v>
      </c>
      <c r="B6">
        <v>39</v>
      </c>
      <c r="C6">
        <v>19</v>
      </c>
      <c r="D6">
        <v>9</v>
      </c>
      <c r="E6">
        <v>10</v>
      </c>
      <c r="F6">
        <v>10</v>
      </c>
      <c r="G6">
        <v>5</v>
      </c>
      <c r="H6">
        <v>0</v>
      </c>
      <c r="I6">
        <v>0</v>
      </c>
      <c r="J6">
        <v>0</v>
      </c>
      <c r="K6">
        <v>0</v>
      </c>
      <c r="L6">
        <v>131.17490542763949</v>
      </c>
      <c r="M6">
        <v>104.9399243421116</v>
      </c>
      <c r="O6">
        <v>131.17490542763949</v>
      </c>
      <c r="P6">
        <v>46.50997158707915</v>
      </c>
      <c r="Q6">
        <v>20.99213791488852</v>
      </c>
      <c r="R6">
        <v>14.614185060995558</v>
      </c>
      <c r="S6">
        <v>11.204115802213641</v>
      </c>
      <c r="T6">
        <v>9.0391220536505834</v>
      </c>
      <c r="U6">
        <v>7.5345742740425274</v>
      </c>
      <c r="V6">
        <v>6.427180364566996</v>
      </c>
      <c r="W6">
        <v>5.57857970336556</v>
      </c>
      <c r="X6">
        <v>4.908421778801805</v>
      </c>
      <c r="Y6">
        <v>4.3666168880351481</v>
      </c>
    </row>
    <row r="7" spans="1:25">
      <c r="A7">
        <v>2005</v>
      </c>
      <c r="B7">
        <v>41</v>
      </c>
      <c r="C7">
        <v>19</v>
      </c>
      <c r="D7">
        <v>10</v>
      </c>
      <c r="E7">
        <v>9</v>
      </c>
      <c r="F7">
        <v>9</v>
      </c>
      <c r="G7">
        <v>0</v>
      </c>
      <c r="H7">
        <v>0</v>
      </c>
      <c r="I7">
        <v>0</v>
      </c>
      <c r="J7">
        <v>0</v>
      </c>
      <c r="K7">
        <v>0</v>
      </c>
      <c r="L7">
        <v>132.85220511520734</v>
      </c>
      <c r="M7">
        <v>106.28176409216587</v>
      </c>
      <c r="O7">
        <v>132.85220511520731</v>
      </c>
      <c r="P7">
        <v>47.104682599505459</v>
      </c>
      <c r="Q7">
        <v>21.260558968833529</v>
      </c>
      <c r="R7">
        <v>14.801052876580821</v>
      </c>
      <c r="S7">
        <v>11.347379941595038</v>
      </c>
      <c r="T7">
        <v>9.1547029762900838</v>
      </c>
      <c r="U7">
        <v>7.6309169322255723</v>
      </c>
      <c r="V7">
        <v>6.5093630624106567</v>
      </c>
      <c r="W7">
        <v>5.649911563396433</v>
      </c>
      <c r="X7">
        <v>4.9711845022754426</v>
      </c>
      <c r="Y7">
        <v>4.4224516920942989</v>
      </c>
    </row>
    <row r="8" spans="1:25">
      <c r="A8">
        <v>2006</v>
      </c>
      <c r="B8">
        <v>42</v>
      </c>
      <c r="C8">
        <v>19</v>
      </c>
      <c r="D8">
        <v>9</v>
      </c>
      <c r="E8">
        <v>9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128.9234405211694</v>
      </c>
      <c r="M8">
        <v>103.13875241693553</v>
      </c>
      <c r="O8">
        <v>128.9234405211694</v>
      </c>
      <c r="P8">
        <v>45.711681940992882</v>
      </c>
      <c r="Q8">
        <v>20.631832247634019</v>
      </c>
      <c r="R8">
        <v>14.363349547188829</v>
      </c>
      <c r="S8">
        <v>11.011810166814298</v>
      </c>
      <c r="T8">
        <v>8.8839760215436989</v>
      </c>
      <c r="U8">
        <v>7.4052520572061908</v>
      </c>
      <c r="V8">
        <v>6.3168652780708321</v>
      </c>
      <c r="W8">
        <v>5.4828298616627773</v>
      </c>
      <c r="X8">
        <v>4.8241744195595908</v>
      </c>
      <c r="Y8">
        <v>4.2916689804962775</v>
      </c>
    </row>
    <row r="9" spans="1:25">
      <c r="A9">
        <v>2007</v>
      </c>
      <c r="B9">
        <v>43</v>
      </c>
      <c r="C9">
        <v>19</v>
      </c>
      <c r="D9">
        <v>10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131.62499546474007</v>
      </c>
      <c r="M9">
        <v>105.29999637179206</v>
      </c>
      <c r="O9">
        <v>131.62499546474007</v>
      </c>
      <c r="P9">
        <v>46.669557559479358</v>
      </c>
      <c r="Q9">
        <v>21.064166570843181</v>
      </c>
      <c r="R9">
        <v>14.664329553761567</v>
      </c>
      <c r="S9">
        <v>11.24255959510724</v>
      </c>
      <c r="T9">
        <v>9.0701372754052407</v>
      </c>
      <c r="U9">
        <v>7.5604270604690562</v>
      </c>
      <c r="V9">
        <v>6.4492334382041321</v>
      </c>
      <c r="W9">
        <v>5.5977210409367268</v>
      </c>
      <c r="X9">
        <v>4.9252636567000501</v>
      </c>
      <c r="Y9">
        <v>4.3815997138335163</v>
      </c>
    </row>
    <row r="10" spans="1:25">
      <c r="A10">
        <v>2008</v>
      </c>
      <c r="B10">
        <v>43</v>
      </c>
      <c r="C10">
        <v>20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138.67829285043319</v>
      </c>
      <c r="M10">
        <v>110.94263428034657</v>
      </c>
      <c r="O10">
        <v>138.67829285043319</v>
      </c>
      <c r="P10">
        <v>49.170406787724232</v>
      </c>
      <c r="Q10">
        <v>22.192917462581921</v>
      </c>
      <c r="R10">
        <v>15.450136815819148</v>
      </c>
      <c r="S10">
        <v>11.845006842460888</v>
      </c>
      <c r="T10">
        <v>9.5561724338993663</v>
      </c>
      <c r="U10">
        <v>7.9655624242504359</v>
      </c>
      <c r="V10">
        <v>6.7948240396609458</v>
      </c>
      <c r="W10">
        <v>5.8976822378543368</v>
      </c>
      <c r="X10">
        <v>5.1891903459355904</v>
      </c>
      <c r="Y10">
        <v>4.6163934602463286</v>
      </c>
    </row>
    <row r="11" spans="1:25">
      <c r="A11">
        <v>2009</v>
      </c>
      <c r="B11">
        <v>42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135.76669553482139</v>
      </c>
      <c r="M11">
        <v>108.61335642785713</v>
      </c>
      <c r="O11">
        <v>135.76669553482139</v>
      </c>
      <c r="P11">
        <v>48.138057589677189</v>
      </c>
      <c r="Q11">
        <v>21.726969709826282</v>
      </c>
      <c r="R11">
        <v>15.125756006435441</v>
      </c>
      <c r="S11">
        <v>11.596316947185725</v>
      </c>
      <c r="T11">
        <v>9.3555373854417585</v>
      </c>
      <c r="U11">
        <v>7.7983227669466126</v>
      </c>
      <c r="V11">
        <v>6.6521644277830552</v>
      </c>
      <c r="W11">
        <v>5.7738584192947302</v>
      </c>
      <c r="X11">
        <v>5.0802415525024331</v>
      </c>
      <c r="Y11">
        <v>4.5194707297281678</v>
      </c>
    </row>
    <row r="14" spans="1:25"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</row>
    <row r="15" spans="1:25"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0</v>
      </c>
    </row>
    <row r="16" spans="1:25"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0</v>
      </c>
      <c r="Y16">
        <v>0</v>
      </c>
    </row>
    <row r="17" spans="2:25"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0</v>
      </c>
      <c r="X17">
        <v>0</v>
      </c>
      <c r="Y17">
        <v>0</v>
      </c>
    </row>
    <row r="18" spans="2:25"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0</v>
      </c>
      <c r="W18">
        <v>0</v>
      </c>
      <c r="X18">
        <v>0</v>
      </c>
      <c r="Y18">
        <v>0</v>
      </c>
    </row>
    <row r="19" spans="2:25">
      <c r="P19">
        <v>1</v>
      </c>
      <c r="Q19">
        <v>1</v>
      </c>
      <c r="R19">
        <v>1</v>
      </c>
      <c r="S19">
        <v>1</v>
      </c>
      <c r="T19">
        <v>1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2:25">
      <c r="P20">
        <v>1</v>
      </c>
      <c r="Q20">
        <v>1</v>
      </c>
      <c r="R20">
        <v>1</v>
      </c>
      <c r="S20">
        <v>1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2:25">
      <c r="P21">
        <v>1</v>
      </c>
      <c r="Q21">
        <v>1</v>
      </c>
      <c r="R21">
        <v>1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2:25">
      <c r="P22">
        <v>1</v>
      </c>
      <c r="Q22">
        <v>1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2:25">
      <c r="P23">
        <v>1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5" spans="2:25">
      <c r="B25">
        <v>42</v>
      </c>
      <c r="C25">
        <v>18</v>
      </c>
      <c r="D25">
        <v>11</v>
      </c>
      <c r="E25">
        <v>9</v>
      </c>
      <c r="F25">
        <v>8</v>
      </c>
      <c r="G25">
        <v>5</v>
      </c>
      <c r="H25">
        <v>3</v>
      </c>
      <c r="I25">
        <v>2</v>
      </c>
      <c r="J25">
        <v>1</v>
      </c>
      <c r="K25">
        <v>1</v>
      </c>
      <c r="P25" cm="1">
        <f t="array" ref="P25:Y34">P2:Y11*P14:Y23</f>
        <v>44.321072677179565</v>
      </c>
      <c r="Q25">
        <v>20.004184875348795</v>
      </c>
      <c r="R25">
        <v>13.926397632676192</v>
      </c>
      <c r="S25">
        <v>10.676816472005767</v>
      </c>
      <c r="T25">
        <v>8.6137138296820783</v>
      </c>
      <c r="U25">
        <v>7.1799745860136737</v>
      </c>
      <c r="V25">
        <v>6.124697958887845</v>
      </c>
      <c r="W25">
        <v>5.31603499274103</v>
      </c>
      <c r="X25">
        <v>4.6774167122682568</v>
      </c>
      <c r="Y25">
        <v>4.1611107864398384</v>
      </c>
    </row>
    <row r="26" spans="2:25">
      <c r="B26">
        <v>40</v>
      </c>
      <c r="C26">
        <v>19</v>
      </c>
      <c r="D26">
        <v>9</v>
      </c>
      <c r="E26">
        <v>10</v>
      </c>
      <c r="F26">
        <v>9</v>
      </c>
      <c r="G26">
        <v>5</v>
      </c>
      <c r="H26">
        <v>3</v>
      </c>
      <c r="I26">
        <v>3</v>
      </c>
      <c r="J26">
        <v>1</v>
      </c>
      <c r="K26">
        <v>0</v>
      </c>
      <c r="P26">
        <v>44.939235185157436</v>
      </c>
      <c r="Q26">
        <v>20.283190692348473</v>
      </c>
      <c r="R26">
        <v>14.120634287335156</v>
      </c>
      <c r="S26">
        <v>10.82573000791287</v>
      </c>
      <c r="T26">
        <v>8.7338525046357081</v>
      </c>
      <c r="U26">
        <v>7.2801163657407892</v>
      </c>
      <c r="V26">
        <v>6.210121402459472</v>
      </c>
      <c r="W26">
        <v>5.3901797127379112</v>
      </c>
      <c r="X26">
        <v>4.7426543852545002</v>
      </c>
      <c r="Y26">
        <v>0</v>
      </c>
    </row>
    <row r="27" spans="2:25">
      <c r="B27">
        <v>36</v>
      </c>
      <c r="C27">
        <v>19</v>
      </c>
      <c r="D27">
        <v>10</v>
      </c>
      <c r="E27">
        <v>11</v>
      </c>
      <c r="F27">
        <v>9</v>
      </c>
      <c r="G27">
        <v>6</v>
      </c>
      <c r="H27">
        <v>3</v>
      </c>
      <c r="I27">
        <v>3</v>
      </c>
      <c r="J27">
        <v>0</v>
      </c>
      <c r="K27">
        <v>0</v>
      </c>
      <c r="P27">
        <v>45.310947098044565</v>
      </c>
      <c r="Q27">
        <v>20.450961763232151</v>
      </c>
      <c r="R27">
        <v>14.237432180323298</v>
      </c>
      <c r="S27">
        <v>10.915274317980924</v>
      </c>
      <c r="T27">
        <v>8.8060939882300815</v>
      </c>
      <c r="U27">
        <v>7.3403333669692437</v>
      </c>
      <c r="V27">
        <v>6.2614880110868469</v>
      </c>
      <c r="W27">
        <v>5.4347642278853554</v>
      </c>
      <c r="X27">
        <v>0</v>
      </c>
      <c r="Y27">
        <v>0</v>
      </c>
    </row>
    <row r="28" spans="2:25">
      <c r="B28">
        <v>38</v>
      </c>
      <c r="C28">
        <v>19</v>
      </c>
      <c r="D28">
        <v>9</v>
      </c>
      <c r="E28">
        <v>11</v>
      </c>
      <c r="F28">
        <v>9</v>
      </c>
      <c r="G28">
        <v>6</v>
      </c>
      <c r="H28">
        <v>3</v>
      </c>
      <c r="I28">
        <v>0</v>
      </c>
      <c r="J28">
        <v>0</v>
      </c>
      <c r="K28">
        <v>0</v>
      </c>
      <c r="P28">
        <v>45.959454898661747</v>
      </c>
      <c r="Q28">
        <v>20.743663838182865</v>
      </c>
      <c r="R28">
        <v>14.441203816562087</v>
      </c>
      <c r="S28">
        <v>11.071497945921653</v>
      </c>
      <c r="T28">
        <v>8.9321302114848748</v>
      </c>
      <c r="U28">
        <v>7.445391057273306</v>
      </c>
      <c r="V28">
        <v>6.3511048493726223</v>
      </c>
      <c r="W28">
        <v>0</v>
      </c>
      <c r="X28">
        <v>0</v>
      </c>
      <c r="Y28">
        <v>0</v>
      </c>
    </row>
    <row r="29" spans="2:25">
      <c r="B29">
        <v>39</v>
      </c>
      <c r="C29">
        <v>19</v>
      </c>
      <c r="D29">
        <v>9</v>
      </c>
      <c r="E29">
        <v>10</v>
      </c>
      <c r="F29">
        <v>10</v>
      </c>
      <c r="G29">
        <v>5</v>
      </c>
      <c r="H29">
        <v>0</v>
      </c>
      <c r="I29">
        <v>0</v>
      </c>
      <c r="J29">
        <v>0</v>
      </c>
      <c r="K29">
        <v>0</v>
      </c>
      <c r="P29">
        <v>46.50997158707915</v>
      </c>
      <c r="Q29">
        <v>20.99213791488852</v>
      </c>
      <c r="R29">
        <v>14.614185060995558</v>
      </c>
      <c r="S29">
        <v>11.204115802213641</v>
      </c>
      <c r="T29">
        <v>9.0391220536505834</v>
      </c>
      <c r="U29">
        <v>7.5345742740425274</v>
      </c>
      <c r="V29">
        <v>0</v>
      </c>
      <c r="W29">
        <v>0</v>
      </c>
      <c r="X29">
        <v>0</v>
      </c>
      <c r="Y29">
        <v>0</v>
      </c>
    </row>
    <row r="30" spans="2:25">
      <c r="B30">
        <v>41</v>
      </c>
      <c r="C30">
        <v>19</v>
      </c>
      <c r="D30">
        <v>10</v>
      </c>
      <c r="E30">
        <v>9</v>
      </c>
      <c r="F30">
        <v>9</v>
      </c>
      <c r="G30">
        <v>0</v>
      </c>
      <c r="H30">
        <v>0</v>
      </c>
      <c r="I30">
        <v>0</v>
      </c>
      <c r="J30">
        <v>0</v>
      </c>
      <c r="K30">
        <v>0</v>
      </c>
      <c r="P30">
        <v>47.104682599505459</v>
      </c>
      <c r="Q30">
        <v>21.260558968833529</v>
      </c>
      <c r="R30">
        <v>14.801052876580821</v>
      </c>
      <c r="S30">
        <v>11.347379941595038</v>
      </c>
      <c r="T30">
        <v>9.1547029762900838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2:25">
      <c r="B31">
        <v>42</v>
      </c>
      <c r="C31">
        <v>19</v>
      </c>
      <c r="D31">
        <v>9</v>
      </c>
      <c r="E31">
        <v>9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P31">
        <v>45.711681940992882</v>
      </c>
      <c r="Q31">
        <v>20.631832247634019</v>
      </c>
      <c r="R31">
        <v>14.363349547188829</v>
      </c>
      <c r="S31">
        <v>11.011810166814298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2:25">
      <c r="B32">
        <v>43</v>
      </c>
      <c r="C32">
        <v>19</v>
      </c>
      <c r="D32">
        <v>10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P32">
        <v>46.669557559479358</v>
      </c>
      <c r="Q32">
        <v>21.064166570843181</v>
      </c>
      <c r="R32">
        <v>14.664329553761567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2:25">
      <c r="B33">
        <v>43</v>
      </c>
      <c r="C33">
        <v>20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P33">
        <v>49.170406787724232</v>
      </c>
      <c r="Q33">
        <v>22.192917462581921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2:25">
      <c r="B34">
        <v>42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P34">
        <v>48.138057589677189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8" spans="2:25">
      <c r="B38" cm="1">
        <f t="array" ref="B38:K47">B25:K34-_xlfn.ANCHORARRAY(P25)</f>
        <v>-2.3210726771795649</v>
      </c>
      <c r="C38">
        <v>-2.0041848753487947</v>
      </c>
      <c r="D38">
        <v>-2.926397632676192</v>
      </c>
      <c r="E38">
        <v>-1.6768164720057666</v>
      </c>
      <c r="F38">
        <v>-0.61371382968207833</v>
      </c>
      <c r="G38">
        <v>-2.1799745860136737</v>
      </c>
      <c r="H38">
        <v>-3.124697958887845</v>
      </c>
      <c r="I38">
        <v>-3.31603499274103</v>
      </c>
      <c r="J38">
        <v>-3.6774167122682568</v>
      </c>
      <c r="K38">
        <v>-3.1611107864398384</v>
      </c>
      <c r="M38" cm="1">
        <f t="array" ref="M38:V47">ABS(_xlfn.ANCHORARRAY(B38))</f>
        <v>2.3210726771795649</v>
      </c>
      <c r="N38">
        <v>2.0041848753487947</v>
      </c>
      <c r="O38">
        <v>2.926397632676192</v>
      </c>
      <c r="P38">
        <v>1.6768164720057666</v>
      </c>
      <c r="Q38">
        <v>0.61371382968207833</v>
      </c>
      <c r="R38">
        <v>2.1799745860136737</v>
      </c>
      <c r="S38">
        <v>3.124697958887845</v>
      </c>
      <c r="T38">
        <v>3.31603499274103</v>
      </c>
      <c r="U38">
        <v>3.6774167122682568</v>
      </c>
      <c r="V38">
        <v>3.1611107864398384</v>
      </c>
      <c r="X38">
        <f>SUM(_xlfn.ANCHORARRAY(M38))</f>
        <v>164.55652396844499</v>
      </c>
    </row>
    <row r="39" spans="2:25">
      <c r="B39">
        <v>-4.9392351851574361</v>
      </c>
      <c r="C39">
        <v>-1.283190692348473</v>
      </c>
      <c r="D39">
        <v>-5.1206342873351556</v>
      </c>
      <c r="E39">
        <v>-0.82573000791287043</v>
      </c>
      <c r="F39">
        <v>0.26614749536429194</v>
      </c>
      <c r="G39">
        <v>-2.2801163657407892</v>
      </c>
      <c r="H39">
        <v>-3.210121402459472</v>
      </c>
      <c r="I39">
        <v>-2.3901797127379112</v>
      </c>
      <c r="J39">
        <v>-3.7426543852545002</v>
      </c>
      <c r="K39">
        <v>0</v>
      </c>
      <c r="M39">
        <v>4.9392351851574361</v>
      </c>
      <c r="N39">
        <v>1.283190692348473</v>
      </c>
      <c r="O39">
        <v>5.1206342873351556</v>
      </c>
      <c r="P39">
        <v>0.82573000791287043</v>
      </c>
      <c r="Q39">
        <v>0.26614749536429194</v>
      </c>
      <c r="R39">
        <v>2.2801163657407892</v>
      </c>
      <c r="S39">
        <v>3.210121402459472</v>
      </c>
      <c r="T39">
        <v>2.3901797127379112</v>
      </c>
      <c r="U39">
        <v>3.7426543852545002</v>
      </c>
      <c r="V39">
        <v>0</v>
      </c>
    </row>
    <row r="40" spans="2:25">
      <c r="B40">
        <v>-9.310947098044565</v>
      </c>
      <c r="C40">
        <v>-1.4509617632321508</v>
      </c>
      <c r="D40">
        <v>-4.2374321803232977</v>
      </c>
      <c r="E40">
        <v>8.4725682019076487E-2</v>
      </c>
      <c r="F40">
        <v>0.19390601176991851</v>
      </c>
      <c r="G40">
        <v>-1.3403333669692437</v>
      </c>
      <c r="H40">
        <v>-3.2614880110868469</v>
      </c>
      <c r="I40">
        <v>-2.4347642278853554</v>
      </c>
      <c r="J40">
        <v>0</v>
      </c>
      <c r="K40">
        <v>0</v>
      </c>
      <c r="M40">
        <v>9.310947098044565</v>
      </c>
      <c r="N40">
        <v>1.4509617632321508</v>
      </c>
      <c r="O40">
        <v>4.2374321803232977</v>
      </c>
      <c r="P40">
        <v>8.4725682019076487E-2</v>
      </c>
      <c r="Q40">
        <v>0.19390601176991851</v>
      </c>
      <c r="R40">
        <v>1.3403333669692437</v>
      </c>
      <c r="S40">
        <v>3.2614880110868469</v>
      </c>
      <c r="T40">
        <v>2.4347642278853554</v>
      </c>
      <c r="U40">
        <v>0</v>
      </c>
      <c r="V40">
        <v>0</v>
      </c>
    </row>
    <row r="41" spans="2:25">
      <c r="B41">
        <v>-7.9594548986617468</v>
      </c>
      <c r="C41">
        <v>-1.7436638381828651</v>
      </c>
      <c r="D41">
        <v>-5.4412038165620871</v>
      </c>
      <c r="E41">
        <v>-7.1497945921652928E-2</v>
      </c>
      <c r="F41">
        <v>6.7869788515125151E-2</v>
      </c>
      <c r="G41">
        <v>-1.445391057273306</v>
      </c>
      <c r="H41">
        <v>-3.3511048493726223</v>
      </c>
      <c r="I41">
        <v>0</v>
      </c>
      <c r="J41">
        <v>0</v>
      </c>
      <c r="K41">
        <v>0</v>
      </c>
      <c r="M41">
        <v>7.9594548986617468</v>
      </c>
      <c r="N41">
        <v>1.7436638381828651</v>
      </c>
      <c r="O41">
        <v>5.4412038165620871</v>
      </c>
      <c r="P41">
        <v>7.1497945921652928E-2</v>
      </c>
      <c r="Q41">
        <v>6.7869788515125151E-2</v>
      </c>
      <c r="R41">
        <v>1.445391057273306</v>
      </c>
      <c r="S41">
        <v>3.3511048493726223</v>
      </c>
      <c r="T41">
        <v>0</v>
      </c>
      <c r="U41">
        <v>0</v>
      </c>
      <c r="V41">
        <v>0</v>
      </c>
    </row>
    <row r="42" spans="2:25">
      <c r="B42">
        <v>-7.5099715870791499</v>
      </c>
      <c r="C42">
        <v>-1.9921379148885201</v>
      </c>
      <c r="D42">
        <v>-5.6141850609955579</v>
      </c>
      <c r="E42">
        <v>-1.2041158022136411</v>
      </c>
      <c r="F42">
        <v>0.96087794634941659</v>
      </c>
      <c r="G42">
        <v>-2.5345742740425274</v>
      </c>
      <c r="H42">
        <v>0</v>
      </c>
      <c r="I42">
        <v>0</v>
      </c>
      <c r="J42">
        <v>0</v>
      </c>
      <c r="K42">
        <v>0</v>
      </c>
      <c r="M42">
        <v>7.5099715870791499</v>
      </c>
      <c r="N42">
        <v>1.9921379148885201</v>
      </c>
      <c r="O42">
        <v>5.6141850609955579</v>
      </c>
      <c r="P42">
        <v>1.2041158022136411</v>
      </c>
      <c r="Q42">
        <v>0.96087794634941659</v>
      </c>
      <c r="R42">
        <v>2.5345742740425274</v>
      </c>
      <c r="S42">
        <v>0</v>
      </c>
      <c r="T42">
        <v>0</v>
      </c>
      <c r="U42">
        <v>0</v>
      </c>
      <c r="V42">
        <v>0</v>
      </c>
    </row>
    <row r="43" spans="2:25">
      <c r="B43">
        <v>-6.104682599505459</v>
      </c>
      <c r="C43">
        <v>-2.2605589688335286</v>
      </c>
      <c r="D43">
        <v>-4.8010528765808207</v>
      </c>
      <c r="E43">
        <v>-2.3473799415950385</v>
      </c>
      <c r="F43">
        <v>-0.15470297629008378</v>
      </c>
      <c r="G43">
        <v>0</v>
      </c>
      <c r="H43">
        <v>0</v>
      </c>
      <c r="I43">
        <v>0</v>
      </c>
      <c r="J43">
        <v>0</v>
      </c>
      <c r="K43">
        <v>0</v>
      </c>
      <c r="M43">
        <v>6.104682599505459</v>
      </c>
      <c r="N43">
        <v>2.2605589688335286</v>
      </c>
      <c r="O43">
        <v>4.8010528765808207</v>
      </c>
      <c r="P43">
        <v>2.3473799415950385</v>
      </c>
      <c r="Q43">
        <v>0.15470297629008378</v>
      </c>
      <c r="R43">
        <v>0</v>
      </c>
      <c r="S43">
        <v>0</v>
      </c>
      <c r="T43">
        <v>0</v>
      </c>
      <c r="U43">
        <v>0</v>
      </c>
      <c r="V43">
        <v>0</v>
      </c>
    </row>
    <row r="44" spans="2:25">
      <c r="B44">
        <v>-3.7116819409928823</v>
      </c>
      <c r="C44">
        <v>-1.6318322476340192</v>
      </c>
      <c r="D44">
        <v>-5.3633495471888288</v>
      </c>
      <c r="E44">
        <v>-2.011810166814298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M44">
        <v>3.7116819409928823</v>
      </c>
      <c r="N44">
        <v>1.6318322476340192</v>
      </c>
      <c r="O44">
        <v>5.3633495471888288</v>
      </c>
      <c r="P44">
        <v>2.011810166814298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</row>
    <row r="45" spans="2:25">
      <c r="B45">
        <v>-3.6695575594793581</v>
      </c>
      <c r="C45">
        <v>-2.0641665708431809</v>
      </c>
      <c r="D45">
        <v>-4.6643295537615668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M45">
        <v>3.6695575594793581</v>
      </c>
      <c r="N45">
        <v>2.0641665708431809</v>
      </c>
      <c r="O45">
        <v>4.6643295537615668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</row>
    <row r="46" spans="2:25">
      <c r="B46">
        <v>-6.1704067877242323</v>
      </c>
      <c r="C46">
        <v>-2.1929174625819208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M46">
        <v>6.1704067877242323</v>
      </c>
      <c r="N46">
        <v>2.1929174625819208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</row>
    <row r="47" spans="2:25">
      <c r="B47">
        <v>-6.1380575896771887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M47">
        <v>6.1380575896771887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</row>
    <row r="49" spans="2:46">
      <c r="M49" cm="1">
        <f t="array" ref="M49:V58">_xlfn.ANCHORARRAY(B38)^2</f>
        <v>5.387378372749513</v>
      </c>
      <c r="N49">
        <v>4.0167570145768643</v>
      </c>
      <c r="O49">
        <v>8.5638031045328216</v>
      </c>
      <c r="P49">
        <v>2.8117134807898658</v>
      </c>
      <c r="Q49">
        <v>0.37664466474304303</v>
      </c>
      <c r="R49">
        <v>4.7522891956654876</v>
      </c>
      <c r="S49">
        <v>9.7637373342778648</v>
      </c>
      <c r="T49">
        <v>10.996088073083003</v>
      </c>
      <c r="U49">
        <v>13.523393675669876</v>
      </c>
      <c r="V49">
        <v>9.9926214041462931</v>
      </c>
      <c r="X49">
        <f>SUM(_xlfn.ANCHORARRAY(M49))</f>
        <v>733.85455350592827</v>
      </c>
    </row>
    <row r="50" spans="2:46">
      <c r="M50">
        <v>24.396044214297213</v>
      </c>
      <c r="N50">
        <v>1.6465783529297535</v>
      </c>
      <c r="O50">
        <v>26.220895504632416</v>
      </c>
      <c r="P50">
        <v>0.68183004596778907</v>
      </c>
      <c r="Q50">
        <v>7.0834489288685798E-2</v>
      </c>
      <c r="R50">
        <v>5.1989306413189844</v>
      </c>
      <c r="S50">
        <v>10.304879418528367</v>
      </c>
      <c r="T50">
        <v>5.7129590591838832</v>
      </c>
      <c r="U50">
        <v>14.007461847464741</v>
      </c>
      <c r="V50">
        <v>0</v>
      </c>
      <c r="X50">
        <f>X49^0.5</f>
        <v>27.089749971270098</v>
      </c>
    </row>
    <row r="51" spans="2:46">
      <c r="M51">
        <v>86.693735862584504</v>
      </c>
      <c r="N51">
        <v>2.1052900383617521</v>
      </c>
      <c r="O51">
        <v>17.955831482839457</v>
      </c>
      <c r="P51">
        <v>7.1784411935976612E-3</v>
      </c>
      <c r="Q51">
        <v>3.7599541400515774E-2</v>
      </c>
      <c r="R51">
        <v>1.7964935346111093</v>
      </c>
      <c r="S51">
        <v>10.637304046463237</v>
      </c>
      <c r="T51">
        <v>5.9280768453901711</v>
      </c>
      <c r="U51">
        <v>0</v>
      </c>
      <c r="V51">
        <v>0</v>
      </c>
    </row>
    <row r="52" spans="2:46">
      <c r="M52">
        <v>63.35292228383048</v>
      </c>
      <c r="N52">
        <v>3.0403635805866007</v>
      </c>
      <c r="O52">
        <v>29.606698973369824</v>
      </c>
      <c r="P52">
        <v>5.1119562710156066E-3</v>
      </c>
      <c r="Q52">
        <v>4.6063081930878139E-3</v>
      </c>
      <c r="R52">
        <v>2.0891553084456453</v>
      </c>
      <c r="S52">
        <v>11.229903711488706</v>
      </c>
      <c r="T52">
        <v>0</v>
      </c>
      <c r="U52">
        <v>0</v>
      </c>
      <c r="V52">
        <v>0</v>
      </c>
    </row>
    <row r="53" spans="2:46">
      <c r="M53">
        <v>56.399673238736128</v>
      </c>
      <c r="N53">
        <v>3.9686134719363806</v>
      </c>
      <c r="O53">
        <v>31.519073899105695</v>
      </c>
      <c r="P53">
        <v>1.4498948651406005</v>
      </c>
      <c r="Q53">
        <v>0.92328642778067227</v>
      </c>
      <c r="R53">
        <v>6.4240667506382048</v>
      </c>
      <c r="S53">
        <v>0</v>
      </c>
      <c r="T53">
        <v>0</v>
      </c>
      <c r="U53">
        <v>0</v>
      </c>
      <c r="V53">
        <v>0</v>
      </c>
    </row>
    <row r="54" spans="2:46">
      <c r="M54">
        <v>37.26714964070473</v>
      </c>
      <c r="N54">
        <v>5.1101268515737059</v>
      </c>
      <c r="O54">
        <v>23.050108723724975</v>
      </c>
      <c r="P54">
        <v>5.5101925902027267</v>
      </c>
      <c r="Q54">
        <v>2.3933010873010224E-2</v>
      </c>
      <c r="R54">
        <v>0</v>
      </c>
      <c r="S54">
        <v>0</v>
      </c>
      <c r="T54">
        <v>0</v>
      </c>
      <c r="U54">
        <v>0</v>
      </c>
      <c r="V54">
        <v>0</v>
      </c>
    </row>
    <row r="55" spans="2:46">
      <c r="M55">
        <v>13.776582831092691</v>
      </c>
      <c r="N55">
        <v>2.6628764844182951</v>
      </c>
      <c r="O55">
        <v>28.765518365330614</v>
      </c>
      <c r="P55">
        <v>4.0473801472973738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</row>
    <row r="56" spans="2:46">
      <c r="M56">
        <v>13.465652682332102</v>
      </c>
      <c r="N56">
        <v>4.2607836321864969</v>
      </c>
      <c r="O56">
        <v>21.755970186093577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AH56">
        <f>SUM(_xlfn.ANCHORARRAY(X59))</f>
        <v>-7094.7415138762708</v>
      </c>
      <c r="AI56">
        <f>ABS(AH56)</f>
        <v>7094.7415138762708</v>
      </c>
      <c r="AJ56">
        <f>AI56^0.5</f>
        <v>84.230288577662321</v>
      </c>
    </row>
    <row r="57" spans="2:46">
      <c r="M57">
        <v>38.07391992599328</v>
      </c>
      <c r="N57">
        <v>4.8088869976967299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</row>
    <row r="58" spans="2:46">
      <c r="M58">
        <v>37.67575097419374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</row>
    <row r="59" spans="2:46">
      <c r="B59" cm="1">
        <f t="array" ref="B59:K68">B2:K11^2</f>
        <v>1764</v>
      </c>
      <c r="C59">
        <v>324</v>
      </c>
      <c r="D59">
        <v>121</v>
      </c>
      <c r="E59">
        <v>81</v>
      </c>
      <c r="F59">
        <v>64</v>
      </c>
      <c r="G59">
        <v>25</v>
      </c>
      <c r="H59">
        <v>9</v>
      </c>
      <c r="I59">
        <v>4</v>
      </c>
      <c r="J59">
        <v>1</v>
      </c>
      <c r="K59">
        <v>1</v>
      </c>
      <c r="M59" cm="1">
        <f t="array" ref="M59:V68">_xlfn.ANCHORARRAY(P25)^2</f>
        <v>1964.3574832558329</v>
      </c>
      <c r="N59">
        <v>400.16741252713348</v>
      </c>
      <c r="O59">
        <v>193.94455102340905</v>
      </c>
      <c r="P59">
        <v>113.99440997689366</v>
      </c>
      <c r="Q59">
        <v>74.196065939656293</v>
      </c>
      <c r="R59">
        <v>51.552035055802222</v>
      </c>
      <c r="S59">
        <v>37.511925087604936</v>
      </c>
      <c r="T59">
        <v>28.260228044047121</v>
      </c>
      <c r="U59">
        <v>21.878227100206388</v>
      </c>
      <c r="V59">
        <v>17.314842977025972</v>
      </c>
      <c r="X59" cm="1">
        <f t="array" ref="X59:AG68">_xlfn.ANCHORARRAY(B59)-_xlfn.ANCHORARRAY(M59)</f>
        <v>-200.3574832558329</v>
      </c>
      <c r="Y59">
        <v>-76.167412527133479</v>
      </c>
      <c r="Z59">
        <v>-72.944551023409048</v>
      </c>
      <c r="AA59">
        <v>-32.994409976893664</v>
      </c>
      <c r="AB59">
        <v>-10.196065939656293</v>
      </c>
      <c r="AC59">
        <v>-26.552035055802222</v>
      </c>
      <c r="AD59">
        <v>-28.511925087604936</v>
      </c>
      <c r="AE59">
        <v>-24.260228044047121</v>
      </c>
      <c r="AF59">
        <v>-20.878227100206388</v>
      </c>
      <c r="AG59">
        <v>-16.314842977025972</v>
      </c>
      <c r="AI59" cm="1">
        <f t="array" ref="AI59:AR68">ABS(_xlfn.ANCHORARRAY(X59))</f>
        <v>200.3574832558329</v>
      </c>
      <c r="AJ59">
        <v>76.167412527133479</v>
      </c>
      <c r="AK59">
        <v>72.944551023409048</v>
      </c>
      <c r="AL59">
        <v>32.994409976893664</v>
      </c>
      <c r="AM59">
        <v>10.196065939656293</v>
      </c>
      <c r="AN59">
        <v>26.552035055802222</v>
      </c>
      <c r="AO59">
        <v>28.511925087604936</v>
      </c>
      <c r="AP59">
        <v>24.260228044047121</v>
      </c>
      <c r="AQ59">
        <v>20.878227100206388</v>
      </c>
      <c r="AR59">
        <v>16.314842977025972</v>
      </c>
      <c r="AT59">
        <f>SUM(_xlfn.ANCHORARRAY(AI59))</f>
        <v>7153.82278996675</v>
      </c>
    </row>
    <row r="60" spans="2:46">
      <c r="B60">
        <v>1600</v>
      </c>
      <c r="C60">
        <v>361</v>
      </c>
      <c r="D60">
        <v>81</v>
      </c>
      <c r="E60">
        <v>100</v>
      </c>
      <c r="F60">
        <v>81</v>
      </c>
      <c r="G60">
        <v>25</v>
      </c>
      <c r="H60">
        <v>9</v>
      </c>
      <c r="I60">
        <v>9</v>
      </c>
      <c r="J60">
        <v>1</v>
      </c>
      <c r="K60">
        <v>0</v>
      </c>
      <c r="M60">
        <v>2019.534859026892</v>
      </c>
      <c r="N60">
        <v>411.40782466217172</v>
      </c>
      <c r="O60">
        <v>199.39231267666523</v>
      </c>
      <c r="P60">
        <v>117.19643020422519</v>
      </c>
      <c r="Q60">
        <v>76.280179572731427</v>
      </c>
      <c r="R60">
        <v>53.000094298726879</v>
      </c>
      <c r="S60">
        <v>38.565607833285199</v>
      </c>
      <c r="T60">
        <v>29.054037335611351</v>
      </c>
      <c r="U60">
        <v>22.49277061797374</v>
      </c>
      <c r="V60">
        <v>0</v>
      </c>
      <c r="X60">
        <v>-419.53485902689204</v>
      </c>
      <c r="Y60">
        <v>-50.40782466217172</v>
      </c>
      <c r="Z60">
        <v>-118.39231267666523</v>
      </c>
      <c r="AA60">
        <v>-17.196430204225194</v>
      </c>
      <c r="AB60">
        <v>4.7198204272685729</v>
      </c>
      <c r="AC60">
        <v>-28.000094298726879</v>
      </c>
      <c r="AD60">
        <v>-29.565607833285199</v>
      </c>
      <c r="AE60">
        <v>-20.054037335611351</v>
      </c>
      <c r="AF60">
        <v>-21.49277061797374</v>
      </c>
      <c r="AG60">
        <v>0</v>
      </c>
      <c r="AI60">
        <v>419.53485902689204</v>
      </c>
      <c r="AJ60">
        <v>50.40782466217172</v>
      </c>
      <c r="AK60">
        <v>118.39231267666523</v>
      </c>
      <c r="AL60">
        <v>17.196430204225194</v>
      </c>
      <c r="AM60">
        <v>4.7198204272685729</v>
      </c>
      <c r="AN60">
        <v>28.000094298726879</v>
      </c>
      <c r="AO60">
        <v>29.565607833285199</v>
      </c>
      <c r="AP60">
        <v>20.054037335611351</v>
      </c>
      <c r="AQ60">
        <v>21.49277061797374</v>
      </c>
      <c r="AR60">
        <v>0</v>
      </c>
      <c r="AT60">
        <f>AT59^0.5</f>
        <v>84.580274236767224</v>
      </c>
    </row>
    <row r="61" spans="2:46">
      <c r="B61">
        <v>1296</v>
      </c>
      <c r="C61">
        <v>361</v>
      </c>
      <c r="D61">
        <v>100</v>
      </c>
      <c r="E61">
        <v>121</v>
      </c>
      <c r="F61">
        <v>81</v>
      </c>
      <c r="G61">
        <v>36</v>
      </c>
      <c r="H61">
        <v>9</v>
      </c>
      <c r="I61">
        <v>9</v>
      </c>
      <c r="J61">
        <v>0</v>
      </c>
      <c r="K61">
        <v>0</v>
      </c>
      <c r="M61">
        <v>2053.0819269217932</v>
      </c>
      <c r="N61">
        <v>418.24183704118349</v>
      </c>
      <c r="O61">
        <v>202.70447508930542</v>
      </c>
      <c r="P61">
        <v>119.14321343677392</v>
      </c>
      <c r="Q61">
        <v>77.547291329541977</v>
      </c>
      <c r="R61">
        <v>53.880493938242033</v>
      </c>
      <c r="S61">
        <v>39.206232112984317</v>
      </c>
      <c r="T61">
        <v>29.536662212702304</v>
      </c>
      <c r="U61">
        <v>0</v>
      </c>
      <c r="V61">
        <v>0</v>
      </c>
      <c r="X61">
        <v>-757.08192692179318</v>
      </c>
      <c r="Y61">
        <v>-57.241837041183487</v>
      </c>
      <c r="Z61">
        <v>-102.70447508930542</v>
      </c>
      <c r="AA61">
        <v>1.8567865632260805</v>
      </c>
      <c r="AB61">
        <v>3.4527086704580228</v>
      </c>
      <c r="AC61">
        <v>-17.880493938242033</v>
      </c>
      <c r="AD61">
        <v>-30.206232112984317</v>
      </c>
      <c r="AE61">
        <v>-20.536662212702304</v>
      </c>
      <c r="AF61">
        <v>0</v>
      </c>
      <c r="AG61">
        <v>0</v>
      </c>
      <c r="AI61">
        <v>757.08192692179318</v>
      </c>
      <c r="AJ61">
        <v>57.241837041183487</v>
      </c>
      <c r="AK61">
        <v>102.70447508930542</v>
      </c>
      <c r="AL61">
        <v>1.8567865632260805</v>
      </c>
      <c r="AM61">
        <v>3.4527086704580228</v>
      </c>
      <c r="AN61">
        <v>17.880493938242033</v>
      </c>
      <c r="AO61">
        <v>30.206232112984317</v>
      </c>
      <c r="AP61">
        <v>20.536662212702304</v>
      </c>
      <c r="AQ61">
        <v>0</v>
      </c>
      <c r="AR61">
        <v>0</v>
      </c>
    </row>
    <row r="62" spans="2:46">
      <c r="B62">
        <v>1444</v>
      </c>
      <c r="C62">
        <v>361</v>
      </c>
      <c r="D62">
        <v>81</v>
      </c>
      <c r="E62">
        <v>121</v>
      </c>
      <c r="F62">
        <v>81</v>
      </c>
      <c r="G62">
        <v>36</v>
      </c>
      <c r="H62">
        <v>9</v>
      </c>
      <c r="I62">
        <v>0</v>
      </c>
      <c r="J62">
        <v>0</v>
      </c>
      <c r="K62">
        <v>0</v>
      </c>
      <c r="M62">
        <v>2112.2714945821231</v>
      </c>
      <c r="N62">
        <v>430.29958943153548</v>
      </c>
      <c r="O62">
        <v>208.5483676714874</v>
      </c>
      <c r="P62">
        <v>122.57806676654738</v>
      </c>
      <c r="Q62">
        <v>79.782950114920837</v>
      </c>
      <c r="R62">
        <v>55.433847995725316</v>
      </c>
      <c r="S62">
        <v>40.336532807724438</v>
      </c>
      <c r="T62">
        <v>0</v>
      </c>
      <c r="U62">
        <v>0</v>
      </c>
      <c r="V62">
        <v>0</v>
      </c>
      <c r="X62">
        <v>-668.27149458212307</v>
      </c>
      <c r="Y62">
        <v>-69.29958943153548</v>
      </c>
      <c r="Z62">
        <v>-127.5483676714874</v>
      </c>
      <c r="AA62">
        <v>-1.57806676654738</v>
      </c>
      <c r="AB62">
        <v>1.2170498850791631</v>
      </c>
      <c r="AC62">
        <v>-19.433847995725316</v>
      </c>
      <c r="AD62">
        <v>-31.336532807724438</v>
      </c>
      <c r="AE62">
        <v>0</v>
      </c>
      <c r="AF62">
        <v>0</v>
      </c>
      <c r="AG62">
        <v>0</v>
      </c>
      <c r="AI62">
        <v>668.27149458212307</v>
      </c>
      <c r="AJ62">
        <v>69.29958943153548</v>
      </c>
      <c r="AK62">
        <v>127.5483676714874</v>
      </c>
      <c r="AL62">
        <v>1.57806676654738</v>
      </c>
      <c r="AM62">
        <v>1.2170498850791631</v>
      </c>
      <c r="AN62">
        <v>19.433847995725316</v>
      </c>
      <c r="AO62">
        <v>31.336532807724438</v>
      </c>
      <c r="AP62">
        <v>0</v>
      </c>
      <c r="AQ62">
        <v>0</v>
      </c>
      <c r="AR62">
        <v>0</v>
      </c>
    </row>
    <row r="63" spans="2:46">
      <c r="B63">
        <v>1521</v>
      </c>
      <c r="C63">
        <v>361</v>
      </c>
      <c r="D63">
        <v>81</v>
      </c>
      <c r="E63">
        <v>100</v>
      </c>
      <c r="F63">
        <v>100</v>
      </c>
      <c r="G63">
        <v>25</v>
      </c>
      <c r="H63">
        <v>0</v>
      </c>
      <c r="I63">
        <v>0</v>
      </c>
      <c r="J63">
        <v>0</v>
      </c>
      <c r="K63">
        <v>0</v>
      </c>
      <c r="M63">
        <v>2163.1774570309099</v>
      </c>
      <c r="N63">
        <v>440.66985423770012</v>
      </c>
      <c r="O63">
        <v>213.57440499702574</v>
      </c>
      <c r="P63">
        <v>125.53221090941342</v>
      </c>
      <c r="Q63">
        <v>81.705727500792335</v>
      </c>
      <c r="R63">
        <v>56.769809491063477</v>
      </c>
      <c r="S63">
        <v>0</v>
      </c>
      <c r="T63">
        <v>0</v>
      </c>
      <c r="U63">
        <v>0</v>
      </c>
      <c r="V63">
        <v>0</v>
      </c>
      <c r="X63">
        <v>-642.17745703090986</v>
      </c>
      <c r="Y63">
        <v>-79.669854237700122</v>
      </c>
      <c r="Z63">
        <v>-132.57440499702574</v>
      </c>
      <c r="AA63">
        <v>-25.532210909413422</v>
      </c>
      <c r="AB63">
        <v>18.294272499207665</v>
      </c>
      <c r="AC63">
        <v>-31.769809491063477</v>
      </c>
      <c r="AD63">
        <v>0</v>
      </c>
      <c r="AE63">
        <v>0</v>
      </c>
      <c r="AF63">
        <v>0</v>
      </c>
      <c r="AG63">
        <v>0</v>
      </c>
      <c r="AI63">
        <v>642.17745703090986</v>
      </c>
      <c r="AJ63">
        <v>79.669854237700122</v>
      </c>
      <c r="AK63">
        <v>132.57440499702574</v>
      </c>
      <c r="AL63">
        <v>25.532210909413422</v>
      </c>
      <c r="AM63">
        <v>18.294272499207665</v>
      </c>
      <c r="AN63">
        <v>31.769809491063477</v>
      </c>
      <c r="AO63">
        <v>0</v>
      </c>
      <c r="AP63">
        <v>0</v>
      </c>
      <c r="AQ63">
        <v>0</v>
      </c>
      <c r="AR63">
        <v>0</v>
      </c>
    </row>
    <row r="64" spans="2:46">
      <c r="B64">
        <v>1681</v>
      </c>
      <c r="C64">
        <v>361</v>
      </c>
      <c r="D64">
        <v>100</v>
      </c>
      <c r="E64">
        <v>81</v>
      </c>
      <c r="F64">
        <v>81</v>
      </c>
      <c r="G64">
        <v>0</v>
      </c>
      <c r="H64">
        <v>0</v>
      </c>
      <c r="I64">
        <v>0</v>
      </c>
      <c r="J64">
        <v>0</v>
      </c>
      <c r="K64">
        <v>0</v>
      </c>
      <c r="M64">
        <v>2218.8511228001526</v>
      </c>
      <c r="N64">
        <v>452.01136766724778</v>
      </c>
      <c r="O64">
        <v>219.07116625534138</v>
      </c>
      <c r="P64">
        <v>128.76303153891342</v>
      </c>
      <c r="Q64">
        <v>83.808586584094513</v>
      </c>
      <c r="R64">
        <v>0</v>
      </c>
      <c r="S64">
        <v>0</v>
      </c>
      <c r="T64">
        <v>0</v>
      </c>
      <c r="U64">
        <v>0</v>
      </c>
      <c r="V64">
        <v>0</v>
      </c>
      <c r="X64">
        <v>-537.85112280015255</v>
      </c>
      <c r="Y64">
        <v>-91.011367667247782</v>
      </c>
      <c r="Z64">
        <v>-119.07116625534138</v>
      </c>
      <c r="AA64">
        <v>-47.763031538913424</v>
      </c>
      <c r="AB64">
        <v>-2.8085865840945132</v>
      </c>
      <c r="AC64">
        <v>0</v>
      </c>
      <c r="AD64">
        <v>0</v>
      </c>
      <c r="AE64">
        <v>0</v>
      </c>
      <c r="AF64">
        <v>0</v>
      </c>
      <c r="AG64">
        <v>0</v>
      </c>
      <c r="AI64">
        <v>537.85112280015255</v>
      </c>
      <c r="AJ64">
        <v>91.011367667247782</v>
      </c>
      <c r="AK64">
        <v>119.07116625534138</v>
      </c>
      <c r="AL64">
        <v>47.763031538913424</v>
      </c>
      <c r="AM64">
        <v>2.8085865840945132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2:44">
      <c r="B65">
        <v>1764</v>
      </c>
      <c r="C65">
        <v>361</v>
      </c>
      <c r="D65">
        <v>81</v>
      </c>
      <c r="E65">
        <v>81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M65">
        <v>2089.5578658744948</v>
      </c>
      <c r="N65">
        <v>425.67250189451102</v>
      </c>
      <c r="O65">
        <v>206.30581021472955</v>
      </c>
      <c r="P65">
        <v>121.25996314995474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X65">
        <v>-325.55786587449484</v>
      </c>
      <c r="Y65">
        <v>-64.672501894511015</v>
      </c>
      <c r="Z65">
        <v>-125.30581021472955</v>
      </c>
      <c r="AA65">
        <v>-40.259963149954743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I65">
        <v>325.55786587449484</v>
      </c>
      <c r="AJ65">
        <v>64.672501894511015</v>
      </c>
      <c r="AK65">
        <v>125.30581021472955</v>
      </c>
      <c r="AL65">
        <v>40.259963149954743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2:44">
      <c r="B66">
        <v>1849</v>
      </c>
      <c r="C66">
        <v>361</v>
      </c>
      <c r="D66">
        <v>100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M66">
        <v>2178.0476027975569</v>
      </c>
      <c r="N66">
        <v>443.69911332422737</v>
      </c>
      <c r="O66">
        <v>215.04256126132492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X66">
        <v>-329.04760279755692</v>
      </c>
      <c r="Y66">
        <v>-82.699113324227369</v>
      </c>
      <c r="Z66">
        <v>-115.04256126132492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I66">
        <v>329.04760279755692</v>
      </c>
      <c r="AJ66">
        <v>82.699113324227369</v>
      </c>
      <c r="AK66">
        <v>115.04256126132492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2:44">
      <c r="B67">
        <v>1849</v>
      </c>
      <c r="C67">
        <v>400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M67">
        <v>2417.7289036702773</v>
      </c>
      <c r="N67">
        <v>492.52558550097353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X67">
        <v>-568.7289036702773</v>
      </c>
      <c r="Y67">
        <v>-92.525585500973534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I67">
        <v>568.7289036702773</v>
      </c>
      <c r="AJ67">
        <v>92.525585500973534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2:44">
      <c r="B68">
        <v>1764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M68">
        <v>2317.2725885070777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X68">
        <v>-553.27258850707767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I68">
        <v>553.27258850707767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1A97D9F-8716-4F24-A551-EB2369BDA9E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Data table</vt:lpstr>
      <vt:lpstr>Link Ratios</vt:lpstr>
      <vt:lpstr>Also Link Ratioos</vt:lpstr>
      <vt:lpstr>More intro stuff</vt:lpstr>
      <vt:lpstr>Even More</vt:lpstr>
      <vt:lpstr>Link ratio-development table</vt:lpstr>
      <vt:lpstr>Reserve</vt:lpstr>
      <vt:lpstr>Sheet1</vt:lpstr>
      <vt:lpstr>G(X)</vt:lpstr>
      <vt:lpstr>G(x with theta and omega assume</vt:lpstr>
      <vt:lpstr>g(X)-g(X-1)</vt:lpstr>
      <vt:lpstr>Identity</vt:lpstr>
      <vt:lpstr>ln(U)</vt:lpstr>
      <vt:lpstr>c x ln(u)</vt:lpstr>
      <vt:lpstr>c ln(u)-u</vt:lpstr>
      <vt:lpstr>adjusted for what isn't reporte</vt:lpstr>
      <vt:lpstr>Data Development</vt:lpstr>
      <vt:lpstr>Old development method</vt:lpstr>
      <vt:lpstr>Tabular Format</vt:lpstr>
      <vt:lpstr>Incremental loss</vt:lpstr>
      <vt:lpstr>Cape Cod data</vt:lpstr>
      <vt:lpstr>Weibul CDF</vt:lpstr>
      <vt:lpstr>Loglogistic CDF</vt:lpstr>
      <vt:lpstr>Sheet6</vt:lpstr>
      <vt:lpstr>Sheet5</vt:lpstr>
      <vt:lpstr>Loglogistic Cape Cod</vt:lpstr>
      <vt:lpstr>Sheet3</vt:lpstr>
      <vt:lpstr>Sheet4</vt:lpstr>
      <vt:lpstr>LDF Logistic CDF Proof</vt:lpstr>
      <vt:lpstr>Winter Break Timeline</vt:lpstr>
      <vt:lpstr>Why pareto estimation</vt:lpstr>
      <vt:lpstr>pareto estimation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Kiera</dc:creator>
  <cp:keywords/>
  <dc:description/>
  <cp:lastModifiedBy>Kieran</cp:lastModifiedBy>
  <cp:revision/>
  <dcterms:created xsi:type="dcterms:W3CDTF">2021-09-20T20:58:20Z</dcterms:created>
  <dcterms:modified xsi:type="dcterms:W3CDTF">2022-04-25T23:17:05Z</dcterms:modified>
  <cp:category/>
  <cp:contentStatus/>
</cp:coreProperties>
</file>